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6.xml" ContentType="application/vnd.openxmlformats-officedocument.drawing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charts/chart20.xml" ContentType="application/vnd.openxmlformats-officedocument.drawingml.chart+xml"/>
  <Override PartName="/xl/drawings/drawing7.xml" ContentType="application/vnd.openxmlformats-officedocument.drawing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charts/chart21.xml" ContentType="application/vnd.openxmlformats-officedocument.drawingml.chart+xml"/>
  <Override PartName="/xl/drawings/drawing8.xml" ContentType="application/vnd.openxmlformats-officedocument.drawing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charts/chart22.xml" ContentType="application/vnd.openxmlformats-officedocument.drawingml.chart+xml"/>
  <Override PartName="/xl/drawings/drawing9.xml" ContentType="application/vnd.openxmlformats-officedocument.drawing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15" yWindow="945" windowWidth="20730" windowHeight="11760" tabRatio="874" activeTab="10"/>
  </bookViews>
  <sheets>
    <sheet name="IC A" sheetId="3" r:id="rId1"/>
    <sheet name="IC B" sheetId="41" r:id="rId2"/>
    <sheet name="IC D" sheetId="42" r:id="rId3"/>
    <sheet name="IC E" sheetId="44" r:id="rId4"/>
    <sheet name="IC F" sheetId="45" r:id="rId5"/>
    <sheet name="ID 1" sheetId="12" r:id="rId6"/>
    <sheet name="ID 2" sheetId="36" r:id="rId7"/>
    <sheet name="ID 3" sheetId="37" r:id="rId8"/>
    <sheet name="ID 4" sheetId="14" r:id="rId9"/>
    <sheet name="SampleStats" sheetId="5" r:id="rId10"/>
    <sheet name="Table" sheetId="33" r:id="rId11"/>
  </sheets>
  <externalReferences>
    <externalReference r:id="rId12"/>
    <externalReference r:id="rId13"/>
  </externalReferences>
  <definedNames>
    <definedName name="_a2">SampleStats!#REF!</definedName>
    <definedName name="_a65">SampleStats!$J$26:$J$27</definedName>
    <definedName name="_cov2">SampleStats!#REF!</definedName>
    <definedName name="_cov45">SampleStats!#REF!</definedName>
    <definedName name="_cov65">SampleStats!$E$26:$F$27</definedName>
    <definedName name="_covinv2">SampleStats!#REF!</definedName>
    <definedName name="_covinv45">SampleStats!#REF!</definedName>
    <definedName name="_covinv65">SampleStats!$E$34:$F$35</definedName>
    <definedName name="_resid2">SampleStats!#REF!</definedName>
    <definedName name="_resid65">SampleStats!$K$26:$K$27</definedName>
    <definedName name="_u2">SampleStats!#REF!</definedName>
    <definedName name="_u45">SampleStats!#REF!</definedName>
    <definedName name="_u65">SampleStats!$I$26:$I$27</definedName>
    <definedName name="_v2">SampleStats!#REF!</definedName>
    <definedName name="_v65">SampleStats!$B$15:$B$16</definedName>
    <definedName name="a" localSheetId="10">[1]SampleStats!$B$37:$B$42</definedName>
    <definedName name="a">SampleStats!$C$99:$C$102</definedName>
    <definedName name="cov" localSheetId="10">[1]SampleStats!$B$19:$G$24</definedName>
    <definedName name="cov">SampleStats!$B$66:$E$69</definedName>
    <definedName name="covinv" localSheetId="10">[1]SampleStats!$B$28:$G$33</definedName>
    <definedName name="covinv">SampleStats!$B$83:$E$86</definedName>
    <definedName name="data85">SampleStats!$B$49:$B$52</definedName>
    <definedName name="resid" localSheetId="10">[1]SampleStats!$C$37:$C$42</definedName>
    <definedName name="resid">SampleStats!$D$99:$D$102</definedName>
    <definedName name="u" localSheetId="10">[1]SampleStats!$A$37:$A$42</definedName>
    <definedName name="u">SampleStats!$B$99:$B$102</definedName>
    <definedName name="U500_16a_U3568_stat_fast_U500" localSheetId="0">'IC A'!$A$1:$U$54</definedName>
    <definedName name="U500_16a_U3568_stat_fast_U500" localSheetId="1">'IC B'!$A$1:$U$45</definedName>
    <definedName name="U500_16a_U3568_stat_fast_U500" localSheetId="2">'IC D'!$A$1:$U$35</definedName>
    <definedName name="U500_16a_U3568_stat_fast_U500" localSheetId="3">'IC E'!$A$1:$U$85</definedName>
    <definedName name="U500_16a_U3568_stat_fast_U500" localSheetId="4">'IC F'!$A$1:$U$97</definedName>
    <definedName name="U500_16a_U3568_stat_fast_U500" localSheetId="5">'ID 1'!$W$1:$W$11</definedName>
    <definedName name="U500_16a_U3568_stat_fast_U500" localSheetId="6">'ID 2'!$W$1:$W$11</definedName>
    <definedName name="U500_16a_U3568_stat_fast_U500" localSheetId="7">'ID 3'!$W$1:$W$11</definedName>
    <definedName name="U500_16a_U3568_stat_fast_U500" localSheetId="8">'ID 4'!$A$1:$V$47</definedName>
    <definedName name="U500_IC_1a_U4568_stat_fast_U500" localSheetId="0">'IC A'!$A$1:$U$54</definedName>
    <definedName name="U500_IC_1a_U4568_stat_fast_U500" localSheetId="1">'IC B'!$A$1:$U$45</definedName>
    <definedName name="U500_IC_1a_U4568_stat_fast_U500" localSheetId="2">'IC D'!$A$1:$U$35</definedName>
    <definedName name="U500_IC_1a_U4568_stat_fast_U500" localSheetId="3">'IC E'!$A$1:$U$85</definedName>
    <definedName name="U500_IC_1a_U4568_stat_fast_U500" localSheetId="4">'IC F'!$A$1:$U$97</definedName>
    <definedName name="U500_IC_1a_U4568_stat_fast_U500" localSheetId="5">'ID 1'!$A$1:$V$98</definedName>
    <definedName name="U500_IC_1a_U4568_stat_fast_U500" localSheetId="6">'ID 2'!$A$1:$V$68</definedName>
    <definedName name="U500_IC_1a_U4568_stat_fast_U500" localSheetId="7">'ID 3'!$A$1:$V$100</definedName>
    <definedName name="U500_IC_1a_U4568_stat_fast_U500" localSheetId="8">'ID 4'!$A$1:$V$47</definedName>
    <definedName name="U500_IC_1a_U4568_stat_fast_U500_1" localSheetId="0">'IC A'!$A$1:$U$54</definedName>
    <definedName name="U500_IC_1a_U4568_stat_fast_U500_1" localSheetId="1">'IC B'!$A$1:$U$45</definedName>
    <definedName name="U500_IC_1a_U4568_stat_fast_U500_1" localSheetId="2">'IC D'!$A$1:$U$35</definedName>
    <definedName name="U500_IC_1a_U4568_stat_fast_U500_1" localSheetId="3">'IC E'!$A$1:$U$85</definedName>
    <definedName name="U500_IC_1a_U4568_stat_fast_U500_1" localSheetId="4">'IC F'!$A$1:$U$97</definedName>
    <definedName name="v" localSheetId="10">[1]SampleStats!$B$9:$B$14</definedName>
    <definedName name="v">[2]SampleStats!$B$10:$B$14</definedName>
  </definedName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15" i="33" l="1"/>
  <c r="K17" i="33"/>
  <c r="K16" i="33"/>
  <c r="K19" i="33"/>
  <c r="K6" i="33"/>
  <c r="K4" i="33"/>
  <c r="K5" i="33"/>
  <c r="K7" i="33"/>
  <c r="B9" i="33"/>
  <c r="B15" i="5"/>
  <c r="K6" i="5"/>
  <c r="K7" i="5"/>
  <c r="K8" i="5"/>
  <c r="B12" i="5"/>
  <c r="C12" i="5"/>
  <c r="E12" i="5"/>
  <c r="D12" i="5"/>
  <c r="F12" i="5"/>
  <c r="G12" i="5"/>
  <c r="H12" i="5"/>
  <c r="B13" i="5"/>
  <c r="C13" i="5"/>
  <c r="E13" i="5"/>
  <c r="D13" i="5"/>
  <c r="F13" i="5"/>
  <c r="G13" i="5"/>
  <c r="H13" i="5"/>
  <c r="B14" i="5"/>
  <c r="C14" i="5"/>
  <c r="E14" i="5"/>
  <c r="D14" i="5"/>
  <c r="F14" i="5"/>
  <c r="G14" i="5"/>
  <c r="H14" i="5"/>
  <c r="C15" i="5"/>
  <c r="E15" i="5"/>
  <c r="D15" i="5"/>
  <c r="F15" i="5"/>
  <c r="G15" i="5"/>
  <c r="H15" i="5"/>
  <c r="B16" i="5"/>
  <c r="C16" i="5"/>
  <c r="E16" i="5"/>
  <c r="D16" i="5"/>
  <c r="F16" i="5"/>
  <c r="G16" i="5"/>
  <c r="H16" i="5"/>
  <c r="F20" i="5"/>
  <c r="G20" i="5"/>
  <c r="H20" i="5"/>
  <c r="B23" i="5"/>
  <c r="B24" i="5"/>
  <c r="C23" i="5"/>
  <c r="B25" i="5"/>
  <c r="D23" i="5"/>
  <c r="B26" i="5"/>
  <c r="E23" i="5"/>
  <c r="B27" i="5"/>
  <c r="F23" i="5"/>
  <c r="L23" i="5"/>
  <c r="C24" i="5"/>
  <c r="C25" i="5"/>
  <c r="D24" i="5"/>
  <c r="C26" i="5"/>
  <c r="E24" i="5"/>
  <c r="C27" i="5"/>
  <c r="F24" i="5"/>
  <c r="L24" i="5"/>
  <c r="D25" i="5"/>
  <c r="D26" i="5"/>
  <c r="E25" i="5"/>
  <c r="D27" i="5"/>
  <c r="F25" i="5"/>
  <c r="L25" i="5"/>
  <c r="E26" i="5"/>
  <c r="E27" i="5"/>
  <c r="F26" i="5"/>
  <c r="L26" i="5"/>
  <c r="F27" i="5"/>
  <c r="L27" i="5"/>
  <c r="E34" i="5" a="1"/>
  <c r="E35" i="5"/>
  <c r="F34" i="5"/>
  <c r="E34" i="5"/>
  <c r="F35" i="5"/>
  <c r="S16" i="3"/>
  <c r="T16" i="3"/>
  <c r="W16" i="3"/>
  <c r="V16" i="3"/>
  <c r="Y16" i="3"/>
  <c r="Z16" i="3"/>
  <c r="A17" i="3"/>
  <c r="S17" i="3"/>
  <c r="T17" i="3"/>
  <c r="W17" i="3"/>
  <c r="V17" i="3"/>
  <c r="Y17" i="3"/>
  <c r="Z17" i="3"/>
  <c r="A18" i="3"/>
  <c r="S18" i="3"/>
  <c r="T18" i="3"/>
  <c r="W18" i="3"/>
  <c r="V18" i="3"/>
  <c r="Y18" i="3"/>
  <c r="Z18" i="3"/>
  <c r="A19" i="3"/>
  <c r="S19" i="3"/>
  <c r="T19" i="3"/>
  <c r="W19" i="3"/>
  <c r="V19" i="3"/>
  <c r="Y19" i="3"/>
  <c r="Z19" i="3"/>
  <c r="A20" i="3"/>
  <c r="S20" i="3"/>
  <c r="T20" i="3"/>
  <c r="W20" i="3"/>
  <c r="V20" i="3"/>
  <c r="Y20" i="3"/>
  <c r="Z20" i="3"/>
  <c r="A21" i="3"/>
  <c r="S21" i="3"/>
  <c r="T21" i="3"/>
  <c r="W21" i="3"/>
  <c r="V21" i="3"/>
  <c r="Y21" i="3"/>
  <c r="Z21" i="3"/>
  <c r="A22" i="3"/>
  <c r="S22" i="3"/>
  <c r="T22" i="3"/>
  <c r="W22" i="3"/>
  <c r="V22" i="3"/>
  <c r="Y22" i="3"/>
  <c r="Z22" i="3"/>
  <c r="A23" i="3"/>
  <c r="S23" i="3"/>
  <c r="T23" i="3"/>
  <c r="W23" i="3"/>
  <c r="V23" i="3"/>
  <c r="Y23" i="3"/>
  <c r="Z23" i="3"/>
  <c r="A24" i="3"/>
  <c r="S24" i="3"/>
  <c r="T24" i="3"/>
  <c r="W24" i="3"/>
  <c r="V24" i="3"/>
  <c r="Y24" i="3"/>
  <c r="Z24" i="3"/>
  <c r="A25" i="3"/>
  <c r="S25" i="3"/>
  <c r="T25" i="3"/>
  <c r="W25" i="3"/>
  <c r="V25" i="3"/>
  <c r="Y25" i="3"/>
  <c r="Z25" i="3"/>
  <c r="A26" i="3"/>
  <c r="S26" i="3"/>
  <c r="T26" i="3"/>
  <c r="W26" i="3"/>
  <c r="V26" i="3"/>
  <c r="Y26" i="3"/>
  <c r="Z26" i="3"/>
  <c r="A27" i="3"/>
  <c r="S27" i="3"/>
  <c r="T27" i="3"/>
  <c r="W27" i="3"/>
  <c r="V27" i="3"/>
  <c r="Y27" i="3"/>
  <c r="Z27" i="3"/>
  <c r="A28" i="3"/>
  <c r="S28" i="3"/>
  <c r="T28" i="3"/>
  <c r="W28" i="3"/>
  <c r="V28" i="3"/>
  <c r="Y28" i="3"/>
  <c r="Z28" i="3"/>
  <c r="A29" i="3"/>
  <c r="S29" i="3"/>
  <c r="T29" i="3"/>
  <c r="W29" i="3"/>
  <c r="V29" i="3"/>
  <c r="Y29" i="3"/>
  <c r="Z29" i="3"/>
  <c r="A30" i="3"/>
  <c r="S30" i="3"/>
  <c r="T30" i="3"/>
  <c r="W30" i="3"/>
  <c r="V30" i="3"/>
  <c r="Y30" i="3"/>
  <c r="Z30" i="3"/>
  <c r="A31" i="3"/>
  <c r="S31" i="3"/>
  <c r="T31" i="3"/>
  <c r="W31" i="3"/>
  <c r="V31" i="3"/>
  <c r="Y31" i="3"/>
  <c r="Z31" i="3"/>
  <c r="A32" i="3"/>
  <c r="S32" i="3"/>
  <c r="T32" i="3"/>
  <c r="W32" i="3"/>
  <c r="V32" i="3"/>
  <c r="Y32" i="3"/>
  <c r="Z32" i="3"/>
  <c r="A33" i="3"/>
  <c r="S33" i="3"/>
  <c r="T33" i="3"/>
  <c r="W33" i="3"/>
  <c r="V33" i="3"/>
  <c r="Y33" i="3"/>
  <c r="Z33" i="3"/>
  <c r="A34" i="3"/>
  <c r="S34" i="3"/>
  <c r="T34" i="3"/>
  <c r="W34" i="3"/>
  <c r="V34" i="3"/>
  <c r="Y34" i="3"/>
  <c r="Z34" i="3"/>
  <c r="A35" i="3"/>
  <c r="S35" i="3"/>
  <c r="T35" i="3"/>
  <c r="W35" i="3"/>
  <c r="V35" i="3"/>
  <c r="Y35" i="3"/>
  <c r="Z35" i="3"/>
  <c r="A36" i="3"/>
  <c r="S36" i="3"/>
  <c r="T36" i="3"/>
  <c r="W36" i="3"/>
  <c r="V36" i="3"/>
  <c r="Y36" i="3"/>
  <c r="Z36" i="3"/>
  <c r="A37" i="3"/>
  <c r="S37" i="3"/>
  <c r="T37" i="3"/>
  <c r="W37" i="3"/>
  <c r="V37" i="3"/>
  <c r="Y37" i="3"/>
  <c r="Z37" i="3"/>
  <c r="A38" i="3"/>
  <c r="S38" i="3"/>
  <c r="T38" i="3"/>
  <c r="W38" i="3"/>
  <c r="V38" i="3"/>
  <c r="Y38" i="3"/>
  <c r="Z38" i="3"/>
  <c r="A39" i="3"/>
  <c r="S39" i="3"/>
  <c r="T39" i="3"/>
  <c r="W39" i="3"/>
  <c r="V39" i="3"/>
  <c r="Y39" i="3"/>
  <c r="Z39" i="3"/>
  <c r="A40" i="3"/>
  <c r="S40" i="3"/>
  <c r="T40" i="3"/>
  <c r="W40" i="3"/>
  <c r="V40" i="3"/>
  <c r="Y40" i="3"/>
  <c r="Z40" i="3"/>
  <c r="A41" i="3"/>
  <c r="S41" i="3"/>
  <c r="T41" i="3"/>
  <c r="W41" i="3"/>
  <c r="V41" i="3"/>
  <c r="Y41" i="3"/>
  <c r="Z41" i="3"/>
  <c r="A42" i="3"/>
  <c r="S42" i="3"/>
  <c r="T42" i="3"/>
  <c r="W42" i="3"/>
  <c r="V42" i="3"/>
  <c r="Y42" i="3"/>
  <c r="Z42" i="3"/>
  <c r="A43" i="3"/>
  <c r="S43" i="3"/>
  <c r="T43" i="3"/>
  <c r="W43" i="3"/>
  <c r="V43" i="3"/>
  <c r="Y43" i="3"/>
  <c r="Z43" i="3"/>
  <c r="A44" i="3"/>
  <c r="S44" i="3"/>
  <c r="T44" i="3"/>
  <c r="W44" i="3"/>
  <c r="V44" i="3"/>
  <c r="Y44" i="3"/>
  <c r="Z44" i="3"/>
  <c r="A45" i="3"/>
  <c r="S45" i="3"/>
  <c r="T45" i="3"/>
  <c r="W45" i="3"/>
  <c r="V45" i="3"/>
  <c r="Y45" i="3"/>
  <c r="Z45" i="3"/>
  <c r="Z12" i="3"/>
  <c r="Z11" i="3"/>
  <c r="Q16" i="3"/>
  <c r="X16" i="3"/>
  <c r="AA16" i="3"/>
  <c r="Q17" i="3"/>
  <c r="X17" i="3"/>
  <c r="AA17" i="3"/>
  <c r="Q18" i="3"/>
  <c r="X18" i="3"/>
  <c r="AA18" i="3"/>
  <c r="Q19" i="3"/>
  <c r="X19" i="3"/>
  <c r="AA19" i="3"/>
  <c r="Q20" i="3"/>
  <c r="X20" i="3"/>
  <c r="AA20" i="3"/>
  <c r="Q21" i="3"/>
  <c r="X21" i="3"/>
  <c r="AA21" i="3"/>
  <c r="Q22" i="3"/>
  <c r="X22" i="3"/>
  <c r="AA22" i="3"/>
  <c r="Q23" i="3"/>
  <c r="X23" i="3"/>
  <c r="AA23" i="3"/>
  <c r="Q24" i="3"/>
  <c r="X24" i="3"/>
  <c r="AA24" i="3"/>
  <c r="Q25" i="3"/>
  <c r="X25" i="3"/>
  <c r="AA25" i="3"/>
  <c r="Q26" i="3"/>
  <c r="X26" i="3"/>
  <c r="AA26" i="3"/>
  <c r="Q27" i="3"/>
  <c r="X27" i="3"/>
  <c r="AA27" i="3"/>
  <c r="Q28" i="3"/>
  <c r="X28" i="3"/>
  <c r="AA28" i="3"/>
  <c r="Q29" i="3"/>
  <c r="X29" i="3"/>
  <c r="AA29" i="3"/>
  <c r="Q30" i="3"/>
  <c r="X30" i="3"/>
  <c r="AA30" i="3"/>
  <c r="Q31" i="3"/>
  <c r="X31" i="3"/>
  <c r="AA31" i="3"/>
  <c r="Q32" i="3"/>
  <c r="X32" i="3"/>
  <c r="AA32" i="3"/>
  <c r="Q33" i="3"/>
  <c r="X33" i="3"/>
  <c r="AA33" i="3"/>
  <c r="Q34" i="3"/>
  <c r="X34" i="3"/>
  <c r="AA34" i="3"/>
  <c r="Q35" i="3"/>
  <c r="X35" i="3"/>
  <c r="AA35" i="3"/>
  <c r="Q36" i="3"/>
  <c r="X36" i="3"/>
  <c r="AA36" i="3"/>
  <c r="Q37" i="3"/>
  <c r="X37" i="3"/>
  <c r="AA37" i="3"/>
  <c r="Q38" i="3"/>
  <c r="X38" i="3"/>
  <c r="AA38" i="3"/>
  <c r="Q39" i="3"/>
  <c r="X39" i="3"/>
  <c r="AA39" i="3"/>
  <c r="Q40" i="3"/>
  <c r="X40" i="3"/>
  <c r="AA40" i="3"/>
  <c r="Q41" i="3"/>
  <c r="X41" i="3"/>
  <c r="AA41" i="3"/>
  <c r="Q42" i="3"/>
  <c r="X42" i="3"/>
  <c r="AA42" i="3"/>
  <c r="Q43" i="3"/>
  <c r="X43" i="3"/>
  <c r="AA43" i="3"/>
  <c r="Q44" i="3"/>
  <c r="X44" i="3"/>
  <c r="AA44" i="3"/>
  <c r="Q45" i="3"/>
  <c r="X45" i="3"/>
  <c r="AA45" i="3"/>
  <c r="AA12" i="3"/>
  <c r="AA11" i="3"/>
  <c r="Z16" i="41"/>
  <c r="A17" i="41"/>
  <c r="S17" i="41"/>
  <c r="U17" i="41"/>
  <c r="W17" i="41"/>
  <c r="V17" i="41"/>
  <c r="Y17" i="41"/>
  <c r="Z17" i="41"/>
  <c r="A18" i="41"/>
  <c r="S18" i="41"/>
  <c r="U18" i="41"/>
  <c r="W18" i="41"/>
  <c r="V18" i="41"/>
  <c r="Y18" i="41"/>
  <c r="Z18" i="41"/>
  <c r="A19" i="41"/>
  <c r="S19" i="41"/>
  <c r="U19" i="41"/>
  <c r="W19" i="41"/>
  <c r="V19" i="41"/>
  <c r="Y19" i="41"/>
  <c r="Z19" i="41"/>
  <c r="A20" i="41"/>
  <c r="S20" i="41"/>
  <c r="U20" i="41"/>
  <c r="W20" i="41"/>
  <c r="V20" i="41"/>
  <c r="Y20" i="41"/>
  <c r="Z20" i="41"/>
  <c r="A21" i="41"/>
  <c r="S21" i="41"/>
  <c r="U21" i="41"/>
  <c r="W21" i="41"/>
  <c r="V21" i="41"/>
  <c r="Y21" i="41"/>
  <c r="Z21" i="41"/>
  <c r="A22" i="41"/>
  <c r="S22" i="41"/>
  <c r="U22" i="41"/>
  <c r="W22" i="41"/>
  <c r="V22" i="41"/>
  <c r="Y22" i="41"/>
  <c r="Z22" i="41"/>
  <c r="A23" i="41"/>
  <c r="S23" i="41"/>
  <c r="U23" i="41"/>
  <c r="W23" i="41"/>
  <c r="V23" i="41"/>
  <c r="Y23" i="41"/>
  <c r="Z23" i="41"/>
  <c r="A24" i="41"/>
  <c r="S24" i="41"/>
  <c r="U24" i="41"/>
  <c r="W24" i="41"/>
  <c r="V24" i="41"/>
  <c r="Y24" i="41"/>
  <c r="Z24" i="41"/>
  <c r="A25" i="41"/>
  <c r="S25" i="41"/>
  <c r="U25" i="41"/>
  <c r="W25" i="41"/>
  <c r="V25" i="41"/>
  <c r="Y25" i="41"/>
  <c r="Z25" i="41"/>
  <c r="A26" i="41"/>
  <c r="S26" i="41"/>
  <c r="U26" i="41"/>
  <c r="W26" i="41"/>
  <c r="V26" i="41"/>
  <c r="Y26" i="41"/>
  <c r="Z26" i="41"/>
  <c r="A27" i="41"/>
  <c r="S27" i="41"/>
  <c r="U27" i="41"/>
  <c r="W27" i="41"/>
  <c r="V27" i="41"/>
  <c r="Y27" i="41"/>
  <c r="Z27" i="41"/>
  <c r="A28" i="41"/>
  <c r="S28" i="41"/>
  <c r="U28" i="41"/>
  <c r="W28" i="41"/>
  <c r="V28" i="41"/>
  <c r="Y28" i="41"/>
  <c r="Z28" i="41"/>
  <c r="A29" i="41"/>
  <c r="S29" i="41"/>
  <c r="U29" i="41"/>
  <c r="W29" i="41"/>
  <c r="V29" i="41"/>
  <c r="Y29" i="41"/>
  <c r="Z29" i="41"/>
  <c r="A30" i="41"/>
  <c r="S30" i="41"/>
  <c r="U30" i="41"/>
  <c r="W30" i="41"/>
  <c r="V30" i="41"/>
  <c r="Y30" i="41"/>
  <c r="Z30" i="41"/>
  <c r="A31" i="41"/>
  <c r="S31" i="41"/>
  <c r="U31" i="41"/>
  <c r="W31" i="41"/>
  <c r="V31" i="41"/>
  <c r="Y31" i="41"/>
  <c r="Z31" i="41"/>
  <c r="A32" i="41"/>
  <c r="S32" i="41"/>
  <c r="U32" i="41"/>
  <c r="W32" i="41"/>
  <c r="V32" i="41"/>
  <c r="Y32" i="41"/>
  <c r="Z32" i="41"/>
  <c r="A33" i="41"/>
  <c r="S33" i="41"/>
  <c r="U33" i="41"/>
  <c r="W33" i="41"/>
  <c r="V33" i="41"/>
  <c r="Y33" i="41"/>
  <c r="Z33" i="41"/>
  <c r="A34" i="41"/>
  <c r="S34" i="41"/>
  <c r="U34" i="41"/>
  <c r="W34" i="41"/>
  <c r="V34" i="41"/>
  <c r="Y34" i="41"/>
  <c r="Z34" i="41"/>
  <c r="A35" i="41"/>
  <c r="S35" i="41"/>
  <c r="U35" i="41"/>
  <c r="W35" i="41"/>
  <c r="V35" i="41"/>
  <c r="Y35" i="41"/>
  <c r="Z35" i="41"/>
  <c r="A36" i="41"/>
  <c r="S36" i="41"/>
  <c r="U36" i="41"/>
  <c r="W36" i="41"/>
  <c r="V36" i="41"/>
  <c r="Y36" i="41"/>
  <c r="Z36" i="41"/>
  <c r="A37" i="41"/>
  <c r="S37" i="41"/>
  <c r="U37" i="41"/>
  <c r="W37" i="41"/>
  <c r="V37" i="41"/>
  <c r="Y37" i="41"/>
  <c r="Z37" i="41"/>
  <c r="A38" i="41"/>
  <c r="S38" i="41"/>
  <c r="U38" i="41"/>
  <c r="W38" i="41"/>
  <c r="V38" i="41"/>
  <c r="Y38" i="41"/>
  <c r="Z38" i="41"/>
  <c r="A39" i="41"/>
  <c r="S39" i="41"/>
  <c r="U39" i="41"/>
  <c r="W39" i="41"/>
  <c r="V39" i="41"/>
  <c r="Y39" i="41"/>
  <c r="Z39" i="41"/>
  <c r="A40" i="41"/>
  <c r="S40" i="41"/>
  <c r="U40" i="41"/>
  <c r="W40" i="41"/>
  <c r="V40" i="41"/>
  <c r="Y40" i="41"/>
  <c r="Z40" i="41"/>
  <c r="A41" i="41"/>
  <c r="S41" i="41"/>
  <c r="U41" i="41"/>
  <c r="W41" i="41"/>
  <c r="V41" i="41"/>
  <c r="Y41" i="41"/>
  <c r="Z41" i="41"/>
  <c r="A42" i="41"/>
  <c r="S42" i="41"/>
  <c r="U42" i="41"/>
  <c r="W42" i="41"/>
  <c r="V42" i="41"/>
  <c r="Y42" i="41"/>
  <c r="Z42" i="41"/>
  <c r="Z12" i="41"/>
  <c r="Z11" i="41"/>
  <c r="AA16" i="41"/>
  <c r="Q17" i="41"/>
  <c r="T17" i="41"/>
  <c r="X17" i="41"/>
  <c r="AA17" i="41"/>
  <c r="Q18" i="41"/>
  <c r="T18" i="41"/>
  <c r="X18" i="41"/>
  <c r="AA18" i="41"/>
  <c r="Q19" i="41"/>
  <c r="T19" i="41"/>
  <c r="X19" i="41"/>
  <c r="AA19" i="41"/>
  <c r="Q20" i="41"/>
  <c r="T20" i="41"/>
  <c r="X20" i="41"/>
  <c r="AA20" i="41"/>
  <c r="Q21" i="41"/>
  <c r="T21" i="41"/>
  <c r="X21" i="41"/>
  <c r="AA21" i="41"/>
  <c r="Q22" i="41"/>
  <c r="T22" i="41"/>
  <c r="X22" i="41"/>
  <c r="AA22" i="41"/>
  <c r="Q23" i="41"/>
  <c r="T23" i="41"/>
  <c r="X23" i="41"/>
  <c r="AA23" i="41"/>
  <c r="Q24" i="41"/>
  <c r="T24" i="41"/>
  <c r="X24" i="41"/>
  <c r="AA24" i="41"/>
  <c r="Q25" i="41"/>
  <c r="T25" i="41"/>
  <c r="X25" i="41"/>
  <c r="AA25" i="41"/>
  <c r="Q26" i="41"/>
  <c r="T26" i="41"/>
  <c r="X26" i="41"/>
  <c r="AA26" i="41"/>
  <c r="Q27" i="41"/>
  <c r="T27" i="41"/>
  <c r="X27" i="41"/>
  <c r="AA27" i="41"/>
  <c r="Q28" i="41"/>
  <c r="T28" i="41"/>
  <c r="X28" i="41"/>
  <c r="AA28" i="41"/>
  <c r="Q29" i="41"/>
  <c r="T29" i="41"/>
  <c r="X29" i="41"/>
  <c r="AA29" i="41"/>
  <c r="Q30" i="41"/>
  <c r="T30" i="41"/>
  <c r="X30" i="41"/>
  <c r="AA30" i="41"/>
  <c r="Q31" i="41"/>
  <c r="T31" i="41"/>
  <c r="X31" i="41"/>
  <c r="AA31" i="41"/>
  <c r="Q32" i="41"/>
  <c r="T32" i="41"/>
  <c r="X32" i="41"/>
  <c r="AA32" i="41"/>
  <c r="Q33" i="41"/>
  <c r="T33" i="41"/>
  <c r="X33" i="41"/>
  <c r="AA33" i="41"/>
  <c r="Q34" i="41"/>
  <c r="T34" i="41"/>
  <c r="X34" i="41"/>
  <c r="AA34" i="41"/>
  <c r="Q35" i="41"/>
  <c r="T35" i="41"/>
  <c r="X35" i="41"/>
  <c r="AA35" i="41"/>
  <c r="Q36" i="41"/>
  <c r="T36" i="41"/>
  <c r="X36" i="41"/>
  <c r="AA36" i="41"/>
  <c r="Q37" i="41"/>
  <c r="T37" i="41"/>
  <c r="X37" i="41"/>
  <c r="AA37" i="41"/>
  <c r="Q38" i="41"/>
  <c r="T38" i="41"/>
  <c r="X38" i="41"/>
  <c r="AA38" i="41"/>
  <c r="Q39" i="41"/>
  <c r="T39" i="41"/>
  <c r="X39" i="41"/>
  <c r="AA39" i="41"/>
  <c r="Q40" i="41"/>
  <c r="T40" i="41"/>
  <c r="X40" i="41"/>
  <c r="AA40" i="41"/>
  <c r="Q41" i="41"/>
  <c r="T41" i="41"/>
  <c r="X41" i="41"/>
  <c r="AA41" i="41"/>
  <c r="Q42" i="41"/>
  <c r="T42" i="41"/>
  <c r="X42" i="41"/>
  <c r="AA42" i="41"/>
  <c r="AA11" i="41"/>
  <c r="AA12" i="41"/>
  <c r="S16" i="42"/>
  <c r="U16" i="42"/>
  <c r="W16" i="42"/>
  <c r="V16" i="42"/>
  <c r="Y16" i="42"/>
  <c r="Z16" i="42"/>
  <c r="A17" i="42"/>
  <c r="S17" i="42"/>
  <c r="U17" i="42"/>
  <c r="W17" i="42"/>
  <c r="V17" i="42"/>
  <c r="Y17" i="42"/>
  <c r="Z17" i="42"/>
  <c r="A18" i="42"/>
  <c r="S18" i="42"/>
  <c r="U18" i="42"/>
  <c r="W18" i="42"/>
  <c r="V18" i="42"/>
  <c r="Y18" i="42"/>
  <c r="Z18" i="42"/>
  <c r="A19" i="42"/>
  <c r="S19" i="42"/>
  <c r="U19" i="42"/>
  <c r="W19" i="42"/>
  <c r="V19" i="42"/>
  <c r="Y19" i="42"/>
  <c r="Z19" i="42"/>
  <c r="A20" i="42"/>
  <c r="S20" i="42"/>
  <c r="U20" i="42"/>
  <c r="W20" i="42"/>
  <c r="V20" i="42"/>
  <c r="Y20" i="42"/>
  <c r="Z20" i="42"/>
  <c r="A21" i="42"/>
  <c r="S21" i="42"/>
  <c r="U21" i="42"/>
  <c r="W21" i="42"/>
  <c r="V21" i="42"/>
  <c r="Y21" i="42"/>
  <c r="Z21" i="42"/>
  <c r="A22" i="42"/>
  <c r="S22" i="42"/>
  <c r="U22" i="42"/>
  <c r="W22" i="42"/>
  <c r="V22" i="42"/>
  <c r="Y22" i="42"/>
  <c r="Z22" i="42"/>
  <c r="A23" i="42"/>
  <c r="S23" i="42"/>
  <c r="U23" i="42"/>
  <c r="W23" i="42"/>
  <c r="V23" i="42"/>
  <c r="Y23" i="42"/>
  <c r="Z23" i="42"/>
  <c r="A24" i="42"/>
  <c r="S24" i="42"/>
  <c r="U24" i="42"/>
  <c r="W24" i="42"/>
  <c r="V24" i="42"/>
  <c r="Y24" i="42"/>
  <c r="Z24" i="42"/>
  <c r="A25" i="42"/>
  <c r="S25" i="42"/>
  <c r="U25" i="42"/>
  <c r="W25" i="42"/>
  <c r="V25" i="42"/>
  <c r="Y25" i="42"/>
  <c r="Z25" i="42"/>
  <c r="Z12" i="42"/>
  <c r="Z11" i="42"/>
  <c r="Q16" i="42"/>
  <c r="T16" i="42"/>
  <c r="X16" i="42"/>
  <c r="AA16" i="42"/>
  <c r="Q17" i="42"/>
  <c r="T17" i="42"/>
  <c r="X17" i="42"/>
  <c r="AA17" i="42"/>
  <c r="Q18" i="42"/>
  <c r="T18" i="42"/>
  <c r="X18" i="42"/>
  <c r="AA18" i="42"/>
  <c r="Q19" i="42"/>
  <c r="T19" i="42"/>
  <c r="X19" i="42"/>
  <c r="AA19" i="42"/>
  <c r="Q20" i="42"/>
  <c r="T20" i="42"/>
  <c r="X20" i="42"/>
  <c r="AA20" i="42"/>
  <c r="Q21" i="42"/>
  <c r="T21" i="42"/>
  <c r="X21" i="42"/>
  <c r="AA21" i="42"/>
  <c r="Q22" i="42"/>
  <c r="T22" i="42"/>
  <c r="X22" i="42"/>
  <c r="AA22" i="42"/>
  <c r="Q23" i="42"/>
  <c r="T23" i="42"/>
  <c r="X23" i="42"/>
  <c r="AA23" i="42"/>
  <c r="Q24" i="42"/>
  <c r="T24" i="42"/>
  <c r="X24" i="42"/>
  <c r="AA24" i="42"/>
  <c r="Q25" i="42"/>
  <c r="T25" i="42"/>
  <c r="X25" i="42"/>
  <c r="AA25" i="42"/>
  <c r="AA12" i="42"/>
  <c r="AA11" i="42"/>
  <c r="A17" i="44"/>
  <c r="A18" i="44"/>
  <c r="A19" i="44"/>
  <c r="A20" i="44"/>
  <c r="A21" i="44"/>
  <c r="A22" i="44"/>
  <c r="A23" i="44"/>
  <c r="A24" i="44"/>
  <c r="A25" i="44"/>
  <c r="A26" i="44"/>
  <c r="A27" i="44"/>
  <c r="A28" i="44"/>
  <c r="A29" i="44"/>
  <c r="A30" i="44"/>
  <c r="A31" i="44"/>
  <c r="A32" i="44"/>
  <c r="A33" i="44"/>
  <c r="A34" i="44"/>
  <c r="A35" i="44"/>
  <c r="A36" i="44"/>
  <c r="A37" i="44"/>
  <c r="A38" i="44"/>
  <c r="A39" i="44"/>
  <c r="A40" i="44"/>
  <c r="A41" i="44"/>
  <c r="A42" i="44"/>
  <c r="A43" i="44"/>
  <c r="A44" i="44"/>
  <c r="A45" i="44"/>
  <c r="A46" i="44"/>
  <c r="A47" i="44"/>
  <c r="A48" i="44"/>
  <c r="A49" i="44"/>
  <c r="A50" i="44"/>
  <c r="A51" i="44"/>
  <c r="A52" i="44"/>
  <c r="A53" i="44"/>
  <c r="A54" i="44"/>
  <c r="S54" i="44"/>
  <c r="T54" i="44"/>
  <c r="W54" i="44"/>
  <c r="V54" i="44"/>
  <c r="Y54" i="44"/>
  <c r="Z54" i="44"/>
  <c r="A55" i="44"/>
  <c r="S55" i="44"/>
  <c r="T55" i="44"/>
  <c r="W55" i="44"/>
  <c r="V55" i="44"/>
  <c r="Y55" i="44"/>
  <c r="Z55" i="44"/>
  <c r="A56" i="44"/>
  <c r="S56" i="44"/>
  <c r="T56" i="44"/>
  <c r="W56" i="44"/>
  <c r="V56" i="44"/>
  <c r="Y56" i="44"/>
  <c r="Z56" i="44"/>
  <c r="A57" i="44"/>
  <c r="S57" i="44"/>
  <c r="T57" i="44"/>
  <c r="W57" i="44"/>
  <c r="V57" i="44"/>
  <c r="Y57" i="44"/>
  <c r="Z57" i="44"/>
  <c r="A58" i="44"/>
  <c r="S58" i="44"/>
  <c r="T58" i="44"/>
  <c r="W58" i="44"/>
  <c r="V58" i="44"/>
  <c r="Y58" i="44"/>
  <c r="Z58" i="44"/>
  <c r="A59" i="44"/>
  <c r="S59" i="44"/>
  <c r="T59" i="44"/>
  <c r="W59" i="44"/>
  <c r="V59" i="44"/>
  <c r="Y59" i="44"/>
  <c r="Z59" i="44"/>
  <c r="A60" i="44"/>
  <c r="S60" i="44"/>
  <c r="T60" i="44"/>
  <c r="W60" i="44"/>
  <c r="V60" i="44"/>
  <c r="Y60" i="44"/>
  <c r="Z60" i="44"/>
  <c r="A61" i="44"/>
  <c r="S61" i="44"/>
  <c r="T61" i="44"/>
  <c r="W61" i="44"/>
  <c r="V61" i="44"/>
  <c r="Y61" i="44"/>
  <c r="Z61" i="44"/>
  <c r="A62" i="44"/>
  <c r="S62" i="44"/>
  <c r="T62" i="44"/>
  <c r="W62" i="44"/>
  <c r="V62" i="44"/>
  <c r="Y62" i="44"/>
  <c r="Z62" i="44"/>
  <c r="A63" i="44"/>
  <c r="S63" i="44"/>
  <c r="T63" i="44"/>
  <c r="W63" i="44"/>
  <c r="V63" i="44"/>
  <c r="Y63" i="44"/>
  <c r="Z63" i="44"/>
  <c r="A64" i="44"/>
  <c r="S64" i="44"/>
  <c r="T64" i="44"/>
  <c r="W64" i="44"/>
  <c r="V64" i="44"/>
  <c r="Y64" i="44"/>
  <c r="Z64" i="44"/>
  <c r="A65" i="44"/>
  <c r="S65" i="44"/>
  <c r="T65" i="44"/>
  <c r="W65" i="44"/>
  <c r="V65" i="44"/>
  <c r="Y65" i="44"/>
  <c r="Z65" i="44"/>
  <c r="A66" i="44"/>
  <c r="S66" i="44"/>
  <c r="T66" i="44"/>
  <c r="W66" i="44"/>
  <c r="V66" i="44"/>
  <c r="Y66" i="44"/>
  <c r="Z66" i="44"/>
  <c r="A67" i="44"/>
  <c r="S67" i="44"/>
  <c r="T67" i="44"/>
  <c r="W67" i="44"/>
  <c r="V67" i="44"/>
  <c r="Y67" i="44"/>
  <c r="Z67" i="44"/>
  <c r="A68" i="44"/>
  <c r="S68" i="44"/>
  <c r="T68" i="44"/>
  <c r="W68" i="44"/>
  <c r="V68" i="44"/>
  <c r="Y68" i="44"/>
  <c r="Z68" i="44"/>
  <c r="A69" i="44"/>
  <c r="S69" i="44"/>
  <c r="T69" i="44"/>
  <c r="W69" i="44"/>
  <c r="V69" i="44"/>
  <c r="Y69" i="44"/>
  <c r="Z69" i="44"/>
  <c r="A70" i="44"/>
  <c r="S70" i="44"/>
  <c r="T70" i="44"/>
  <c r="W70" i="44"/>
  <c r="V70" i="44"/>
  <c r="Y70" i="44"/>
  <c r="Z70" i="44"/>
  <c r="A71" i="44"/>
  <c r="S71" i="44"/>
  <c r="T71" i="44"/>
  <c r="W71" i="44"/>
  <c r="V71" i="44"/>
  <c r="Y71" i="44"/>
  <c r="Z71" i="44"/>
  <c r="A72" i="44"/>
  <c r="S72" i="44"/>
  <c r="T72" i="44"/>
  <c r="W72" i="44"/>
  <c r="V72" i="44"/>
  <c r="Y72" i="44"/>
  <c r="Z72" i="44"/>
  <c r="A73" i="44"/>
  <c r="S73" i="44"/>
  <c r="T73" i="44"/>
  <c r="W73" i="44"/>
  <c r="V73" i="44"/>
  <c r="Y73" i="44"/>
  <c r="Z73" i="44"/>
  <c r="A74" i="44"/>
  <c r="S74" i="44"/>
  <c r="T74" i="44"/>
  <c r="W74" i="44"/>
  <c r="V74" i="44"/>
  <c r="Y74" i="44"/>
  <c r="Z74" i="44"/>
  <c r="A75" i="44"/>
  <c r="S75" i="44"/>
  <c r="T75" i="44"/>
  <c r="W75" i="44"/>
  <c r="V75" i="44"/>
  <c r="Y75" i="44"/>
  <c r="Z75" i="44"/>
  <c r="A76" i="44"/>
  <c r="S76" i="44"/>
  <c r="T76" i="44"/>
  <c r="W76" i="44"/>
  <c r="V76" i="44"/>
  <c r="Y76" i="44"/>
  <c r="Z76" i="44"/>
  <c r="A77" i="44"/>
  <c r="S77" i="44"/>
  <c r="T77" i="44"/>
  <c r="W77" i="44"/>
  <c r="V77" i="44"/>
  <c r="Y77" i="44"/>
  <c r="Z77" i="44"/>
  <c r="A78" i="44"/>
  <c r="S78" i="44"/>
  <c r="T78" i="44"/>
  <c r="W78" i="44"/>
  <c r="V78" i="44"/>
  <c r="Y78" i="44"/>
  <c r="Z78" i="44"/>
  <c r="A79" i="44"/>
  <c r="S79" i="44"/>
  <c r="T79" i="44"/>
  <c r="W79" i="44"/>
  <c r="V79" i="44"/>
  <c r="Y79" i="44"/>
  <c r="Z79" i="44"/>
  <c r="A80" i="44"/>
  <c r="S80" i="44"/>
  <c r="T80" i="44"/>
  <c r="W80" i="44"/>
  <c r="V80" i="44"/>
  <c r="Y80" i="44"/>
  <c r="Z80" i="44"/>
  <c r="A81" i="44"/>
  <c r="S81" i="44"/>
  <c r="T81" i="44"/>
  <c r="W81" i="44"/>
  <c r="V81" i="44"/>
  <c r="Y81" i="44"/>
  <c r="Z81" i="44"/>
  <c r="A82" i="44"/>
  <c r="S82" i="44"/>
  <c r="T82" i="44"/>
  <c r="W82" i="44"/>
  <c r="V82" i="44"/>
  <c r="Y82" i="44"/>
  <c r="Z82" i="44"/>
  <c r="A83" i="44"/>
  <c r="S83" i="44"/>
  <c r="T83" i="44"/>
  <c r="W83" i="44"/>
  <c r="V83" i="44"/>
  <c r="Y83" i="44"/>
  <c r="Z83" i="44"/>
  <c r="A84" i="44"/>
  <c r="S84" i="44"/>
  <c r="T84" i="44"/>
  <c r="W84" i="44"/>
  <c r="V84" i="44"/>
  <c r="Y84" i="44"/>
  <c r="Z84" i="44"/>
  <c r="A85" i="44"/>
  <c r="S85" i="44"/>
  <c r="T85" i="44"/>
  <c r="W85" i="44"/>
  <c r="V85" i="44"/>
  <c r="Y85" i="44"/>
  <c r="Z85" i="44"/>
  <c r="Z12" i="44"/>
  <c r="Z11" i="44"/>
  <c r="Q16" i="44"/>
  <c r="T16" i="44"/>
  <c r="X16" i="44"/>
  <c r="V16" i="44"/>
  <c r="Y16" i="44"/>
  <c r="AA16" i="44"/>
  <c r="Q17" i="44"/>
  <c r="T17" i="44"/>
  <c r="X17" i="44"/>
  <c r="V17" i="44"/>
  <c r="Y17" i="44"/>
  <c r="AA17" i="44"/>
  <c r="Q18" i="44"/>
  <c r="T18" i="44"/>
  <c r="X18" i="44"/>
  <c r="V18" i="44"/>
  <c r="Y18" i="44"/>
  <c r="AA18" i="44"/>
  <c r="Q19" i="44"/>
  <c r="T19" i="44"/>
  <c r="X19" i="44"/>
  <c r="V19" i="44"/>
  <c r="Y19" i="44"/>
  <c r="AA19" i="44"/>
  <c r="Q20" i="44"/>
  <c r="T20" i="44"/>
  <c r="X20" i="44"/>
  <c r="V20" i="44"/>
  <c r="Y20" i="44"/>
  <c r="AA20" i="44"/>
  <c r="Q21" i="44"/>
  <c r="T21" i="44"/>
  <c r="X21" i="44"/>
  <c r="V21" i="44"/>
  <c r="Y21" i="44"/>
  <c r="AA21" i="44"/>
  <c r="Q22" i="44"/>
  <c r="T22" i="44"/>
  <c r="X22" i="44"/>
  <c r="V22" i="44"/>
  <c r="Y22" i="44"/>
  <c r="AA22" i="44"/>
  <c r="Q23" i="44"/>
  <c r="T23" i="44"/>
  <c r="X23" i="44"/>
  <c r="V23" i="44"/>
  <c r="Y23" i="44"/>
  <c r="AA23" i="44"/>
  <c r="Q24" i="44"/>
  <c r="T24" i="44"/>
  <c r="X24" i="44"/>
  <c r="V24" i="44"/>
  <c r="Y24" i="44"/>
  <c r="AA24" i="44"/>
  <c r="Q25" i="44"/>
  <c r="T25" i="44"/>
  <c r="X25" i="44"/>
  <c r="V25" i="44"/>
  <c r="Y25" i="44"/>
  <c r="AA25" i="44"/>
  <c r="Q26" i="44"/>
  <c r="T26" i="44"/>
  <c r="X26" i="44"/>
  <c r="V26" i="44"/>
  <c r="Y26" i="44"/>
  <c r="AA26" i="44"/>
  <c r="Q27" i="44"/>
  <c r="T27" i="44"/>
  <c r="X27" i="44"/>
  <c r="V27" i="44"/>
  <c r="Y27" i="44"/>
  <c r="AA27" i="44"/>
  <c r="Q28" i="44"/>
  <c r="T28" i="44"/>
  <c r="X28" i="44"/>
  <c r="V28" i="44"/>
  <c r="Y28" i="44"/>
  <c r="AA28" i="44"/>
  <c r="Q29" i="44"/>
  <c r="T29" i="44"/>
  <c r="X29" i="44"/>
  <c r="V29" i="44"/>
  <c r="Y29" i="44"/>
  <c r="AA29" i="44"/>
  <c r="Q30" i="44"/>
  <c r="T30" i="44"/>
  <c r="X30" i="44"/>
  <c r="V30" i="44"/>
  <c r="Y30" i="44"/>
  <c r="AA30" i="44"/>
  <c r="Q31" i="44"/>
  <c r="T31" i="44"/>
  <c r="X31" i="44"/>
  <c r="V31" i="44"/>
  <c r="Y31" i="44"/>
  <c r="AA31" i="44"/>
  <c r="Q32" i="44"/>
  <c r="T32" i="44"/>
  <c r="X32" i="44"/>
  <c r="V32" i="44"/>
  <c r="Y32" i="44"/>
  <c r="AA32" i="44"/>
  <c r="Q33" i="44"/>
  <c r="T33" i="44"/>
  <c r="X33" i="44"/>
  <c r="V33" i="44"/>
  <c r="Y33" i="44"/>
  <c r="AA33" i="44"/>
  <c r="Q34" i="44"/>
  <c r="T34" i="44"/>
  <c r="X34" i="44"/>
  <c r="V34" i="44"/>
  <c r="Y34" i="44"/>
  <c r="AA34" i="44"/>
  <c r="Q35" i="44"/>
  <c r="T35" i="44"/>
  <c r="X35" i="44"/>
  <c r="V35" i="44"/>
  <c r="Y35" i="44"/>
  <c r="AA35" i="44"/>
  <c r="Q36" i="44"/>
  <c r="T36" i="44"/>
  <c r="X36" i="44"/>
  <c r="V36" i="44"/>
  <c r="Y36" i="44"/>
  <c r="AA36" i="44"/>
  <c r="Q37" i="44"/>
  <c r="T37" i="44"/>
  <c r="X37" i="44"/>
  <c r="V37" i="44"/>
  <c r="Y37" i="44"/>
  <c r="AA37" i="44"/>
  <c r="Q38" i="44"/>
  <c r="T38" i="44"/>
  <c r="X38" i="44"/>
  <c r="V38" i="44"/>
  <c r="Y38" i="44"/>
  <c r="AA38" i="44"/>
  <c r="Q39" i="44"/>
  <c r="T39" i="44"/>
  <c r="X39" i="44"/>
  <c r="V39" i="44"/>
  <c r="Y39" i="44"/>
  <c r="AA39" i="44"/>
  <c r="Q40" i="44"/>
  <c r="T40" i="44"/>
  <c r="X40" i="44"/>
  <c r="V40" i="44"/>
  <c r="Y40" i="44"/>
  <c r="AA40" i="44"/>
  <c r="Q41" i="44"/>
  <c r="T41" i="44"/>
  <c r="X41" i="44"/>
  <c r="V41" i="44"/>
  <c r="Y41" i="44"/>
  <c r="AA41" i="44"/>
  <c r="Q42" i="44"/>
  <c r="T42" i="44"/>
  <c r="X42" i="44"/>
  <c r="V42" i="44"/>
  <c r="Y42" i="44"/>
  <c r="AA42" i="44"/>
  <c r="Q43" i="44"/>
  <c r="T43" i="44"/>
  <c r="X43" i="44"/>
  <c r="V43" i="44"/>
  <c r="Y43" i="44"/>
  <c r="AA43" i="44"/>
  <c r="Q44" i="44"/>
  <c r="T44" i="44"/>
  <c r="X44" i="44"/>
  <c r="V44" i="44"/>
  <c r="Y44" i="44"/>
  <c r="AA44" i="44"/>
  <c r="Q45" i="44"/>
  <c r="T45" i="44"/>
  <c r="X45" i="44"/>
  <c r="V45" i="44"/>
  <c r="Y45" i="44"/>
  <c r="AA45" i="44"/>
  <c r="Q46" i="44"/>
  <c r="T46" i="44"/>
  <c r="X46" i="44"/>
  <c r="V46" i="44"/>
  <c r="Y46" i="44"/>
  <c r="AA46" i="44"/>
  <c r="Q47" i="44"/>
  <c r="T47" i="44"/>
  <c r="X47" i="44"/>
  <c r="V47" i="44"/>
  <c r="Y47" i="44"/>
  <c r="AA47" i="44"/>
  <c r="Q48" i="44"/>
  <c r="T48" i="44"/>
  <c r="X48" i="44"/>
  <c r="V48" i="44"/>
  <c r="Y48" i="44"/>
  <c r="AA48" i="44"/>
  <c r="Q49" i="44"/>
  <c r="T49" i="44"/>
  <c r="X49" i="44"/>
  <c r="V49" i="44"/>
  <c r="Y49" i="44"/>
  <c r="AA49" i="44"/>
  <c r="Q50" i="44"/>
  <c r="T50" i="44"/>
  <c r="X50" i="44"/>
  <c r="V50" i="44"/>
  <c r="Y50" i="44"/>
  <c r="AA50" i="44"/>
  <c r="Q51" i="44"/>
  <c r="T51" i="44"/>
  <c r="X51" i="44"/>
  <c r="V51" i="44"/>
  <c r="Y51" i="44"/>
  <c r="AA51" i="44"/>
  <c r="Q52" i="44"/>
  <c r="T52" i="44"/>
  <c r="X52" i="44"/>
  <c r="V52" i="44"/>
  <c r="Y52" i="44"/>
  <c r="AA52" i="44"/>
  <c r="Q53" i="44"/>
  <c r="T53" i="44"/>
  <c r="X53" i="44"/>
  <c r="V53" i="44"/>
  <c r="Y53" i="44"/>
  <c r="AA53" i="44"/>
  <c r="Q54" i="44"/>
  <c r="X54" i="44"/>
  <c r="AA54" i="44"/>
  <c r="Q55" i="44"/>
  <c r="X55" i="44"/>
  <c r="AA55" i="44"/>
  <c r="Q56" i="44"/>
  <c r="X56" i="44"/>
  <c r="AA56" i="44"/>
  <c r="Q57" i="44"/>
  <c r="X57" i="44"/>
  <c r="AA57" i="44"/>
  <c r="Q58" i="44"/>
  <c r="X58" i="44"/>
  <c r="AA58" i="44"/>
  <c r="Q59" i="44"/>
  <c r="X59" i="44"/>
  <c r="AA59" i="44"/>
  <c r="Q60" i="44"/>
  <c r="X60" i="44"/>
  <c r="AA60" i="44"/>
  <c r="Q61" i="44"/>
  <c r="X61" i="44"/>
  <c r="AA61" i="44"/>
  <c r="Q62" i="44"/>
  <c r="X62" i="44"/>
  <c r="AA62" i="44"/>
  <c r="Q63" i="44"/>
  <c r="X63" i="44"/>
  <c r="AA63" i="44"/>
  <c r="Q64" i="44"/>
  <c r="X64" i="44"/>
  <c r="AA64" i="44"/>
  <c r="Q65" i="44"/>
  <c r="X65" i="44"/>
  <c r="AA65" i="44"/>
  <c r="Q66" i="44"/>
  <c r="X66" i="44"/>
  <c r="AA66" i="44"/>
  <c r="Q67" i="44"/>
  <c r="X67" i="44"/>
  <c r="AA67" i="44"/>
  <c r="Q68" i="44"/>
  <c r="X68" i="44"/>
  <c r="AA68" i="44"/>
  <c r="Q69" i="44"/>
  <c r="X69" i="44"/>
  <c r="AA69" i="44"/>
  <c r="Q70" i="44"/>
  <c r="X70" i="44"/>
  <c r="AA70" i="44"/>
  <c r="Q71" i="44"/>
  <c r="X71" i="44"/>
  <c r="AA71" i="44"/>
  <c r="Q72" i="44"/>
  <c r="X72" i="44"/>
  <c r="AA72" i="44"/>
  <c r="Q73" i="44"/>
  <c r="X73" i="44"/>
  <c r="AA73" i="44"/>
  <c r="Q74" i="44"/>
  <c r="X74" i="44"/>
  <c r="AA74" i="44"/>
  <c r="Q75" i="44"/>
  <c r="X75" i="44"/>
  <c r="AA75" i="44"/>
  <c r="Q76" i="44"/>
  <c r="X76" i="44"/>
  <c r="AA76" i="44"/>
  <c r="Q77" i="44"/>
  <c r="X77" i="44"/>
  <c r="AA77" i="44"/>
  <c r="Q78" i="44"/>
  <c r="X78" i="44"/>
  <c r="AA78" i="44"/>
  <c r="Q79" i="44"/>
  <c r="X79" i="44"/>
  <c r="AA79" i="44"/>
  <c r="Q80" i="44"/>
  <c r="X80" i="44"/>
  <c r="AA80" i="44"/>
  <c r="Q81" i="44"/>
  <c r="X81" i="44"/>
  <c r="AA81" i="44"/>
  <c r="Q82" i="44"/>
  <c r="X82" i="44"/>
  <c r="AA82" i="44"/>
  <c r="Q83" i="44"/>
  <c r="X83" i="44"/>
  <c r="AA83" i="44"/>
  <c r="Q84" i="44"/>
  <c r="X84" i="44"/>
  <c r="AA84" i="44"/>
  <c r="Q85" i="44"/>
  <c r="X85" i="44"/>
  <c r="AA85" i="44"/>
  <c r="AA12" i="44"/>
  <c r="AA11" i="44"/>
  <c r="S16" i="45"/>
  <c r="T16" i="45"/>
  <c r="W16" i="45"/>
  <c r="V16" i="45"/>
  <c r="Y16" i="45"/>
  <c r="Z16" i="45"/>
  <c r="A17" i="45"/>
  <c r="S17" i="45"/>
  <c r="T17" i="45"/>
  <c r="W17" i="45"/>
  <c r="V17" i="45"/>
  <c r="Y17" i="45"/>
  <c r="Z17" i="45"/>
  <c r="A18" i="45"/>
  <c r="S18" i="45"/>
  <c r="T18" i="45"/>
  <c r="W18" i="45"/>
  <c r="V18" i="45"/>
  <c r="Y18" i="45"/>
  <c r="Z18" i="45"/>
  <c r="A19" i="45"/>
  <c r="S19" i="45"/>
  <c r="T19" i="45"/>
  <c r="W19" i="45"/>
  <c r="V19" i="45"/>
  <c r="Y19" i="45"/>
  <c r="Z19" i="45"/>
  <c r="A20" i="45"/>
  <c r="S20" i="45"/>
  <c r="T20" i="45"/>
  <c r="W20" i="45"/>
  <c r="V20" i="45"/>
  <c r="Y20" i="45"/>
  <c r="Z20" i="45"/>
  <c r="A21" i="45"/>
  <c r="S21" i="45"/>
  <c r="T21" i="45"/>
  <c r="W21" i="45"/>
  <c r="V21" i="45"/>
  <c r="Y21" i="45"/>
  <c r="Z21" i="45"/>
  <c r="A22" i="45"/>
  <c r="S22" i="45"/>
  <c r="T22" i="45"/>
  <c r="W22" i="45"/>
  <c r="V22" i="45"/>
  <c r="Y22" i="45"/>
  <c r="Z22" i="45"/>
  <c r="A23" i="45"/>
  <c r="S23" i="45"/>
  <c r="T23" i="45"/>
  <c r="W23" i="45"/>
  <c r="V23" i="45"/>
  <c r="Y23" i="45"/>
  <c r="Z23" i="45"/>
  <c r="A24" i="45"/>
  <c r="S24" i="45"/>
  <c r="T24" i="45"/>
  <c r="W24" i="45"/>
  <c r="V24" i="45"/>
  <c r="Y24" i="45"/>
  <c r="Z24" i="45"/>
  <c r="A25" i="45"/>
  <c r="S25" i="45"/>
  <c r="T25" i="45"/>
  <c r="W25" i="45"/>
  <c r="V25" i="45"/>
  <c r="Y25" i="45"/>
  <c r="Z25" i="45"/>
  <c r="A26" i="45"/>
  <c r="S26" i="45"/>
  <c r="T26" i="45"/>
  <c r="W26" i="45"/>
  <c r="V26" i="45"/>
  <c r="Y26" i="45"/>
  <c r="Z26" i="45"/>
  <c r="A27" i="45"/>
  <c r="S27" i="45"/>
  <c r="T27" i="45"/>
  <c r="W27" i="45"/>
  <c r="V27" i="45"/>
  <c r="Y27" i="45"/>
  <c r="Z27" i="45"/>
  <c r="A28" i="45"/>
  <c r="S28" i="45"/>
  <c r="T28" i="45"/>
  <c r="W28" i="45"/>
  <c r="V28" i="45"/>
  <c r="Y28" i="45"/>
  <c r="Z28" i="45"/>
  <c r="A29" i="45"/>
  <c r="S29" i="45"/>
  <c r="T29" i="45"/>
  <c r="W29" i="45"/>
  <c r="V29" i="45"/>
  <c r="Y29" i="45"/>
  <c r="Z29" i="45"/>
  <c r="A30" i="45"/>
  <c r="S30" i="45"/>
  <c r="T30" i="45"/>
  <c r="W30" i="45"/>
  <c r="V30" i="45"/>
  <c r="Y30" i="45"/>
  <c r="Z30" i="45"/>
  <c r="A31" i="45"/>
  <c r="S31" i="45"/>
  <c r="T31" i="45"/>
  <c r="W31" i="45"/>
  <c r="V31" i="45"/>
  <c r="Y31" i="45"/>
  <c r="Z31" i="45"/>
  <c r="A32" i="45"/>
  <c r="S32" i="45"/>
  <c r="T32" i="45"/>
  <c r="W32" i="45"/>
  <c r="V32" i="45"/>
  <c r="Y32" i="45"/>
  <c r="Z32" i="45"/>
  <c r="A33" i="45"/>
  <c r="S33" i="45"/>
  <c r="T33" i="45"/>
  <c r="W33" i="45"/>
  <c r="V33" i="45"/>
  <c r="Y33" i="45"/>
  <c r="Z33" i="45"/>
  <c r="A34" i="45"/>
  <c r="S34" i="45"/>
  <c r="T34" i="45"/>
  <c r="W34" i="45"/>
  <c r="V34" i="45"/>
  <c r="Y34" i="45"/>
  <c r="Z34" i="45"/>
  <c r="A35" i="45"/>
  <c r="S35" i="45"/>
  <c r="T35" i="45"/>
  <c r="W35" i="45"/>
  <c r="V35" i="45"/>
  <c r="Y35" i="45"/>
  <c r="Z35" i="45"/>
  <c r="A36" i="45"/>
  <c r="S36" i="45"/>
  <c r="T36" i="45"/>
  <c r="W36" i="45"/>
  <c r="V36" i="45"/>
  <c r="Y36" i="45"/>
  <c r="Z36" i="45"/>
  <c r="A37" i="45"/>
  <c r="S37" i="45"/>
  <c r="T37" i="45"/>
  <c r="W37" i="45"/>
  <c r="V37" i="45"/>
  <c r="Y37" i="45"/>
  <c r="Z37" i="45"/>
  <c r="A38" i="45"/>
  <c r="S38" i="45"/>
  <c r="T38" i="45"/>
  <c r="W38" i="45"/>
  <c r="V38" i="45"/>
  <c r="Y38" i="45"/>
  <c r="Z38" i="45"/>
  <c r="A39" i="45"/>
  <c r="S39" i="45"/>
  <c r="T39" i="45"/>
  <c r="W39" i="45"/>
  <c r="V39" i="45"/>
  <c r="Y39" i="45"/>
  <c r="Z39" i="45"/>
  <c r="A40" i="45"/>
  <c r="S40" i="45"/>
  <c r="T40" i="45"/>
  <c r="W40" i="45"/>
  <c r="V40" i="45"/>
  <c r="Y40" i="45"/>
  <c r="Z40" i="45"/>
  <c r="A41" i="45"/>
  <c r="S41" i="45"/>
  <c r="T41" i="45"/>
  <c r="W41" i="45"/>
  <c r="V41" i="45"/>
  <c r="Y41" i="45"/>
  <c r="Z41" i="45"/>
  <c r="A42" i="45"/>
  <c r="S42" i="45"/>
  <c r="T42" i="45"/>
  <c r="W42" i="45"/>
  <c r="V42" i="45"/>
  <c r="Y42" i="45"/>
  <c r="Z42" i="45"/>
  <c r="A43" i="45"/>
  <c r="S43" i="45"/>
  <c r="T43" i="45"/>
  <c r="W43" i="45"/>
  <c r="V43" i="45"/>
  <c r="Y43" i="45"/>
  <c r="Z43" i="45"/>
  <c r="A44" i="45"/>
  <c r="S44" i="45"/>
  <c r="T44" i="45"/>
  <c r="W44" i="45"/>
  <c r="V44" i="45"/>
  <c r="Y44" i="45"/>
  <c r="Z44" i="45"/>
  <c r="A45" i="45"/>
  <c r="S45" i="45"/>
  <c r="T45" i="45"/>
  <c r="W45" i="45"/>
  <c r="V45" i="45"/>
  <c r="Y45" i="45"/>
  <c r="Z45" i="45"/>
  <c r="A46" i="45"/>
  <c r="S46" i="45"/>
  <c r="T46" i="45"/>
  <c r="W46" i="45"/>
  <c r="V46" i="45"/>
  <c r="Y46" i="45"/>
  <c r="Z46" i="45"/>
  <c r="A47" i="45"/>
  <c r="S47" i="45"/>
  <c r="T47" i="45"/>
  <c r="W47" i="45"/>
  <c r="V47" i="45"/>
  <c r="Y47" i="45"/>
  <c r="Z47" i="45"/>
  <c r="A48" i="45"/>
  <c r="S48" i="45"/>
  <c r="T48" i="45"/>
  <c r="W48" i="45"/>
  <c r="V48" i="45"/>
  <c r="Y48" i="45"/>
  <c r="Z48" i="45"/>
  <c r="A49" i="45"/>
  <c r="S49" i="45"/>
  <c r="T49" i="45"/>
  <c r="W49" i="45"/>
  <c r="V49" i="45"/>
  <c r="Y49" i="45"/>
  <c r="Z49" i="45"/>
  <c r="A50" i="45"/>
  <c r="S50" i="45"/>
  <c r="T50" i="45"/>
  <c r="W50" i="45"/>
  <c r="V50" i="45"/>
  <c r="Y50" i="45"/>
  <c r="Z50" i="45"/>
  <c r="A51" i="45"/>
  <c r="S51" i="45"/>
  <c r="T51" i="45"/>
  <c r="W51" i="45"/>
  <c r="V51" i="45"/>
  <c r="Y51" i="45"/>
  <c r="Z51" i="45"/>
  <c r="A52" i="45"/>
  <c r="S52" i="45"/>
  <c r="T52" i="45"/>
  <c r="W52" i="45"/>
  <c r="V52" i="45"/>
  <c r="Y52" i="45"/>
  <c r="Z52" i="45"/>
  <c r="A53" i="45"/>
  <c r="S53" i="45"/>
  <c r="T53" i="45"/>
  <c r="W53" i="45"/>
  <c r="V53" i="45"/>
  <c r="Y53" i="45"/>
  <c r="Z53" i="45"/>
  <c r="A54" i="45"/>
  <c r="S54" i="45"/>
  <c r="T54" i="45"/>
  <c r="W54" i="45"/>
  <c r="V54" i="45"/>
  <c r="Y54" i="45"/>
  <c r="Z54" i="45"/>
  <c r="A55" i="45"/>
  <c r="S55" i="45"/>
  <c r="T55" i="45"/>
  <c r="W55" i="45"/>
  <c r="V55" i="45"/>
  <c r="Y55" i="45"/>
  <c r="Z55" i="45"/>
  <c r="A56" i="45"/>
  <c r="S56" i="45"/>
  <c r="T56" i="45"/>
  <c r="W56" i="45"/>
  <c r="V56" i="45"/>
  <c r="Y56" i="45"/>
  <c r="Z56" i="45"/>
  <c r="A57" i="45"/>
  <c r="S57" i="45"/>
  <c r="T57" i="45"/>
  <c r="W57" i="45"/>
  <c r="V57" i="45"/>
  <c r="Y57" i="45"/>
  <c r="Z57" i="45"/>
  <c r="A58" i="45"/>
  <c r="S58" i="45"/>
  <c r="T58" i="45"/>
  <c r="W58" i="45"/>
  <c r="V58" i="45"/>
  <c r="Y58" i="45"/>
  <c r="Z58" i="45"/>
  <c r="A59" i="45"/>
  <c r="S59" i="45"/>
  <c r="T59" i="45"/>
  <c r="W59" i="45"/>
  <c r="V59" i="45"/>
  <c r="Y59" i="45"/>
  <c r="Z59" i="45"/>
  <c r="A60" i="45"/>
  <c r="S60" i="45"/>
  <c r="T60" i="45"/>
  <c r="W60" i="45"/>
  <c r="V60" i="45"/>
  <c r="Y60" i="45"/>
  <c r="Z60" i="45"/>
  <c r="A61" i="45"/>
  <c r="S61" i="45"/>
  <c r="T61" i="45"/>
  <c r="W61" i="45"/>
  <c r="V61" i="45"/>
  <c r="Y61" i="45"/>
  <c r="Z61" i="45"/>
  <c r="A62" i="45"/>
  <c r="S62" i="45"/>
  <c r="T62" i="45"/>
  <c r="W62" i="45"/>
  <c r="V62" i="45"/>
  <c r="Y62" i="45"/>
  <c r="Z62" i="45"/>
  <c r="A63" i="45"/>
  <c r="S63" i="45"/>
  <c r="T63" i="45"/>
  <c r="W63" i="45"/>
  <c r="V63" i="45"/>
  <c r="Y63" i="45"/>
  <c r="Z63" i="45"/>
  <c r="A64" i="45"/>
  <c r="S64" i="45"/>
  <c r="T64" i="45"/>
  <c r="W64" i="45"/>
  <c r="V64" i="45"/>
  <c r="Y64" i="45"/>
  <c r="Z64" i="45"/>
  <c r="A65" i="45"/>
  <c r="S65" i="45"/>
  <c r="T65" i="45"/>
  <c r="W65" i="45"/>
  <c r="V65" i="45"/>
  <c r="Y65" i="45"/>
  <c r="Z65" i="45"/>
  <c r="A66" i="45"/>
  <c r="S66" i="45"/>
  <c r="T66" i="45"/>
  <c r="W66" i="45"/>
  <c r="V66" i="45"/>
  <c r="Y66" i="45"/>
  <c r="Z66" i="45"/>
  <c r="A67" i="45"/>
  <c r="S67" i="45"/>
  <c r="T67" i="45"/>
  <c r="W67" i="45"/>
  <c r="V67" i="45"/>
  <c r="Y67" i="45"/>
  <c r="Z67" i="45"/>
  <c r="A68" i="45"/>
  <c r="S68" i="45"/>
  <c r="T68" i="45"/>
  <c r="W68" i="45"/>
  <c r="V68" i="45"/>
  <c r="Y68" i="45"/>
  <c r="Z68" i="45"/>
  <c r="A69" i="45"/>
  <c r="S69" i="45"/>
  <c r="T69" i="45"/>
  <c r="W69" i="45"/>
  <c r="V69" i="45"/>
  <c r="Y69" i="45"/>
  <c r="Z69" i="45"/>
  <c r="A70" i="45"/>
  <c r="S70" i="45"/>
  <c r="T70" i="45"/>
  <c r="W70" i="45"/>
  <c r="V70" i="45"/>
  <c r="Y70" i="45"/>
  <c r="Z70" i="45"/>
  <c r="A71" i="45"/>
  <c r="S71" i="45"/>
  <c r="T71" i="45"/>
  <c r="W71" i="45"/>
  <c r="V71" i="45"/>
  <c r="Y71" i="45"/>
  <c r="Z71" i="45"/>
  <c r="A72" i="45"/>
  <c r="S72" i="45"/>
  <c r="T72" i="45"/>
  <c r="W72" i="45"/>
  <c r="V72" i="45"/>
  <c r="Y72" i="45"/>
  <c r="Z72" i="45"/>
  <c r="A73" i="45"/>
  <c r="S73" i="45"/>
  <c r="T73" i="45"/>
  <c r="W73" i="45"/>
  <c r="V73" i="45"/>
  <c r="Y73" i="45"/>
  <c r="Z73" i="45"/>
  <c r="A74" i="45"/>
  <c r="S74" i="45"/>
  <c r="T74" i="45"/>
  <c r="W74" i="45"/>
  <c r="V74" i="45"/>
  <c r="Y74" i="45"/>
  <c r="Z74" i="45"/>
  <c r="A75" i="45"/>
  <c r="S75" i="45"/>
  <c r="T75" i="45"/>
  <c r="W75" i="45"/>
  <c r="V75" i="45"/>
  <c r="Y75" i="45"/>
  <c r="Z75" i="45"/>
  <c r="A76" i="45"/>
  <c r="S76" i="45"/>
  <c r="T76" i="45"/>
  <c r="W76" i="45"/>
  <c r="V76" i="45"/>
  <c r="Y76" i="45"/>
  <c r="Z76" i="45"/>
  <c r="A77" i="45"/>
  <c r="S77" i="45"/>
  <c r="T77" i="45"/>
  <c r="W77" i="45"/>
  <c r="V77" i="45"/>
  <c r="Y77" i="45"/>
  <c r="Z77" i="45"/>
  <c r="A78" i="45"/>
  <c r="S78" i="45"/>
  <c r="T78" i="45"/>
  <c r="W78" i="45"/>
  <c r="V78" i="45"/>
  <c r="Y78" i="45"/>
  <c r="Z78" i="45"/>
  <c r="A79" i="45"/>
  <c r="S79" i="45"/>
  <c r="T79" i="45"/>
  <c r="W79" i="45"/>
  <c r="V79" i="45"/>
  <c r="Y79" i="45"/>
  <c r="Z79" i="45"/>
  <c r="A80" i="45"/>
  <c r="S80" i="45"/>
  <c r="T80" i="45"/>
  <c r="W80" i="45"/>
  <c r="V80" i="45"/>
  <c r="Y80" i="45"/>
  <c r="Z80" i="45"/>
  <c r="A81" i="45"/>
  <c r="S81" i="45"/>
  <c r="T81" i="45"/>
  <c r="W81" i="45"/>
  <c r="V81" i="45"/>
  <c r="Y81" i="45"/>
  <c r="Z81" i="45"/>
  <c r="A82" i="45"/>
  <c r="S82" i="45"/>
  <c r="T82" i="45"/>
  <c r="W82" i="45"/>
  <c r="V82" i="45"/>
  <c r="Y82" i="45"/>
  <c r="Z82" i="45"/>
  <c r="A83" i="45"/>
  <c r="S83" i="45"/>
  <c r="T83" i="45"/>
  <c r="W83" i="45"/>
  <c r="V83" i="45"/>
  <c r="Y83" i="45"/>
  <c r="Z83" i="45"/>
  <c r="A84" i="45"/>
  <c r="S84" i="45"/>
  <c r="T84" i="45"/>
  <c r="W84" i="45"/>
  <c r="V84" i="45"/>
  <c r="Y84" i="45"/>
  <c r="Z84" i="45"/>
  <c r="A85" i="45"/>
  <c r="S85" i="45"/>
  <c r="T85" i="45"/>
  <c r="W85" i="45"/>
  <c r="V85" i="45"/>
  <c r="Y85" i="45"/>
  <c r="Z85" i="45"/>
  <c r="A86" i="45"/>
  <c r="S86" i="45"/>
  <c r="T86" i="45"/>
  <c r="W86" i="45"/>
  <c r="V86" i="45"/>
  <c r="Y86" i="45"/>
  <c r="Z86" i="45"/>
  <c r="A87" i="45"/>
  <c r="S87" i="45"/>
  <c r="T87" i="45"/>
  <c r="W87" i="45"/>
  <c r="V87" i="45"/>
  <c r="Y87" i="45"/>
  <c r="Z87" i="45"/>
  <c r="A88" i="45"/>
  <c r="S88" i="45"/>
  <c r="T88" i="45"/>
  <c r="W88" i="45"/>
  <c r="V88" i="45"/>
  <c r="Y88" i="45"/>
  <c r="Z88" i="45"/>
  <c r="A89" i="45"/>
  <c r="S89" i="45"/>
  <c r="T89" i="45"/>
  <c r="W89" i="45"/>
  <c r="V89" i="45"/>
  <c r="Y89" i="45"/>
  <c r="Z89" i="45"/>
  <c r="A90" i="45"/>
  <c r="S90" i="45"/>
  <c r="T90" i="45"/>
  <c r="W90" i="45"/>
  <c r="V90" i="45"/>
  <c r="Y90" i="45"/>
  <c r="Z90" i="45"/>
  <c r="A91" i="45"/>
  <c r="S91" i="45"/>
  <c r="T91" i="45"/>
  <c r="W91" i="45"/>
  <c r="V91" i="45"/>
  <c r="Y91" i="45"/>
  <c r="Z91" i="45"/>
  <c r="A92" i="45"/>
  <c r="S92" i="45"/>
  <c r="T92" i="45"/>
  <c r="W92" i="45"/>
  <c r="V92" i="45"/>
  <c r="Y92" i="45"/>
  <c r="Z92" i="45"/>
  <c r="A93" i="45"/>
  <c r="S93" i="45"/>
  <c r="T93" i="45"/>
  <c r="W93" i="45"/>
  <c r="V93" i="45"/>
  <c r="Y93" i="45"/>
  <c r="Z93" i="45"/>
  <c r="A94" i="45"/>
  <c r="S94" i="45"/>
  <c r="T94" i="45"/>
  <c r="W94" i="45"/>
  <c r="V94" i="45"/>
  <c r="Y94" i="45"/>
  <c r="Z94" i="45"/>
  <c r="A95" i="45"/>
  <c r="S95" i="45"/>
  <c r="T95" i="45"/>
  <c r="W95" i="45"/>
  <c r="V95" i="45"/>
  <c r="Y95" i="45"/>
  <c r="Z95" i="45"/>
  <c r="Z12" i="45"/>
  <c r="Q16" i="45"/>
  <c r="X16" i="45"/>
  <c r="AA16" i="45"/>
  <c r="Q17" i="45"/>
  <c r="X17" i="45"/>
  <c r="AA17" i="45"/>
  <c r="Q18" i="45"/>
  <c r="X18" i="45"/>
  <c r="AA18" i="45"/>
  <c r="Q19" i="45"/>
  <c r="X19" i="45"/>
  <c r="AA19" i="45"/>
  <c r="Q20" i="45"/>
  <c r="X20" i="45"/>
  <c r="AA20" i="45"/>
  <c r="Q21" i="45"/>
  <c r="X21" i="45"/>
  <c r="AA21" i="45"/>
  <c r="Q22" i="45"/>
  <c r="X22" i="45"/>
  <c r="AA22" i="45"/>
  <c r="Q23" i="45"/>
  <c r="X23" i="45"/>
  <c r="AA23" i="45"/>
  <c r="Q24" i="45"/>
  <c r="X24" i="45"/>
  <c r="AA24" i="45"/>
  <c r="Q25" i="45"/>
  <c r="X25" i="45"/>
  <c r="AA25" i="45"/>
  <c r="Q26" i="45"/>
  <c r="X26" i="45"/>
  <c r="AA26" i="45"/>
  <c r="Q27" i="45"/>
  <c r="X27" i="45"/>
  <c r="AA27" i="45"/>
  <c r="Q28" i="45"/>
  <c r="X28" i="45"/>
  <c r="AA28" i="45"/>
  <c r="Q29" i="45"/>
  <c r="X29" i="45"/>
  <c r="AA29" i="45"/>
  <c r="Q30" i="45"/>
  <c r="X30" i="45"/>
  <c r="AA30" i="45"/>
  <c r="Q31" i="45"/>
  <c r="X31" i="45"/>
  <c r="AA31" i="45"/>
  <c r="Q32" i="45"/>
  <c r="X32" i="45"/>
  <c r="AA32" i="45"/>
  <c r="Q33" i="45"/>
  <c r="X33" i="45"/>
  <c r="AA33" i="45"/>
  <c r="Q34" i="45"/>
  <c r="X34" i="45"/>
  <c r="AA34" i="45"/>
  <c r="Q35" i="45"/>
  <c r="X35" i="45"/>
  <c r="AA35" i="45"/>
  <c r="Q36" i="45"/>
  <c r="X36" i="45"/>
  <c r="AA36" i="45"/>
  <c r="Q37" i="45"/>
  <c r="X37" i="45"/>
  <c r="AA37" i="45"/>
  <c r="Q38" i="45"/>
  <c r="X38" i="45"/>
  <c r="AA38" i="45"/>
  <c r="Q39" i="45"/>
  <c r="X39" i="45"/>
  <c r="AA39" i="45"/>
  <c r="Q40" i="45"/>
  <c r="X40" i="45"/>
  <c r="AA40" i="45"/>
  <c r="Q41" i="45"/>
  <c r="X41" i="45"/>
  <c r="AA41" i="45"/>
  <c r="Q42" i="45"/>
  <c r="X42" i="45"/>
  <c r="AA42" i="45"/>
  <c r="Q43" i="45"/>
  <c r="X43" i="45"/>
  <c r="AA43" i="45"/>
  <c r="Q44" i="45"/>
  <c r="X44" i="45"/>
  <c r="AA44" i="45"/>
  <c r="Q45" i="45"/>
  <c r="X45" i="45"/>
  <c r="AA45" i="45"/>
  <c r="Q46" i="45"/>
  <c r="X46" i="45"/>
  <c r="AA46" i="45"/>
  <c r="Q47" i="45"/>
  <c r="X47" i="45"/>
  <c r="AA47" i="45"/>
  <c r="Q48" i="45"/>
  <c r="X48" i="45"/>
  <c r="AA48" i="45"/>
  <c r="Q49" i="45"/>
  <c r="X49" i="45"/>
  <c r="AA49" i="45"/>
  <c r="Q50" i="45"/>
  <c r="X50" i="45"/>
  <c r="AA50" i="45"/>
  <c r="Q51" i="45"/>
  <c r="X51" i="45"/>
  <c r="AA51" i="45"/>
  <c r="Q52" i="45"/>
  <c r="X52" i="45"/>
  <c r="AA52" i="45"/>
  <c r="Q53" i="45"/>
  <c r="X53" i="45"/>
  <c r="AA53" i="45"/>
  <c r="Q54" i="45"/>
  <c r="X54" i="45"/>
  <c r="AA54" i="45"/>
  <c r="Q55" i="45"/>
  <c r="X55" i="45"/>
  <c r="AA55" i="45"/>
  <c r="Q56" i="45"/>
  <c r="X56" i="45"/>
  <c r="AA56" i="45"/>
  <c r="Q57" i="45"/>
  <c r="X57" i="45"/>
  <c r="AA57" i="45"/>
  <c r="Q58" i="45"/>
  <c r="X58" i="45"/>
  <c r="AA58" i="45"/>
  <c r="Q59" i="45"/>
  <c r="X59" i="45"/>
  <c r="AA59" i="45"/>
  <c r="Q60" i="45"/>
  <c r="X60" i="45"/>
  <c r="AA60" i="45"/>
  <c r="Q61" i="45"/>
  <c r="X61" i="45"/>
  <c r="AA61" i="45"/>
  <c r="Q62" i="45"/>
  <c r="X62" i="45"/>
  <c r="AA62" i="45"/>
  <c r="Q63" i="45"/>
  <c r="X63" i="45"/>
  <c r="AA63" i="45"/>
  <c r="Q64" i="45"/>
  <c r="X64" i="45"/>
  <c r="AA64" i="45"/>
  <c r="Q65" i="45"/>
  <c r="X65" i="45"/>
  <c r="AA65" i="45"/>
  <c r="Q66" i="45"/>
  <c r="X66" i="45"/>
  <c r="AA66" i="45"/>
  <c r="Q67" i="45"/>
  <c r="X67" i="45"/>
  <c r="AA67" i="45"/>
  <c r="Q68" i="45"/>
  <c r="X68" i="45"/>
  <c r="AA68" i="45"/>
  <c r="Q69" i="45"/>
  <c r="X69" i="45"/>
  <c r="AA69" i="45"/>
  <c r="Q70" i="45"/>
  <c r="X70" i="45"/>
  <c r="AA70" i="45"/>
  <c r="Q71" i="45"/>
  <c r="X71" i="45"/>
  <c r="AA71" i="45"/>
  <c r="Q72" i="45"/>
  <c r="X72" i="45"/>
  <c r="AA72" i="45"/>
  <c r="Q73" i="45"/>
  <c r="X73" i="45"/>
  <c r="AA73" i="45"/>
  <c r="Q74" i="45"/>
  <c r="X74" i="45"/>
  <c r="AA74" i="45"/>
  <c r="Q75" i="45"/>
  <c r="X75" i="45"/>
  <c r="AA75" i="45"/>
  <c r="Q76" i="45"/>
  <c r="X76" i="45"/>
  <c r="AA76" i="45"/>
  <c r="Q77" i="45"/>
  <c r="X77" i="45"/>
  <c r="AA77" i="45"/>
  <c r="Q78" i="45"/>
  <c r="X78" i="45"/>
  <c r="AA78" i="45"/>
  <c r="Q79" i="45"/>
  <c r="X79" i="45"/>
  <c r="AA79" i="45"/>
  <c r="Q80" i="45"/>
  <c r="X80" i="45"/>
  <c r="AA80" i="45"/>
  <c r="Q81" i="45"/>
  <c r="X81" i="45"/>
  <c r="AA81" i="45"/>
  <c r="Q82" i="45"/>
  <c r="X82" i="45"/>
  <c r="AA82" i="45"/>
  <c r="Q83" i="45"/>
  <c r="X83" i="45"/>
  <c r="AA83" i="45"/>
  <c r="Q84" i="45"/>
  <c r="X84" i="45"/>
  <c r="AA84" i="45"/>
  <c r="Q85" i="45"/>
  <c r="X85" i="45"/>
  <c r="AA85" i="45"/>
  <c r="Q86" i="45"/>
  <c r="X86" i="45"/>
  <c r="AA86" i="45"/>
  <c r="Q87" i="45"/>
  <c r="X87" i="45"/>
  <c r="AA87" i="45"/>
  <c r="Q88" i="45"/>
  <c r="X88" i="45"/>
  <c r="AA88" i="45"/>
  <c r="Q89" i="45"/>
  <c r="X89" i="45"/>
  <c r="AA89" i="45"/>
  <c r="Q90" i="45"/>
  <c r="X90" i="45"/>
  <c r="AA90" i="45"/>
  <c r="Q91" i="45"/>
  <c r="X91" i="45"/>
  <c r="AA91" i="45"/>
  <c r="Q92" i="45"/>
  <c r="X92" i="45"/>
  <c r="AA92" i="45"/>
  <c r="Q93" i="45"/>
  <c r="X93" i="45"/>
  <c r="AA93" i="45"/>
  <c r="Q94" i="45"/>
  <c r="X94" i="45"/>
  <c r="AA94" i="45"/>
  <c r="Q95" i="45"/>
  <c r="X95" i="45"/>
  <c r="AA95" i="45"/>
  <c r="AA12" i="45"/>
  <c r="AA11" i="45"/>
  <c r="Z11" i="45"/>
  <c r="U16" i="12"/>
  <c r="Y16" i="12"/>
  <c r="S16" i="12"/>
  <c r="T16" i="12"/>
  <c r="W16" i="12"/>
  <c r="V16" i="12"/>
  <c r="X16" i="12"/>
  <c r="A26" i="36"/>
  <c r="A27" i="36"/>
  <c r="U27" i="36"/>
  <c r="Y27" i="36"/>
  <c r="S27" i="36"/>
  <c r="T27" i="36"/>
  <c r="W27" i="36"/>
  <c r="V27" i="36"/>
  <c r="X27" i="36"/>
  <c r="AA16" i="37"/>
  <c r="AA17" i="37"/>
  <c r="AA18" i="37"/>
  <c r="AA19" i="37"/>
  <c r="AA20" i="37"/>
  <c r="AA21" i="37"/>
  <c r="AA22" i="37"/>
  <c r="AA23" i="37"/>
  <c r="AA24" i="37"/>
  <c r="AA25" i="37"/>
  <c r="A26" i="37"/>
  <c r="U26" i="37"/>
  <c r="Y26" i="37"/>
  <c r="S26" i="37"/>
  <c r="T26" i="37"/>
  <c r="W26" i="37"/>
  <c r="V26" i="37"/>
  <c r="X26" i="37"/>
  <c r="A27" i="37"/>
  <c r="U27" i="37"/>
  <c r="Y27" i="37"/>
  <c r="S27" i="37"/>
  <c r="T27" i="37"/>
  <c r="W27" i="37"/>
  <c r="V27" i="37"/>
  <c r="X27" i="37"/>
  <c r="A28" i="37"/>
  <c r="U28" i="37"/>
  <c r="Y28" i="37"/>
  <c r="S28" i="37"/>
  <c r="T28" i="37"/>
  <c r="W28" i="37"/>
  <c r="V28" i="37"/>
  <c r="X28" i="37"/>
  <c r="A29" i="37"/>
  <c r="U29" i="37"/>
  <c r="Y29" i="37"/>
  <c r="S29" i="37"/>
  <c r="T29" i="37"/>
  <c r="W29" i="37"/>
  <c r="V29" i="37"/>
  <c r="X29" i="37"/>
  <c r="A30" i="37"/>
  <c r="U30" i="37"/>
  <c r="Y30" i="37"/>
  <c r="S30" i="37"/>
  <c r="T30" i="37"/>
  <c r="W30" i="37"/>
  <c r="V30" i="37"/>
  <c r="X30" i="37"/>
  <c r="A31" i="37"/>
  <c r="U31" i="37"/>
  <c r="Y31" i="37"/>
  <c r="S31" i="37"/>
  <c r="T31" i="37"/>
  <c r="W31" i="37"/>
  <c r="V31" i="37"/>
  <c r="X31" i="37"/>
  <c r="A32" i="37"/>
  <c r="U32" i="37"/>
  <c r="Y32" i="37"/>
  <c r="S32" i="37"/>
  <c r="T32" i="37"/>
  <c r="W32" i="37"/>
  <c r="V32" i="37"/>
  <c r="X32" i="37"/>
  <c r="A33" i="37"/>
  <c r="U33" i="37"/>
  <c r="Y33" i="37"/>
  <c r="S33" i="37"/>
  <c r="T33" i="37"/>
  <c r="W33" i="37"/>
  <c r="V33" i="37"/>
  <c r="X33" i="37"/>
  <c r="A34" i="37"/>
  <c r="U34" i="37"/>
  <c r="Y34" i="37"/>
  <c r="S34" i="37"/>
  <c r="T34" i="37"/>
  <c r="W34" i="37"/>
  <c r="V34" i="37"/>
  <c r="X34" i="37"/>
  <c r="A35" i="37"/>
  <c r="U35" i="37"/>
  <c r="Y35" i="37"/>
  <c r="S35" i="37"/>
  <c r="T35" i="37"/>
  <c r="W35" i="37"/>
  <c r="V35" i="37"/>
  <c r="X35" i="37"/>
  <c r="A36" i="37"/>
  <c r="U36" i="37"/>
  <c r="Y36" i="37"/>
  <c r="S36" i="37"/>
  <c r="T36" i="37"/>
  <c r="W36" i="37"/>
  <c r="V36" i="37"/>
  <c r="X36" i="37"/>
  <c r="A37" i="37"/>
  <c r="U37" i="37"/>
  <c r="Y37" i="37"/>
  <c r="S37" i="37"/>
  <c r="T37" i="37"/>
  <c r="W37" i="37"/>
  <c r="V37" i="37"/>
  <c r="X37" i="37"/>
  <c r="A38" i="37"/>
  <c r="U38" i="37"/>
  <c r="Y38" i="37"/>
  <c r="S38" i="37"/>
  <c r="T38" i="37"/>
  <c r="W38" i="37"/>
  <c r="V38" i="37"/>
  <c r="X38" i="37"/>
  <c r="A39" i="37"/>
  <c r="U39" i="37"/>
  <c r="Y39" i="37"/>
  <c r="S39" i="37"/>
  <c r="T39" i="37"/>
  <c r="W39" i="37"/>
  <c r="V39" i="37"/>
  <c r="X39" i="37"/>
  <c r="A40" i="37"/>
  <c r="U40" i="37"/>
  <c r="Y40" i="37"/>
  <c r="S40" i="37"/>
  <c r="T40" i="37"/>
  <c r="W40" i="37"/>
  <c r="V40" i="37"/>
  <c r="X40" i="37"/>
  <c r="A41" i="37"/>
  <c r="U41" i="37"/>
  <c r="Y41" i="37"/>
  <c r="S41" i="37"/>
  <c r="T41" i="37"/>
  <c r="W41" i="37"/>
  <c r="V41" i="37"/>
  <c r="X41" i="37"/>
  <c r="A42" i="37"/>
  <c r="U42" i="37"/>
  <c r="Y42" i="37"/>
  <c r="S42" i="37"/>
  <c r="T42" i="37"/>
  <c r="W42" i="37"/>
  <c r="V42" i="37"/>
  <c r="X42" i="37"/>
  <c r="A43" i="37"/>
  <c r="U43" i="37"/>
  <c r="Y43" i="37"/>
  <c r="S43" i="37"/>
  <c r="T43" i="37"/>
  <c r="W43" i="37"/>
  <c r="V43" i="37"/>
  <c r="X43" i="37"/>
  <c r="A44" i="37"/>
  <c r="U44" i="37"/>
  <c r="Y44" i="37"/>
  <c r="S44" i="37"/>
  <c r="T44" i="37"/>
  <c r="W44" i="37"/>
  <c r="V44" i="37"/>
  <c r="X44" i="37"/>
  <c r="A45" i="37"/>
  <c r="U45" i="37"/>
  <c r="Y45" i="37"/>
  <c r="S45" i="37"/>
  <c r="T45" i="37"/>
  <c r="W45" i="37"/>
  <c r="V45" i="37"/>
  <c r="X45" i="37"/>
  <c r="A46" i="37"/>
  <c r="U46" i="37"/>
  <c r="Y46" i="37"/>
  <c r="S46" i="37"/>
  <c r="T46" i="37"/>
  <c r="W46" i="37"/>
  <c r="V46" i="37"/>
  <c r="X46" i="37"/>
  <c r="A47" i="37"/>
  <c r="U47" i="37"/>
  <c r="Y47" i="37"/>
  <c r="S47" i="37"/>
  <c r="T47" i="37"/>
  <c r="W47" i="37"/>
  <c r="V47" i="37"/>
  <c r="X47" i="37"/>
  <c r="A48" i="37"/>
  <c r="U48" i="37"/>
  <c r="Y48" i="37"/>
  <c r="S48" i="37"/>
  <c r="T48" i="37"/>
  <c r="W48" i="37"/>
  <c r="V48" i="37"/>
  <c r="X48" i="37"/>
  <c r="A49" i="37"/>
  <c r="U49" i="37"/>
  <c r="Y49" i="37"/>
  <c r="S49" i="37"/>
  <c r="T49" i="37"/>
  <c r="W49" i="37"/>
  <c r="V49" i="37"/>
  <c r="X49" i="37"/>
  <c r="A50" i="37"/>
  <c r="U50" i="37"/>
  <c r="Y50" i="37"/>
  <c r="S50" i="37"/>
  <c r="T50" i="37"/>
  <c r="W50" i="37"/>
  <c r="V50" i="37"/>
  <c r="X50" i="37"/>
  <c r="A51" i="37"/>
  <c r="U51" i="37"/>
  <c r="Y51" i="37"/>
  <c r="S51" i="37"/>
  <c r="T51" i="37"/>
  <c r="W51" i="37"/>
  <c r="V51" i="37"/>
  <c r="X51" i="37"/>
  <c r="A52" i="37"/>
  <c r="U52" i="37"/>
  <c r="Y52" i="37"/>
  <c r="S52" i="37"/>
  <c r="T52" i="37"/>
  <c r="W52" i="37"/>
  <c r="V52" i="37"/>
  <c r="X52" i="37"/>
  <c r="A53" i="37"/>
  <c r="U53" i="37"/>
  <c r="Y53" i="37"/>
  <c r="S53" i="37"/>
  <c r="T53" i="37"/>
  <c r="W53" i="37"/>
  <c r="V53" i="37"/>
  <c r="X53" i="37"/>
  <c r="A54" i="37"/>
  <c r="U54" i="37"/>
  <c r="Y54" i="37"/>
  <c r="S54" i="37"/>
  <c r="T54" i="37"/>
  <c r="W54" i="37"/>
  <c r="V54" i="37"/>
  <c r="X54" i="37"/>
  <c r="A55" i="37"/>
  <c r="U55" i="37"/>
  <c r="Y55" i="37"/>
  <c r="S55" i="37"/>
  <c r="T55" i="37"/>
  <c r="W55" i="37"/>
  <c r="V55" i="37"/>
  <c r="X55" i="37"/>
  <c r="A56" i="37"/>
  <c r="U56" i="37"/>
  <c r="Y56" i="37"/>
  <c r="S56" i="37"/>
  <c r="T56" i="37"/>
  <c r="W56" i="37"/>
  <c r="V56" i="37"/>
  <c r="X56" i="37"/>
  <c r="A57" i="37"/>
  <c r="U57" i="37"/>
  <c r="Y57" i="37"/>
  <c r="S57" i="37"/>
  <c r="T57" i="37"/>
  <c r="W57" i="37"/>
  <c r="V57" i="37"/>
  <c r="X57" i="37"/>
  <c r="A58" i="37"/>
  <c r="U58" i="37"/>
  <c r="Y58" i="37"/>
  <c r="S58" i="37"/>
  <c r="T58" i="37"/>
  <c r="W58" i="37"/>
  <c r="V58" i="37"/>
  <c r="X58" i="37"/>
  <c r="A59" i="37"/>
  <c r="U59" i="37"/>
  <c r="Y59" i="37"/>
  <c r="S59" i="37"/>
  <c r="T59" i="37"/>
  <c r="W59" i="37"/>
  <c r="V59" i="37"/>
  <c r="X59" i="37"/>
  <c r="A60" i="37"/>
  <c r="U60" i="37"/>
  <c r="Y60" i="37"/>
  <c r="S60" i="37"/>
  <c r="T60" i="37"/>
  <c r="W60" i="37"/>
  <c r="V60" i="37"/>
  <c r="X60" i="37"/>
  <c r="A61" i="37"/>
  <c r="U61" i="37"/>
  <c r="Y61" i="37"/>
  <c r="S61" i="37"/>
  <c r="T61" i="37"/>
  <c r="W61" i="37"/>
  <c r="V61" i="37"/>
  <c r="X61" i="37"/>
  <c r="U63" i="37"/>
  <c r="Y63" i="37"/>
  <c r="S63" i="37"/>
  <c r="T63" i="37"/>
  <c r="W63" i="37"/>
  <c r="V63" i="37"/>
  <c r="X63" i="37"/>
  <c r="A64" i="37"/>
  <c r="U64" i="37"/>
  <c r="Y64" i="37"/>
  <c r="S64" i="37"/>
  <c r="T64" i="37"/>
  <c r="W64" i="37"/>
  <c r="V64" i="37"/>
  <c r="X64" i="37"/>
  <c r="A65" i="37"/>
  <c r="U65" i="37"/>
  <c r="Y65" i="37"/>
  <c r="S65" i="37"/>
  <c r="T65" i="37"/>
  <c r="W65" i="37"/>
  <c r="V65" i="37"/>
  <c r="X65" i="37"/>
  <c r="A66" i="37"/>
  <c r="U66" i="37"/>
  <c r="Y66" i="37"/>
  <c r="S66" i="37"/>
  <c r="T66" i="37"/>
  <c r="W66" i="37"/>
  <c r="V66" i="37"/>
  <c r="X66" i="37"/>
  <c r="A67" i="37"/>
  <c r="U67" i="37"/>
  <c r="Y67" i="37"/>
  <c r="S67" i="37"/>
  <c r="T67" i="37"/>
  <c r="W67" i="37"/>
  <c r="V67" i="37"/>
  <c r="X67" i="37"/>
  <c r="A68" i="37"/>
  <c r="U68" i="37"/>
  <c r="Y68" i="37"/>
  <c r="S68" i="37"/>
  <c r="T68" i="37"/>
  <c r="W68" i="37"/>
  <c r="V68" i="37"/>
  <c r="X68" i="37"/>
  <c r="A69" i="37"/>
  <c r="U69" i="37"/>
  <c r="Y69" i="37"/>
  <c r="S69" i="37"/>
  <c r="T69" i="37"/>
  <c r="W69" i="37"/>
  <c r="V69" i="37"/>
  <c r="X69" i="37"/>
  <c r="A70" i="37"/>
  <c r="U70" i="37"/>
  <c r="Y70" i="37"/>
  <c r="S70" i="37"/>
  <c r="T70" i="37"/>
  <c r="W70" i="37"/>
  <c r="V70" i="37"/>
  <c r="X70" i="37"/>
  <c r="A71" i="37"/>
  <c r="U71" i="37"/>
  <c r="Y71" i="37"/>
  <c r="S71" i="37"/>
  <c r="T71" i="37"/>
  <c r="W71" i="37"/>
  <c r="V71" i="37"/>
  <c r="X71" i="37"/>
  <c r="A72" i="37"/>
  <c r="U72" i="37"/>
  <c r="Y72" i="37"/>
  <c r="S72" i="37"/>
  <c r="T72" i="37"/>
  <c r="W72" i="37"/>
  <c r="V72" i="37"/>
  <c r="X72" i="37"/>
  <c r="A73" i="37"/>
  <c r="U73" i="37"/>
  <c r="Y73" i="37"/>
  <c r="S73" i="37"/>
  <c r="T73" i="37"/>
  <c r="W73" i="37"/>
  <c r="V73" i="37"/>
  <c r="X73" i="37"/>
  <c r="A74" i="37"/>
  <c r="U74" i="37"/>
  <c r="Y74" i="37"/>
  <c r="S74" i="37"/>
  <c r="T74" i="37"/>
  <c r="W74" i="37"/>
  <c r="V74" i="37"/>
  <c r="X74" i="37"/>
  <c r="A75" i="37"/>
  <c r="U75" i="37"/>
  <c r="Y75" i="37"/>
  <c r="S75" i="37"/>
  <c r="T75" i="37"/>
  <c r="W75" i="37"/>
  <c r="V75" i="37"/>
  <c r="X75" i="37"/>
  <c r="A76" i="37"/>
  <c r="U76" i="37"/>
  <c r="Y76" i="37"/>
  <c r="S76" i="37"/>
  <c r="T76" i="37"/>
  <c r="W76" i="37"/>
  <c r="V76" i="37"/>
  <c r="X76" i="37"/>
  <c r="A77" i="37"/>
  <c r="U77" i="37"/>
  <c r="Y77" i="37"/>
  <c r="S77" i="37"/>
  <c r="T77" i="37"/>
  <c r="W77" i="37"/>
  <c r="V77" i="37"/>
  <c r="X77" i="37"/>
  <c r="A78" i="37"/>
  <c r="U78" i="37"/>
  <c r="Y78" i="37"/>
  <c r="S78" i="37"/>
  <c r="T78" i="37"/>
  <c r="W78" i="37"/>
  <c r="V78" i="37"/>
  <c r="X78" i="37"/>
  <c r="A79" i="37"/>
  <c r="U79" i="37"/>
  <c r="Y79" i="37"/>
  <c r="S79" i="37"/>
  <c r="T79" i="37"/>
  <c r="W79" i="37"/>
  <c r="V79" i="37"/>
  <c r="X79" i="37"/>
  <c r="A80" i="37"/>
  <c r="U80" i="37"/>
  <c r="Y80" i="37"/>
  <c r="S80" i="37"/>
  <c r="T80" i="37"/>
  <c r="W80" i="37"/>
  <c r="V80" i="37"/>
  <c r="X80" i="37"/>
  <c r="A81" i="37"/>
  <c r="U81" i="37"/>
  <c r="Y81" i="37"/>
  <c r="S81" i="37"/>
  <c r="T81" i="37"/>
  <c r="W81" i="37"/>
  <c r="V81" i="37"/>
  <c r="X81" i="37"/>
  <c r="A82" i="37"/>
  <c r="U82" i="37"/>
  <c r="Y82" i="37"/>
  <c r="S82" i="37"/>
  <c r="T82" i="37"/>
  <c r="W82" i="37"/>
  <c r="V82" i="37"/>
  <c r="X82" i="37"/>
  <c r="A83" i="37"/>
  <c r="U83" i="37"/>
  <c r="Y83" i="37"/>
  <c r="S83" i="37"/>
  <c r="T83" i="37"/>
  <c r="W83" i="37"/>
  <c r="V83" i="37"/>
  <c r="X83" i="37"/>
  <c r="A84" i="37"/>
  <c r="U84" i="37"/>
  <c r="Y84" i="37"/>
  <c r="S84" i="37"/>
  <c r="T84" i="37"/>
  <c r="W84" i="37"/>
  <c r="V84" i="37"/>
  <c r="X84" i="37"/>
  <c r="A85" i="37"/>
  <c r="U85" i="37"/>
  <c r="Y85" i="37"/>
  <c r="S85" i="37"/>
  <c r="T85" i="37"/>
  <c r="W85" i="37"/>
  <c r="V85" i="37"/>
  <c r="X85" i="37"/>
  <c r="A86" i="37"/>
  <c r="U86" i="37"/>
  <c r="Y86" i="37"/>
  <c r="S86" i="37"/>
  <c r="T86" i="37"/>
  <c r="W86" i="37"/>
  <c r="V86" i="37"/>
  <c r="X86" i="37"/>
  <c r="A87" i="37"/>
  <c r="U87" i="37"/>
  <c r="Y87" i="37"/>
  <c r="S87" i="37"/>
  <c r="T87" i="37"/>
  <c r="W87" i="37"/>
  <c r="V87" i="37"/>
  <c r="X87" i="37"/>
  <c r="A88" i="37"/>
  <c r="U88" i="37"/>
  <c r="Y88" i="37"/>
  <c r="S88" i="37"/>
  <c r="T88" i="37"/>
  <c r="W88" i="37"/>
  <c r="V88" i="37"/>
  <c r="X88" i="37"/>
  <c r="A89" i="37"/>
  <c r="U89" i="37"/>
  <c r="Y89" i="37"/>
  <c r="S89" i="37"/>
  <c r="T89" i="37"/>
  <c r="W89" i="37"/>
  <c r="V89" i="37"/>
  <c r="X89" i="37"/>
  <c r="A90" i="37"/>
  <c r="U90" i="37"/>
  <c r="Y90" i="37"/>
  <c r="S90" i="37"/>
  <c r="T90" i="37"/>
  <c r="W90" i="37"/>
  <c r="V90" i="37"/>
  <c r="X90" i="37"/>
  <c r="A91" i="37"/>
  <c r="U91" i="37"/>
  <c r="Y91" i="37"/>
  <c r="S91" i="37"/>
  <c r="T91" i="37"/>
  <c r="W91" i="37"/>
  <c r="V91" i="37"/>
  <c r="X91" i="37"/>
  <c r="A92" i="37"/>
  <c r="U92" i="37"/>
  <c r="Y92" i="37"/>
  <c r="S92" i="37"/>
  <c r="T92" i="37"/>
  <c r="W92" i="37"/>
  <c r="V92" i="37"/>
  <c r="X92" i="37"/>
  <c r="A93" i="37"/>
  <c r="U93" i="37"/>
  <c r="Y93" i="37"/>
  <c r="S93" i="37"/>
  <c r="T93" i="37"/>
  <c r="W93" i="37"/>
  <c r="V93" i="37"/>
  <c r="X93" i="37"/>
  <c r="A94" i="37"/>
  <c r="U94" i="37"/>
  <c r="Y94" i="37"/>
  <c r="S94" i="37"/>
  <c r="T94" i="37"/>
  <c r="W94" i="37"/>
  <c r="V94" i="37"/>
  <c r="X94" i="37"/>
  <c r="A95" i="37"/>
  <c r="U95" i="37"/>
  <c r="Y95" i="37"/>
  <c r="S95" i="37"/>
  <c r="T95" i="37"/>
  <c r="W95" i="37"/>
  <c r="V95" i="37"/>
  <c r="X95" i="37"/>
  <c r="A96" i="37"/>
  <c r="U96" i="37"/>
  <c r="Y96" i="37"/>
  <c r="S96" i="37"/>
  <c r="T96" i="37"/>
  <c r="W96" i="37"/>
  <c r="V96" i="37"/>
  <c r="X96" i="37"/>
  <c r="A97" i="37"/>
  <c r="U97" i="37"/>
  <c r="Y97" i="37"/>
  <c r="S97" i="37"/>
  <c r="T97" i="37"/>
  <c r="W97" i="37"/>
  <c r="V97" i="37"/>
  <c r="X97" i="37"/>
  <c r="A98" i="37"/>
  <c r="U98" i="37"/>
  <c r="Y98" i="37"/>
  <c r="S98" i="37"/>
  <c r="T98" i="37"/>
  <c r="W98" i="37"/>
  <c r="V98" i="37"/>
  <c r="X98" i="37"/>
  <c r="A99" i="37"/>
  <c r="U99" i="37"/>
  <c r="Y99" i="37"/>
  <c r="S99" i="37"/>
  <c r="T99" i="37"/>
  <c r="W99" i="37"/>
  <c r="V99" i="37"/>
  <c r="X99" i="37"/>
  <c r="U16" i="14"/>
  <c r="Y16" i="14"/>
  <c r="S16" i="14"/>
  <c r="T16" i="14"/>
  <c r="W16" i="14"/>
  <c r="V16" i="14"/>
  <c r="X16" i="14"/>
  <c r="U45" i="3"/>
  <c r="R45" i="3"/>
  <c r="P45" i="3"/>
  <c r="U44" i="3"/>
  <c r="R44" i="3"/>
  <c r="P44" i="3"/>
  <c r="U43" i="3"/>
  <c r="R43" i="3"/>
  <c r="P43" i="3"/>
  <c r="U42" i="3"/>
  <c r="R42" i="3"/>
  <c r="P42" i="3"/>
  <c r="U41" i="3"/>
  <c r="R41" i="3"/>
  <c r="P41" i="3"/>
  <c r="U40" i="3"/>
  <c r="R40" i="3"/>
  <c r="P40" i="3"/>
  <c r="U39" i="3"/>
  <c r="R39" i="3"/>
  <c r="P39" i="3"/>
  <c r="U38" i="3"/>
  <c r="R38" i="3"/>
  <c r="P38" i="3"/>
  <c r="U37" i="3"/>
  <c r="R37" i="3"/>
  <c r="P37" i="3"/>
  <c r="U36" i="3"/>
  <c r="R36" i="3"/>
  <c r="P36" i="3"/>
  <c r="U35" i="3"/>
  <c r="R35" i="3"/>
  <c r="P35" i="3"/>
  <c r="U34" i="3"/>
  <c r="R34" i="3"/>
  <c r="P34" i="3"/>
  <c r="U33" i="3"/>
  <c r="R33" i="3"/>
  <c r="P33" i="3"/>
  <c r="U32" i="3"/>
  <c r="R32" i="3"/>
  <c r="P32" i="3"/>
  <c r="U31" i="3"/>
  <c r="R31" i="3"/>
  <c r="P31" i="3"/>
  <c r="U30" i="3"/>
  <c r="R30" i="3"/>
  <c r="P30" i="3"/>
  <c r="U29" i="3"/>
  <c r="R29" i="3"/>
  <c r="P29" i="3"/>
  <c r="U28" i="3"/>
  <c r="R28" i="3"/>
  <c r="P28" i="3"/>
  <c r="U27" i="3"/>
  <c r="R27" i="3"/>
  <c r="P27" i="3"/>
  <c r="U26" i="3"/>
  <c r="R26" i="3"/>
  <c r="P26" i="3"/>
  <c r="U25" i="3"/>
  <c r="R25" i="3"/>
  <c r="P25" i="3"/>
  <c r="U24" i="3"/>
  <c r="R24" i="3"/>
  <c r="P24" i="3"/>
  <c r="U23" i="3"/>
  <c r="R23" i="3"/>
  <c r="P23" i="3"/>
  <c r="K12" i="3"/>
  <c r="J12" i="3"/>
  <c r="I12" i="3"/>
  <c r="U22" i="3"/>
  <c r="R22" i="3"/>
  <c r="P22" i="3"/>
  <c r="U21" i="3"/>
  <c r="R21" i="3"/>
  <c r="P21" i="3"/>
  <c r="U20" i="3"/>
  <c r="R20" i="3"/>
  <c r="P20" i="3"/>
  <c r="U19" i="3"/>
  <c r="R19" i="3"/>
  <c r="P19" i="3"/>
  <c r="U18" i="3"/>
  <c r="R18" i="3"/>
  <c r="P18" i="3"/>
  <c r="U17" i="3"/>
  <c r="R17" i="3"/>
  <c r="P17" i="3"/>
  <c r="S12" i="3"/>
  <c r="U16" i="3"/>
  <c r="U12" i="3"/>
  <c r="R16" i="3"/>
  <c r="R12" i="3"/>
  <c r="P16" i="3"/>
  <c r="T12" i="3"/>
  <c r="H12" i="3"/>
  <c r="G12" i="3"/>
  <c r="F12" i="3"/>
  <c r="E12" i="3"/>
  <c r="D12" i="3"/>
  <c r="C12" i="3"/>
  <c r="B12" i="3"/>
  <c r="P10" i="3"/>
  <c r="AB39" i="3"/>
  <c r="AC39" i="3"/>
  <c r="AB40" i="3"/>
  <c r="AC40" i="3"/>
  <c r="AB41" i="3"/>
  <c r="AC41" i="3"/>
  <c r="AB42" i="3"/>
  <c r="AC42" i="3"/>
  <c r="AB43" i="3"/>
  <c r="AC43" i="3"/>
  <c r="AB44" i="3"/>
  <c r="AC44" i="3"/>
  <c r="AB45" i="3"/>
  <c r="AC45" i="3"/>
  <c r="AB36" i="3"/>
  <c r="AC36" i="3"/>
  <c r="AB37" i="3"/>
  <c r="AC37" i="3"/>
  <c r="AB38" i="3"/>
  <c r="AC38" i="3"/>
  <c r="AB33" i="3"/>
  <c r="AC33" i="3"/>
  <c r="AB34" i="3"/>
  <c r="AC34" i="3"/>
  <c r="AB35" i="3"/>
  <c r="AC35" i="3"/>
  <c r="AB26" i="3"/>
  <c r="AC26" i="3"/>
  <c r="AB27" i="3"/>
  <c r="AC27" i="3"/>
  <c r="AB28" i="3"/>
  <c r="AC28" i="3"/>
  <c r="AB29" i="3"/>
  <c r="AC29" i="3"/>
  <c r="AB30" i="3"/>
  <c r="AC30" i="3"/>
  <c r="AB31" i="3"/>
  <c r="AC31" i="3"/>
  <c r="AB32" i="3"/>
  <c r="AC32" i="3"/>
  <c r="AB23" i="3"/>
  <c r="AC23" i="3"/>
  <c r="AB24" i="3"/>
  <c r="AC24" i="3"/>
  <c r="AB25" i="3"/>
  <c r="AC25" i="3"/>
  <c r="Q12" i="3"/>
  <c r="AB17" i="3"/>
  <c r="AC17" i="3"/>
  <c r="AB18" i="3"/>
  <c r="AC18" i="3"/>
  <c r="AB19" i="3"/>
  <c r="AC19" i="3"/>
  <c r="AB20" i="3"/>
  <c r="AC20" i="3"/>
  <c r="AB21" i="3"/>
  <c r="AC21" i="3"/>
  <c r="AB22" i="3"/>
  <c r="AC22" i="3"/>
  <c r="AC16" i="3"/>
  <c r="AC12" i="3"/>
  <c r="AB16" i="3"/>
  <c r="AB12" i="3"/>
  <c r="V12" i="3"/>
  <c r="W12" i="3"/>
  <c r="X12" i="3"/>
  <c r="W16" i="41"/>
  <c r="V16" i="41"/>
  <c r="N4" i="41"/>
  <c r="R42" i="41"/>
  <c r="P42" i="41"/>
  <c r="R41" i="41"/>
  <c r="P41" i="41"/>
  <c r="R40" i="41"/>
  <c r="P40" i="41"/>
  <c r="R39" i="41"/>
  <c r="P39" i="41"/>
  <c r="R38" i="41"/>
  <c r="P38" i="41"/>
  <c r="R37" i="41"/>
  <c r="P37" i="41"/>
  <c r="R36" i="41"/>
  <c r="P36" i="41"/>
  <c r="R35" i="41"/>
  <c r="P35" i="41"/>
  <c r="R34" i="41"/>
  <c r="P34" i="41"/>
  <c r="R33" i="41"/>
  <c r="P33" i="41"/>
  <c r="R32" i="41"/>
  <c r="P32" i="41"/>
  <c r="R31" i="41"/>
  <c r="P31" i="41"/>
  <c r="R30" i="41"/>
  <c r="P30" i="41"/>
  <c r="R29" i="41"/>
  <c r="P29" i="41"/>
  <c r="R28" i="41"/>
  <c r="P28" i="41"/>
  <c r="R27" i="41"/>
  <c r="P27" i="41"/>
  <c r="R26" i="41"/>
  <c r="P26" i="41"/>
  <c r="R25" i="41"/>
  <c r="P25" i="41"/>
  <c r="R24" i="41"/>
  <c r="P24" i="41"/>
  <c r="R23" i="41"/>
  <c r="P23" i="41"/>
  <c r="R22" i="41"/>
  <c r="P22" i="41"/>
  <c r="R21" i="41"/>
  <c r="P21" i="41"/>
  <c r="R20" i="41"/>
  <c r="P20" i="41"/>
  <c r="P17" i="41"/>
  <c r="R17" i="41"/>
  <c r="P18" i="41"/>
  <c r="R18" i="41"/>
  <c r="P19" i="41"/>
  <c r="R19" i="41"/>
  <c r="U16" i="41"/>
  <c r="T16" i="41"/>
  <c r="S16" i="41"/>
  <c r="R16" i="41"/>
  <c r="Q16" i="41"/>
  <c r="P16" i="41"/>
  <c r="U12" i="41"/>
  <c r="T12" i="41"/>
  <c r="S12" i="41"/>
  <c r="R12" i="41"/>
  <c r="Q12" i="41"/>
  <c r="K12" i="41"/>
  <c r="J12" i="41"/>
  <c r="I12" i="41"/>
  <c r="H12" i="41"/>
  <c r="G12" i="41"/>
  <c r="F12" i="41"/>
  <c r="E12" i="41"/>
  <c r="D12" i="41"/>
  <c r="C12" i="41"/>
  <c r="B12" i="41"/>
  <c r="P10" i="41"/>
  <c r="X16" i="41"/>
  <c r="AC17" i="41"/>
  <c r="AC43" i="41"/>
  <c r="AC44" i="41"/>
  <c r="AB16" i="41"/>
  <c r="AC16" i="41"/>
  <c r="AB17" i="41"/>
  <c r="AB18" i="41"/>
  <c r="AC18" i="41"/>
  <c r="AB19" i="41"/>
  <c r="AC19" i="41"/>
  <c r="AB20" i="41"/>
  <c r="AC20" i="41"/>
  <c r="AB21" i="41"/>
  <c r="AC21" i="41"/>
  <c r="AB22" i="41"/>
  <c r="AC22" i="41"/>
  <c r="AB23" i="41"/>
  <c r="AB24" i="41"/>
  <c r="AC23" i="41"/>
  <c r="AC24" i="41"/>
  <c r="AB25" i="41"/>
  <c r="AC26" i="41"/>
  <c r="AB26" i="41"/>
  <c r="AC25" i="41"/>
  <c r="AB27" i="41"/>
  <c r="AC27" i="41"/>
  <c r="AC28" i="41"/>
  <c r="AB28" i="41"/>
  <c r="AB29" i="41"/>
  <c r="AC30" i="41"/>
  <c r="AB30" i="41"/>
  <c r="AC29" i="41"/>
  <c r="AB31" i="41"/>
  <c r="AC31" i="41"/>
  <c r="AC32" i="41"/>
  <c r="AB32" i="41"/>
  <c r="AB33" i="41"/>
  <c r="AC33" i="41"/>
  <c r="AB34" i="41"/>
  <c r="AC34" i="41"/>
  <c r="AB35" i="41"/>
  <c r="AC35" i="41"/>
  <c r="AB36" i="41"/>
  <c r="AC36" i="41"/>
  <c r="AB37" i="41"/>
  <c r="AC37" i="41"/>
  <c r="AB38" i="41"/>
  <c r="AC38" i="41"/>
  <c r="AB39" i="41"/>
  <c r="AB40" i="41"/>
  <c r="AC39" i="41"/>
  <c r="AC40" i="41"/>
  <c r="AB41" i="41"/>
  <c r="AC41" i="41"/>
  <c r="AB42" i="41"/>
  <c r="AC42" i="41"/>
  <c r="X12" i="41"/>
  <c r="W12" i="41"/>
  <c r="V12" i="41"/>
  <c r="AB12" i="41"/>
  <c r="AC12" i="41"/>
  <c r="Y16" i="41"/>
  <c r="R25" i="42"/>
  <c r="P25" i="42"/>
  <c r="R24" i="42"/>
  <c r="P24" i="42"/>
  <c r="R23" i="42"/>
  <c r="P23" i="42"/>
  <c r="R22" i="42"/>
  <c r="P22" i="42"/>
  <c r="R21" i="42"/>
  <c r="P21" i="42"/>
  <c r="R20" i="42"/>
  <c r="P20" i="42"/>
  <c r="R19" i="42"/>
  <c r="P19" i="42"/>
  <c r="R18" i="42"/>
  <c r="P18" i="42"/>
  <c r="R17" i="42"/>
  <c r="P17" i="42"/>
  <c r="R16" i="42"/>
  <c r="P16" i="42"/>
  <c r="U12" i="42"/>
  <c r="T12" i="42"/>
  <c r="S12" i="42"/>
  <c r="R12" i="42"/>
  <c r="Q12" i="42"/>
  <c r="K12" i="42"/>
  <c r="J12" i="42"/>
  <c r="I12" i="42"/>
  <c r="H12" i="42"/>
  <c r="G12" i="42"/>
  <c r="F12" i="42"/>
  <c r="E12" i="42"/>
  <c r="D12" i="42"/>
  <c r="C12" i="42"/>
  <c r="B12" i="42"/>
  <c r="P10" i="42"/>
  <c r="AB16" i="42"/>
  <c r="AC16" i="42"/>
  <c r="AB17" i="42"/>
  <c r="AC17" i="42"/>
  <c r="AC18" i="42"/>
  <c r="AB18" i="42"/>
  <c r="AB19" i="42"/>
  <c r="AC19" i="42"/>
  <c r="AC20" i="42"/>
  <c r="AB21" i="42"/>
  <c r="AC21" i="42"/>
  <c r="AB20" i="42"/>
  <c r="AB22" i="42"/>
  <c r="AC23" i="42"/>
  <c r="AC22" i="42"/>
  <c r="AB23" i="42"/>
  <c r="AB25" i="42"/>
  <c r="AC25" i="42"/>
  <c r="AB24" i="42"/>
  <c r="AC24" i="42"/>
  <c r="A26" i="42"/>
  <c r="A27" i="42"/>
  <c r="A28" i="42"/>
  <c r="A29" i="42"/>
  <c r="A30" i="42"/>
  <c r="A31" i="42"/>
  <c r="A32" i="42"/>
  <c r="A33" i="42"/>
  <c r="A34" i="42"/>
  <c r="X12" i="42"/>
  <c r="W12" i="42"/>
  <c r="V12" i="42"/>
  <c r="AB12" i="42"/>
  <c r="AC12" i="42"/>
  <c r="U85" i="44"/>
  <c r="R85" i="44"/>
  <c r="P85" i="44"/>
  <c r="U84" i="44"/>
  <c r="R84" i="44"/>
  <c r="P84" i="44"/>
  <c r="U83" i="44"/>
  <c r="R83" i="44"/>
  <c r="P83" i="44"/>
  <c r="U82" i="44"/>
  <c r="R82" i="44"/>
  <c r="P82" i="44"/>
  <c r="U81" i="44"/>
  <c r="R81" i="44"/>
  <c r="P81" i="44"/>
  <c r="U80" i="44"/>
  <c r="R80" i="44"/>
  <c r="P80" i="44"/>
  <c r="U79" i="44"/>
  <c r="R79" i="44"/>
  <c r="P79" i="44"/>
  <c r="U78" i="44"/>
  <c r="R78" i="44"/>
  <c r="P78" i="44"/>
  <c r="U77" i="44"/>
  <c r="R77" i="44"/>
  <c r="P77" i="44"/>
  <c r="U76" i="44"/>
  <c r="R76" i="44"/>
  <c r="P76" i="44"/>
  <c r="U75" i="44"/>
  <c r="R75" i="44"/>
  <c r="P75" i="44"/>
  <c r="U74" i="44"/>
  <c r="R74" i="44"/>
  <c r="P74" i="44"/>
  <c r="U73" i="44"/>
  <c r="R73" i="44"/>
  <c r="P73" i="44"/>
  <c r="U72" i="44"/>
  <c r="R72" i="44"/>
  <c r="P72" i="44"/>
  <c r="U71" i="44"/>
  <c r="R71" i="44"/>
  <c r="P71" i="44"/>
  <c r="U70" i="44"/>
  <c r="R70" i="44"/>
  <c r="P70" i="44"/>
  <c r="U69" i="44"/>
  <c r="R69" i="44"/>
  <c r="P69" i="44"/>
  <c r="U68" i="44"/>
  <c r="R68" i="44"/>
  <c r="P68" i="44"/>
  <c r="U67" i="44"/>
  <c r="R67" i="44"/>
  <c r="P67" i="44"/>
  <c r="U66" i="44"/>
  <c r="R66" i="44"/>
  <c r="P66" i="44"/>
  <c r="U65" i="44"/>
  <c r="R65" i="44"/>
  <c r="P65" i="44"/>
  <c r="U64" i="44"/>
  <c r="R64" i="44"/>
  <c r="P64" i="44"/>
  <c r="U63" i="44"/>
  <c r="R63" i="44"/>
  <c r="P63" i="44"/>
  <c r="U62" i="44"/>
  <c r="R62" i="44"/>
  <c r="P62" i="44"/>
  <c r="U61" i="44"/>
  <c r="R61" i="44"/>
  <c r="P61" i="44"/>
  <c r="U60" i="44"/>
  <c r="R60" i="44"/>
  <c r="P60" i="44"/>
  <c r="U59" i="44"/>
  <c r="R59" i="44"/>
  <c r="P59" i="44"/>
  <c r="U58" i="44"/>
  <c r="R58" i="44"/>
  <c r="P58" i="44"/>
  <c r="U57" i="44"/>
  <c r="R57" i="44"/>
  <c r="P57" i="44"/>
  <c r="U56" i="44"/>
  <c r="R56" i="44"/>
  <c r="P56" i="44"/>
  <c r="U55" i="44"/>
  <c r="R55" i="44"/>
  <c r="P55" i="44"/>
  <c r="U54" i="44"/>
  <c r="R54" i="44"/>
  <c r="P54" i="44"/>
  <c r="U53" i="44"/>
  <c r="S53" i="44"/>
  <c r="R53" i="44"/>
  <c r="P53" i="44"/>
  <c r="U52" i="44"/>
  <c r="S52" i="44"/>
  <c r="R52" i="44"/>
  <c r="P52" i="44"/>
  <c r="U51" i="44"/>
  <c r="S51" i="44"/>
  <c r="R51" i="44"/>
  <c r="P51" i="44"/>
  <c r="U50" i="44"/>
  <c r="S50" i="44"/>
  <c r="R50" i="44"/>
  <c r="P50" i="44"/>
  <c r="U49" i="44"/>
  <c r="S49" i="44"/>
  <c r="R49" i="44"/>
  <c r="P49" i="44"/>
  <c r="U48" i="44"/>
  <c r="S48" i="44"/>
  <c r="R48" i="44"/>
  <c r="P48" i="44"/>
  <c r="U47" i="44"/>
  <c r="S47" i="44"/>
  <c r="R47" i="44"/>
  <c r="P47" i="44"/>
  <c r="U46" i="44"/>
  <c r="S46" i="44"/>
  <c r="R46" i="44"/>
  <c r="P46" i="44"/>
  <c r="U45" i="44"/>
  <c r="S45" i="44"/>
  <c r="R45" i="44"/>
  <c r="P45" i="44"/>
  <c r="U44" i="44"/>
  <c r="S44" i="44"/>
  <c r="R44" i="44"/>
  <c r="P44" i="44"/>
  <c r="U43" i="44"/>
  <c r="S43" i="44"/>
  <c r="R43" i="44"/>
  <c r="P43" i="44"/>
  <c r="U42" i="44"/>
  <c r="S42" i="44"/>
  <c r="R42" i="44"/>
  <c r="P42" i="44"/>
  <c r="U41" i="44"/>
  <c r="S41" i="44"/>
  <c r="R41" i="44"/>
  <c r="P41" i="44"/>
  <c r="U40" i="44"/>
  <c r="S40" i="44"/>
  <c r="R40" i="44"/>
  <c r="P40" i="44"/>
  <c r="U39" i="44"/>
  <c r="S39" i="44"/>
  <c r="R39" i="44"/>
  <c r="P39" i="44"/>
  <c r="U38" i="44"/>
  <c r="S38" i="44"/>
  <c r="R38" i="44"/>
  <c r="P38" i="44"/>
  <c r="U37" i="44"/>
  <c r="S37" i="44"/>
  <c r="R37" i="44"/>
  <c r="P37" i="44"/>
  <c r="U36" i="44"/>
  <c r="S36" i="44"/>
  <c r="R36" i="44"/>
  <c r="P36" i="44"/>
  <c r="U35" i="44"/>
  <c r="S35" i="44"/>
  <c r="R35" i="44"/>
  <c r="P35" i="44"/>
  <c r="U34" i="44"/>
  <c r="S34" i="44"/>
  <c r="R34" i="44"/>
  <c r="P34" i="44"/>
  <c r="U33" i="44"/>
  <c r="S33" i="44"/>
  <c r="R33" i="44"/>
  <c r="P33" i="44"/>
  <c r="U32" i="44"/>
  <c r="S32" i="44"/>
  <c r="R32" i="44"/>
  <c r="P32" i="44"/>
  <c r="U31" i="44"/>
  <c r="S31" i="44"/>
  <c r="R31" i="44"/>
  <c r="P31" i="44"/>
  <c r="U30" i="44"/>
  <c r="S30" i="44"/>
  <c r="R30" i="44"/>
  <c r="P30" i="44"/>
  <c r="U29" i="44"/>
  <c r="S29" i="44"/>
  <c r="R29" i="44"/>
  <c r="P29" i="44"/>
  <c r="U28" i="44"/>
  <c r="S28" i="44"/>
  <c r="R28" i="44"/>
  <c r="P28" i="44"/>
  <c r="U27" i="44"/>
  <c r="S27" i="44"/>
  <c r="R27" i="44"/>
  <c r="P27" i="44"/>
  <c r="U26" i="44"/>
  <c r="S26" i="44"/>
  <c r="R26" i="44"/>
  <c r="P26" i="44"/>
  <c r="U25" i="44"/>
  <c r="S25" i="44"/>
  <c r="R25" i="44"/>
  <c r="P25" i="44"/>
  <c r="U24" i="44"/>
  <c r="S24" i="44"/>
  <c r="R24" i="44"/>
  <c r="P24" i="44"/>
  <c r="U23" i="44"/>
  <c r="S23" i="44"/>
  <c r="R23" i="44"/>
  <c r="P23" i="44"/>
  <c r="U22" i="44"/>
  <c r="S22" i="44"/>
  <c r="R22" i="44"/>
  <c r="P22" i="44"/>
  <c r="U21" i="44"/>
  <c r="S21" i="44"/>
  <c r="R21" i="44"/>
  <c r="P21" i="44"/>
  <c r="U20" i="44"/>
  <c r="S20" i="44"/>
  <c r="R20" i="44"/>
  <c r="P20" i="44"/>
  <c r="U19" i="44"/>
  <c r="S19" i="44"/>
  <c r="R19" i="44"/>
  <c r="P19" i="44"/>
  <c r="U18" i="44"/>
  <c r="S18" i="44"/>
  <c r="R18" i="44"/>
  <c r="P18" i="44"/>
  <c r="U17" i="44"/>
  <c r="S17" i="44"/>
  <c r="R17" i="44"/>
  <c r="P17" i="44"/>
  <c r="U16" i="44"/>
  <c r="S16" i="44"/>
  <c r="W16" i="44"/>
  <c r="R16" i="44"/>
  <c r="P16" i="44"/>
  <c r="U12" i="44"/>
  <c r="T12" i="44"/>
  <c r="S12" i="44"/>
  <c r="R12" i="44"/>
  <c r="Q12" i="44"/>
  <c r="K12" i="44"/>
  <c r="J12" i="44"/>
  <c r="I12" i="44"/>
  <c r="H12" i="44"/>
  <c r="G12" i="44"/>
  <c r="F12" i="44"/>
  <c r="E12" i="44"/>
  <c r="D12" i="44"/>
  <c r="C12" i="44"/>
  <c r="B12" i="44"/>
  <c r="P10" i="44"/>
  <c r="AB16" i="44"/>
  <c r="AC16" i="44"/>
  <c r="W18" i="44"/>
  <c r="W17" i="44"/>
  <c r="AB17" i="44"/>
  <c r="AC17" i="44"/>
  <c r="AC18" i="44"/>
  <c r="AB18" i="44"/>
  <c r="W19" i="44"/>
  <c r="W20" i="44"/>
  <c r="AB19" i="44"/>
  <c r="AC19" i="44"/>
  <c r="AC20" i="44"/>
  <c r="AB20" i="44"/>
  <c r="W21" i="44"/>
  <c r="AC21" i="44"/>
  <c r="AB21" i="44"/>
  <c r="W22" i="44"/>
  <c r="AC22" i="44"/>
  <c r="AB22" i="44"/>
  <c r="W23" i="44"/>
  <c r="AC23" i="44"/>
  <c r="AB23" i="44"/>
  <c r="W24" i="44"/>
  <c r="AC24" i="44"/>
  <c r="AB24" i="44"/>
  <c r="W25" i="44"/>
  <c r="W26" i="44"/>
  <c r="AB26" i="44"/>
  <c r="AC26" i="44"/>
  <c r="AB25" i="44"/>
  <c r="AC25" i="44"/>
  <c r="W27" i="44"/>
  <c r="AB27" i="44"/>
  <c r="AC27" i="44"/>
  <c r="W28" i="44"/>
  <c r="AC28" i="44"/>
  <c r="AB28" i="44"/>
  <c r="W29" i="44"/>
  <c r="AB29" i="44"/>
  <c r="AC29" i="44"/>
  <c r="W30" i="44"/>
  <c r="AC30" i="44"/>
  <c r="AB30" i="44"/>
  <c r="W31" i="44"/>
  <c r="AB31" i="44"/>
  <c r="AC31" i="44"/>
  <c r="W32" i="44"/>
  <c r="AB32" i="44"/>
  <c r="AC32" i="44"/>
  <c r="W33" i="44"/>
  <c r="AB33" i="44"/>
  <c r="AC33" i="44"/>
  <c r="W34" i="44"/>
  <c r="AB34" i="44"/>
  <c r="AC34" i="44"/>
  <c r="W35" i="44"/>
  <c r="AC35" i="44"/>
  <c r="AB35" i="44"/>
  <c r="W36" i="44"/>
  <c r="AB36" i="44"/>
  <c r="AC36" i="44"/>
  <c r="W37" i="44"/>
  <c r="AB37" i="44"/>
  <c r="AC37" i="44"/>
  <c r="W38" i="44"/>
  <c r="AB38" i="44"/>
  <c r="AC38" i="44"/>
  <c r="W39" i="44"/>
  <c r="AC39" i="44"/>
  <c r="AB39" i="44"/>
  <c r="W40" i="44"/>
  <c r="AB40" i="44"/>
  <c r="AC40" i="44"/>
  <c r="W41" i="44"/>
  <c r="AB41" i="44"/>
  <c r="AC41" i="44"/>
  <c r="AB42" i="44"/>
  <c r="W42" i="44"/>
  <c r="AC42" i="44"/>
  <c r="W43" i="44"/>
  <c r="AB43" i="44"/>
  <c r="AC43" i="44"/>
  <c r="AB44" i="44"/>
  <c r="W44" i="44"/>
  <c r="AC44" i="44"/>
  <c r="W45" i="44"/>
  <c r="AB45" i="44"/>
  <c r="AC45" i="44"/>
  <c r="W46" i="44"/>
  <c r="W47" i="44"/>
  <c r="AC46" i="44"/>
  <c r="AB46" i="44"/>
  <c r="W48" i="44"/>
  <c r="AC47" i="44"/>
  <c r="AB47" i="44"/>
  <c r="W49" i="44"/>
  <c r="AC48" i="44"/>
  <c r="AB48" i="44"/>
  <c r="W50" i="44"/>
  <c r="AC49" i="44"/>
  <c r="AB49" i="44"/>
  <c r="W51" i="44"/>
  <c r="AC50" i="44"/>
  <c r="AB50" i="44"/>
  <c r="W52" i="44"/>
  <c r="AC51" i="44"/>
  <c r="AB51" i="44"/>
  <c r="W53" i="44"/>
  <c r="AC52" i="44"/>
  <c r="AB52" i="44"/>
  <c r="AC53" i="44"/>
  <c r="AB53" i="44"/>
  <c r="AB55" i="44"/>
  <c r="AC55" i="44"/>
  <c r="AC54" i="44"/>
  <c r="AB54" i="44"/>
  <c r="AB56" i="44"/>
  <c r="AC56" i="44"/>
  <c r="AC57" i="44"/>
  <c r="AB58" i="44"/>
  <c r="AB57" i="44"/>
  <c r="AC58" i="44"/>
  <c r="AC59" i="44"/>
  <c r="AB60" i="44"/>
  <c r="AC60" i="44"/>
  <c r="AB59" i="44"/>
  <c r="AC61" i="44"/>
  <c r="AB61" i="44"/>
  <c r="AB62" i="44"/>
  <c r="AC62" i="44"/>
  <c r="AC63" i="44"/>
  <c r="AB63" i="44"/>
  <c r="AB64" i="44"/>
  <c r="AC64" i="44"/>
  <c r="AC65" i="44"/>
  <c r="AB66" i="44"/>
  <c r="AB65" i="44"/>
  <c r="AC66" i="44"/>
  <c r="AB67" i="44"/>
  <c r="AC67" i="44"/>
  <c r="AB68" i="44"/>
  <c r="AC68" i="44"/>
  <c r="AC69" i="44"/>
  <c r="AB69" i="44"/>
  <c r="AB70" i="44"/>
  <c r="AC70" i="44"/>
  <c r="AC71" i="44"/>
  <c r="AB71" i="44"/>
  <c r="AC72" i="44"/>
  <c r="AB73" i="44"/>
  <c r="AC73" i="44"/>
  <c r="AB72" i="44"/>
  <c r="AC74" i="44"/>
  <c r="AC75" i="44"/>
  <c r="AB74" i="44"/>
  <c r="AB75" i="44"/>
  <c r="AC76" i="44"/>
  <c r="AB77" i="44"/>
  <c r="AC77" i="44"/>
  <c r="AB76" i="44"/>
  <c r="AC78" i="44"/>
  <c r="AB79" i="44"/>
  <c r="AC79" i="44"/>
  <c r="AB78" i="44"/>
  <c r="AC80" i="44"/>
  <c r="AB81" i="44"/>
  <c r="AC81" i="44"/>
  <c r="AB80" i="44"/>
  <c r="AC82" i="44"/>
  <c r="AC83" i="44"/>
  <c r="AB82" i="44"/>
  <c r="AB83" i="44"/>
  <c r="AB85" i="44"/>
  <c r="AC85" i="44"/>
  <c r="AC84" i="44"/>
  <c r="AB84" i="44"/>
  <c r="X12" i="44"/>
  <c r="W12" i="44"/>
  <c r="AC12" i="44"/>
  <c r="V12" i="44"/>
  <c r="AB12" i="44"/>
  <c r="Z16" i="44"/>
  <c r="Z17" i="44"/>
  <c r="Z18" i="44"/>
  <c r="Z19" i="44"/>
  <c r="Z20" i="44"/>
  <c r="Z21" i="44"/>
  <c r="Z22" i="44"/>
  <c r="Z23" i="44"/>
  <c r="Z24" i="44"/>
  <c r="Z25" i="44"/>
  <c r="Z26" i="44"/>
  <c r="Z27" i="44"/>
  <c r="Z28" i="44"/>
  <c r="Z29" i="44"/>
  <c r="Z30" i="44"/>
  <c r="Z31" i="44"/>
  <c r="Z32" i="44"/>
  <c r="Z33" i="44"/>
  <c r="Z34" i="44"/>
  <c r="Z35" i="44"/>
  <c r="Z36" i="44"/>
  <c r="Z37" i="44"/>
  <c r="Z38" i="44"/>
  <c r="Z39" i="44"/>
  <c r="Z40" i="44"/>
  <c r="Z41" i="44"/>
  <c r="Z42" i="44"/>
  <c r="Z43" i="44"/>
  <c r="Z44" i="44"/>
  <c r="Z45" i="44"/>
  <c r="Z46" i="44"/>
  <c r="Z47" i="44"/>
  <c r="Z48" i="44"/>
  <c r="Z49" i="44"/>
  <c r="Z50" i="44"/>
  <c r="Z51" i="44"/>
  <c r="Z52" i="44"/>
  <c r="Z53" i="44"/>
  <c r="U95" i="45"/>
  <c r="R95" i="45"/>
  <c r="P95" i="45"/>
  <c r="U94" i="45"/>
  <c r="R94" i="45"/>
  <c r="P94" i="45"/>
  <c r="U93" i="45"/>
  <c r="R93" i="45"/>
  <c r="P93" i="45"/>
  <c r="U92" i="45"/>
  <c r="R92" i="45"/>
  <c r="P92" i="45"/>
  <c r="U91" i="45"/>
  <c r="R91" i="45"/>
  <c r="P91" i="45"/>
  <c r="U90" i="45"/>
  <c r="R90" i="45"/>
  <c r="P90" i="45"/>
  <c r="U89" i="45"/>
  <c r="R89" i="45"/>
  <c r="P89" i="45"/>
  <c r="U88" i="45"/>
  <c r="R88" i="45"/>
  <c r="P88" i="45"/>
  <c r="U87" i="45"/>
  <c r="R87" i="45"/>
  <c r="P87" i="45"/>
  <c r="U86" i="45"/>
  <c r="R86" i="45"/>
  <c r="P86" i="45"/>
  <c r="U85" i="45"/>
  <c r="R85" i="45"/>
  <c r="P85" i="45"/>
  <c r="U84" i="45"/>
  <c r="R84" i="45"/>
  <c r="P84" i="45"/>
  <c r="U83" i="45"/>
  <c r="R83" i="45"/>
  <c r="P83" i="45"/>
  <c r="U82" i="45"/>
  <c r="R82" i="45"/>
  <c r="P82" i="45"/>
  <c r="U81" i="45"/>
  <c r="R81" i="45"/>
  <c r="P81" i="45"/>
  <c r="U80" i="45"/>
  <c r="R80" i="45"/>
  <c r="P80" i="45"/>
  <c r="U79" i="45"/>
  <c r="R79" i="45"/>
  <c r="P79" i="45"/>
  <c r="U78" i="45"/>
  <c r="R78" i="45"/>
  <c r="P78" i="45"/>
  <c r="U77" i="45"/>
  <c r="R77" i="45"/>
  <c r="P77" i="45"/>
  <c r="U76" i="45"/>
  <c r="R76" i="45"/>
  <c r="P76" i="45"/>
  <c r="U75" i="45"/>
  <c r="R75" i="45"/>
  <c r="P75" i="45"/>
  <c r="U74" i="45"/>
  <c r="R74" i="45"/>
  <c r="P74" i="45"/>
  <c r="U73" i="45"/>
  <c r="R73" i="45"/>
  <c r="P73" i="45"/>
  <c r="U72" i="45"/>
  <c r="R72" i="45"/>
  <c r="P72" i="45"/>
  <c r="U71" i="45"/>
  <c r="R71" i="45"/>
  <c r="P71" i="45"/>
  <c r="U70" i="45"/>
  <c r="R70" i="45"/>
  <c r="P70" i="45"/>
  <c r="U69" i="45"/>
  <c r="R69" i="45"/>
  <c r="P69" i="45"/>
  <c r="U68" i="45"/>
  <c r="R68" i="45"/>
  <c r="P68" i="45"/>
  <c r="U67" i="45"/>
  <c r="R67" i="45"/>
  <c r="P67" i="45"/>
  <c r="U66" i="45"/>
  <c r="R66" i="45"/>
  <c r="P66" i="45"/>
  <c r="U65" i="45"/>
  <c r="R65" i="45"/>
  <c r="P65" i="45"/>
  <c r="U64" i="45"/>
  <c r="R64" i="45"/>
  <c r="P64" i="45"/>
  <c r="U63" i="45"/>
  <c r="R63" i="45"/>
  <c r="P63" i="45"/>
  <c r="U62" i="45"/>
  <c r="R62" i="45"/>
  <c r="P62" i="45"/>
  <c r="U61" i="45"/>
  <c r="R61" i="45"/>
  <c r="P61" i="45"/>
  <c r="U60" i="45"/>
  <c r="R60" i="45"/>
  <c r="P60" i="45"/>
  <c r="U59" i="45"/>
  <c r="R59" i="45"/>
  <c r="P59" i="45"/>
  <c r="U58" i="45"/>
  <c r="R58" i="45"/>
  <c r="P58" i="45"/>
  <c r="U57" i="45"/>
  <c r="R57" i="45"/>
  <c r="P57" i="45"/>
  <c r="U56" i="45"/>
  <c r="R56" i="45"/>
  <c r="P56" i="45"/>
  <c r="U55" i="45"/>
  <c r="R55" i="45"/>
  <c r="P55" i="45"/>
  <c r="U54" i="45"/>
  <c r="R54" i="45"/>
  <c r="P54" i="45"/>
  <c r="U53" i="45"/>
  <c r="R53" i="45"/>
  <c r="P53" i="45"/>
  <c r="U52" i="45"/>
  <c r="R52" i="45"/>
  <c r="P52" i="45"/>
  <c r="U51" i="45"/>
  <c r="R51" i="45"/>
  <c r="P51" i="45"/>
  <c r="U50" i="45"/>
  <c r="R50" i="45"/>
  <c r="P50" i="45"/>
  <c r="U49" i="45"/>
  <c r="R49" i="45"/>
  <c r="P49" i="45"/>
  <c r="U48" i="45"/>
  <c r="R48" i="45"/>
  <c r="P48" i="45"/>
  <c r="U47" i="45"/>
  <c r="R47" i="45"/>
  <c r="P47" i="45"/>
  <c r="U46" i="45"/>
  <c r="R46" i="45"/>
  <c r="P46" i="45"/>
  <c r="U45" i="45"/>
  <c r="R45" i="45"/>
  <c r="P45" i="45"/>
  <c r="U44" i="45"/>
  <c r="R44" i="45"/>
  <c r="P44" i="45"/>
  <c r="U43" i="45"/>
  <c r="R43" i="45"/>
  <c r="P43" i="45"/>
  <c r="U42" i="45"/>
  <c r="R42" i="45"/>
  <c r="P42" i="45"/>
  <c r="U41" i="45"/>
  <c r="R41" i="45"/>
  <c r="P41" i="45"/>
  <c r="U40" i="45"/>
  <c r="R40" i="45"/>
  <c r="P40" i="45"/>
  <c r="U39" i="45"/>
  <c r="R39" i="45"/>
  <c r="P39" i="45"/>
  <c r="U38" i="45"/>
  <c r="R38" i="45"/>
  <c r="P38" i="45"/>
  <c r="U37" i="45"/>
  <c r="R37" i="45"/>
  <c r="P37" i="45"/>
  <c r="U36" i="45"/>
  <c r="R36" i="45"/>
  <c r="P36" i="45"/>
  <c r="U35" i="45"/>
  <c r="R35" i="45"/>
  <c r="P35" i="45"/>
  <c r="U34" i="45"/>
  <c r="R34" i="45"/>
  <c r="P34" i="45"/>
  <c r="U33" i="45"/>
  <c r="R33" i="45"/>
  <c r="P33" i="45"/>
  <c r="U32" i="45"/>
  <c r="R32" i="45"/>
  <c r="P32" i="45"/>
  <c r="U31" i="45"/>
  <c r="R31" i="45"/>
  <c r="P31" i="45"/>
  <c r="U30" i="45"/>
  <c r="R30" i="45"/>
  <c r="P30" i="45"/>
  <c r="U29" i="45"/>
  <c r="R29" i="45"/>
  <c r="P29" i="45"/>
  <c r="U28" i="45"/>
  <c r="R28" i="45"/>
  <c r="P28" i="45"/>
  <c r="U27" i="45"/>
  <c r="R27" i="45"/>
  <c r="P27" i="45"/>
  <c r="U26" i="45"/>
  <c r="T12" i="45"/>
  <c r="R26" i="45"/>
  <c r="R16" i="45"/>
  <c r="R17" i="45"/>
  <c r="R18" i="45"/>
  <c r="R19" i="45"/>
  <c r="R20" i="45"/>
  <c r="R21" i="45"/>
  <c r="R22" i="45"/>
  <c r="R23" i="45"/>
  <c r="R24" i="45"/>
  <c r="R25" i="45"/>
  <c r="R12" i="45"/>
  <c r="P26" i="45"/>
  <c r="U25" i="45"/>
  <c r="P25" i="45"/>
  <c r="U24" i="45"/>
  <c r="P24" i="45"/>
  <c r="U23" i="45"/>
  <c r="P23" i="45"/>
  <c r="U22" i="45"/>
  <c r="P22" i="45"/>
  <c r="U21" i="45"/>
  <c r="P21" i="45"/>
  <c r="U20" i="45"/>
  <c r="P20" i="45"/>
  <c r="U19" i="45"/>
  <c r="P19" i="45"/>
  <c r="U18" i="45"/>
  <c r="P18" i="45"/>
  <c r="U17" i="45"/>
  <c r="P17" i="45"/>
  <c r="U16" i="45"/>
  <c r="P16" i="45"/>
  <c r="U12" i="45"/>
  <c r="S12" i="45"/>
  <c r="Q12" i="45"/>
  <c r="K12" i="45"/>
  <c r="J12" i="45"/>
  <c r="I12" i="45"/>
  <c r="H12" i="45"/>
  <c r="G12" i="45"/>
  <c r="F12" i="45"/>
  <c r="E12" i="45"/>
  <c r="D12" i="45"/>
  <c r="C12" i="45"/>
  <c r="B12" i="45"/>
  <c r="P10" i="45"/>
  <c r="AB26" i="45"/>
  <c r="AC26" i="45"/>
  <c r="AB27" i="45"/>
  <c r="AC27" i="45"/>
  <c r="AB28" i="45"/>
  <c r="AC28" i="45"/>
  <c r="AB29" i="45"/>
  <c r="AC29" i="45"/>
  <c r="AB30" i="45"/>
  <c r="AC30" i="45"/>
  <c r="AB31" i="45"/>
  <c r="AC31" i="45"/>
  <c r="AB16" i="45"/>
  <c r="AC16" i="45"/>
  <c r="AB17" i="45"/>
  <c r="AC17" i="45"/>
  <c r="AC18" i="45"/>
  <c r="AB18" i="45"/>
  <c r="AB19" i="45"/>
  <c r="AC19" i="45"/>
  <c r="AC20" i="45"/>
  <c r="AB20" i="45"/>
  <c r="AC21" i="45"/>
  <c r="AB21" i="45"/>
  <c r="AC22" i="45"/>
  <c r="AB22" i="45"/>
  <c r="AC23" i="45"/>
  <c r="AB23" i="45"/>
  <c r="AC24" i="45"/>
  <c r="AB24" i="45"/>
  <c r="AC25" i="45"/>
  <c r="AB25" i="45"/>
  <c r="AB32" i="45"/>
  <c r="AC32" i="45"/>
  <c r="AC33" i="45"/>
  <c r="AB33" i="45"/>
  <c r="AB34" i="45"/>
  <c r="AB35" i="45"/>
  <c r="AC34" i="45"/>
  <c r="AC35" i="45"/>
  <c r="AB36" i="45"/>
  <c r="AC37" i="45"/>
  <c r="AB37" i="45"/>
  <c r="AC36" i="45"/>
  <c r="AB38" i="45"/>
  <c r="AC39" i="45"/>
  <c r="AB39" i="45"/>
  <c r="AC38" i="45"/>
  <c r="AB40" i="45"/>
  <c r="AC41" i="45"/>
  <c r="AB41" i="45"/>
  <c r="AC40" i="45"/>
  <c r="AB42" i="45"/>
  <c r="AC42" i="45"/>
  <c r="AC43" i="45"/>
  <c r="AB43" i="45"/>
  <c r="AC44" i="45"/>
  <c r="AB44" i="45"/>
  <c r="AC45" i="45"/>
  <c r="AB45" i="45"/>
  <c r="AB46" i="45"/>
  <c r="AC46" i="45"/>
  <c r="AC47" i="45"/>
  <c r="AB47" i="45"/>
  <c r="AB48" i="45"/>
  <c r="AC49" i="45"/>
  <c r="AB49" i="45"/>
  <c r="AC48" i="45"/>
  <c r="AB50" i="45"/>
  <c r="AC50" i="45"/>
  <c r="AC51" i="45"/>
  <c r="AB51" i="45"/>
  <c r="AB52" i="45"/>
  <c r="AC53" i="45"/>
  <c r="AB53" i="45"/>
  <c r="AC52" i="45"/>
  <c r="AB54" i="45"/>
  <c r="AC55" i="45"/>
  <c r="AB55" i="45"/>
  <c r="AC54" i="45"/>
  <c r="AB56" i="45"/>
  <c r="AC57" i="45"/>
  <c r="AB57" i="45"/>
  <c r="AC56" i="45"/>
  <c r="AB58" i="45"/>
  <c r="AC58" i="45"/>
  <c r="AC59" i="45"/>
  <c r="AB59" i="45"/>
  <c r="AB60" i="45"/>
  <c r="AC61" i="45"/>
  <c r="AB61" i="45"/>
  <c r="AC60" i="45"/>
  <c r="AB62" i="45"/>
  <c r="AC63" i="45"/>
  <c r="AB63" i="45"/>
  <c r="AC62" i="45"/>
  <c r="AB64" i="45"/>
  <c r="AC64" i="45"/>
  <c r="AC65" i="45"/>
  <c r="AB65" i="45"/>
  <c r="AB66" i="45"/>
  <c r="AC67" i="45"/>
  <c r="AB67" i="45"/>
  <c r="AC66" i="45"/>
  <c r="AB68" i="45"/>
  <c r="AC68" i="45"/>
  <c r="AC69" i="45"/>
  <c r="AB69" i="45"/>
  <c r="AB70" i="45"/>
  <c r="AB71" i="45"/>
  <c r="AC70" i="45"/>
  <c r="AB72" i="45"/>
  <c r="AC71" i="45"/>
  <c r="AC73" i="45"/>
  <c r="AB73" i="45"/>
  <c r="AC72" i="45"/>
  <c r="AB74" i="45"/>
  <c r="AC75" i="45"/>
  <c r="AB75" i="45"/>
  <c r="AC74" i="45"/>
  <c r="AB76" i="45"/>
  <c r="AC76" i="45"/>
  <c r="AC77" i="45"/>
  <c r="AB77" i="45"/>
  <c r="AB78" i="45"/>
  <c r="AC78" i="45"/>
  <c r="AC79" i="45"/>
  <c r="AB79" i="45"/>
  <c r="AB80" i="45"/>
  <c r="AC81" i="45"/>
  <c r="AB81" i="45"/>
  <c r="AC80" i="45"/>
  <c r="AB82" i="45"/>
  <c r="AC83" i="45"/>
  <c r="AB83" i="45"/>
  <c r="AC82" i="45"/>
  <c r="AB84" i="45"/>
  <c r="AC85" i="45"/>
  <c r="AB85" i="45"/>
  <c r="AC84" i="45"/>
  <c r="AB86" i="45"/>
  <c r="AC86" i="45"/>
  <c r="AC87" i="45"/>
  <c r="AB87" i="45"/>
  <c r="AB88" i="45"/>
  <c r="AB89" i="45"/>
  <c r="AC88" i="45"/>
  <c r="AB90" i="45"/>
  <c r="AC89" i="45"/>
  <c r="AC90" i="45"/>
  <c r="AC91" i="45"/>
  <c r="AB91" i="45"/>
  <c r="AB92" i="45"/>
  <c r="AC93" i="45"/>
  <c r="AB93" i="45"/>
  <c r="AC92" i="45"/>
  <c r="AB94" i="45"/>
  <c r="AC95" i="45"/>
  <c r="AB95" i="45"/>
  <c r="AC94" i="45"/>
  <c r="X12" i="45"/>
  <c r="W12" i="45"/>
  <c r="V12" i="45"/>
  <c r="AB12" i="45"/>
  <c r="AC12" i="45"/>
  <c r="W66" i="12"/>
  <c r="X66" i="12"/>
  <c r="V97" i="12"/>
  <c r="U97" i="12"/>
  <c r="T97" i="12"/>
  <c r="S97" i="12"/>
  <c r="R97" i="12"/>
  <c r="Q97" i="12"/>
  <c r="V96" i="12"/>
  <c r="U96" i="12"/>
  <c r="T96" i="12"/>
  <c r="S96" i="12"/>
  <c r="R96" i="12"/>
  <c r="Q96" i="12"/>
  <c r="V95" i="12"/>
  <c r="U95" i="12"/>
  <c r="T95" i="12"/>
  <c r="S95" i="12"/>
  <c r="R95" i="12"/>
  <c r="Q95" i="12"/>
  <c r="V94" i="12"/>
  <c r="U94" i="12"/>
  <c r="T94" i="12"/>
  <c r="S94" i="12"/>
  <c r="R94" i="12"/>
  <c r="Q94" i="12"/>
  <c r="V93" i="12"/>
  <c r="U93" i="12"/>
  <c r="T93" i="12"/>
  <c r="S93" i="12"/>
  <c r="R93" i="12"/>
  <c r="Q93" i="12"/>
  <c r="V92" i="12"/>
  <c r="U92" i="12"/>
  <c r="T92" i="12"/>
  <c r="S92" i="12"/>
  <c r="R92" i="12"/>
  <c r="Q92" i="12"/>
  <c r="V91" i="12"/>
  <c r="U91" i="12"/>
  <c r="T91" i="12"/>
  <c r="S91" i="12"/>
  <c r="R91" i="12"/>
  <c r="Q91" i="12"/>
  <c r="V90" i="12"/>
  <c r="U90" i="12"/>
  <c r="T90" i="12"/>
  <c r="S90" i="12"/>
  <c r="R90" i="12"/>
  <c r="Q90" i="12"/>
  <c r="V89" i="12"/>
  <c r="U89" i="12"/>
  <c r="T89" i="12"/>
  <c r="S89" i="12"/>
  <c r="R89" i="12"/>
  <c r="Q89" i="12"/>
  <c r="V88" i="12"/>
  <c r="U88" i="12"/>
  <c r="T88" i="12"/>
  <c r="S88" i="12"/>
  <c r="R88" i="12"/>
  <c r="Q88" i="12"/>
  <c r="V87" i="12"/>
  <c r="U87" i="12"/>
  <c r="T87" i="12"/>
  <c r="S87" i="12"/>
  <c r="R87" i="12"/>
  <c r="Q87" i="12"/>
  <c r="V86" i="12"/>
  <c r="U86" i="12"/>
  <c r="T86" i="12"/>
  <c r="S86" i="12"/>
  <c r="R86" i="12"/>
  <c r="Q86" i="12"/>
  <c r="V85" i="12"/>
  <c r="U85" i="12"/>
  <c r="T85" i="12"/>
  <c r="S85" i="12"/>
  <c r="R85" i="12"/>
  <c r="Q85" i="12"/>
  <c r="V84" i="12"/>
  <c r="U84" i="12"/>
  <c r="T84" i="12"/>
  <c r="S84" i="12"/>
  <c r="R84" i="12"/>
  <c r="Q84" i="12"/>
  <c r="V83" i="12"/>
  <c r="U83" i="12"/>
  <c r="T83" i="12"/>
  <c r="S83" i="12"/>
  <c r="R83" i="12"/>
  <c r="Q83" i="12"/>
  <c r="V82" i="12"/>
  <c r="U82" i="12"/>
  <c r="T82" i="12"/>
  <c r="S82" i="12"/>
  <c r="R82" i="12"/>
  <c r="Q82" i="12"/>
  <c r="V81" i="12"/>
  <c r="U81" i="12"/>
  <c r="T81" i="12"/>
  <c r="S81" i="12"/>
  <c r="R81" i="12"/>
  <c r="Q81" i="12"/>
  <c r="V80" i="12"/>
  <c r="U80" i="12"/>
  <c r="T80" i="12"/>
  <c r="S80" i="12"/>
  <c r="R80" i="12"/>
  <c r="Q80" i="12"/>
  <c r="V79" i="12"/>
  <c r="U79" i="12"/>
  <c r="T79" i="12"/>
  <c r="S79" i="12"/>
  <c r="R79" i="12"/>
  <c r="Q79" i="12"/>
  <c r="V78" i="12"/>
  <c r="U78" i="12"/>
  <c r="T78" i="12"/>
  <c r="S78" i="12"/>
  <c r="R78" i="12"/>
  <c r="Q78" i="12"/>
  <c r="V76" i="12"/>
  <c r="U76" i="12"/>
  <c r="T76" i="12"/>
  <c r="S76" i="12"/>
  <c r="R76" i="12"/>
  <c r="Q76" i="12"/>
  <c r="V75" i="12"/>
  <c r="U75" i="12"/>
  <c r="T75" i="12"/>
  <c r="S75" i="12"/>
  <c r="R75" i="12"/>
  <c r="Q75" i="12"/>
  <c r="V74" i="12"/>
  <c r="U74" i="12"/>
  <c r="T74" i="12"/>
  <c r="S74" i="12"/>
  <c r="R74" i="12"/>
  <c r="Q74" i="12"/>
  <c r="V73" i="12"/>
  <c r="U73" i="12"/>
  <c r="T73" i="12"/>
  <c r="S73" i="12"/>
  <c r="R73" i="12"/>
  <c r="Q73" i="12"/>
  <c r="V72" i="12"/>
  <c r="U72" i="12"/>
  <c r="T72" i="12"/>
  <c r="S72" i="12"/>
  <c r="R72" i="12"/>
  <c r="Q72" i="12"/>
  <c r="V71" i="12"/>
  <c r="U71" i="12"/>
  <c r="T71" i="12"/>
  <c r="S71" i="12"/>
  <c r="R71" i="12"/>
  <c r="Q71" i="12"/>
  <c r="V70" i="12"/>
  <c r="U70" i="12"/>
  <c r="T70" i="12"/>
  <c r="S70" i="12"/>
  <c r="R70" i="12"/>
  <c r="Q70" i="12"/>
  <c r="V69" i="12"/>
  <c r="U69" i="12"/>
  <c r="T69" i="12"/>
  <c r="S69" i="12"/>
  <c r="R69" i="12"/>
  <c r="Q69" i="12"/>
  <c r="V68" i="12"/>
  <c r="U68" i="12"/>
  <c r="T68" i="12"/>
  <c r="S68" i="12"/>
  <c r="R68" i="12"/>
  <c r="Q68" i="12"/>
  <c r="A68" i="12"/>
  <c r="A69" i="12"/>
  <c r="A70" i="12"/>
  <c r="A71" i="12"/>
  <c r="A72" i="12"/>
  <c r="A73" i="12"/>
  <c r="A74" i="12"/>
  <c r="A75" i="12"/>
  <c r="A76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W97" i="12"/>
  <c r="V67" i="12"/>
  <c r="U67" i="12"/>
  <c r="Y67" i="12"/>
  <c r="T67" i="12"/>
  <c r="S67" i="12"/>
  <c r="W67" i="12"/>
  <c r="R67" i="12"/>
  <c r="Q67" i="12"/>
  <c r="V65" i="12"/>
  <c r="U65" i="12"/>
  <c r="T65" i="12"/>
  <c r="S65" i="12"/>
  <c r="R65" i="12"/>
  <c r="Q65" i="12"/>
  <c r="V64" i="12"/>
  <c r="U64" i="12"/>
  <c r="T64" i="12"/>
  <c r="S64" i="12"/>
  <c r="R64" i="12"/>
  <c r="Q64" i="12"/>
  <c r="V63" i="12"/>
  <c r="U63" i="12"/>
  <c r="T63" i="12"/>
  <c r="S63" i="12"/>
  <c r="R63" i="12"/>
  <c r="Q63" i="12"/>
  <c r="V62" i="12"/>
  <c r="U62" i="12"/>
  <c r="T62" i="12"/>
  <c r="S62" i="12"/>
  <c r="R62" i="12"/>
  <c r="Q62" i="12"/>
  <c r="V61" i="12"/>
  <c r="U61" i="12"/>
  <c r="T61" i="12"/>
  <c r="S61" i="12"/>
  <c r="R61" i="12"/>
  <c r="Q61" i="12"/>
  <c r="V60" i="12"/>
  <c r="U60" i="12"/>
  <c r="T60" i="12"/>
  <c r="S60" i="12"/>
  <c r="R60" i="12"/>
  <c r="Q60" i="12"/>
  <c r="V59" i="12"/>
  <c r="U59" i="12"/>
  <c r="T59" i="12"/>
  <c r="S59" i="12"/>
  <c r="R59" i="12"/>
  <c r="Q59" i="12"/>
  <c r="V58" i="12"/>
  <c r="U58" i="12"/>
  <c r="T58" i="12"/>
  <c r="S58" i="12"/>
  <c r="R58" i="12"/>
  <c r="Q58" i="12"/>
  <c r="A58" i="12"/>
  <c r="A59" i="12"/>
  <c r="A60" i="12"/>
  <c r="A61" i="12"/>
  <c r="A62" i="12"/>
  <c r="A63" i="12"/>
  <c r="A64" i="12"/>
  <c r="A65" i="12"/>
  <c r="W65" i="12"/>
  <c r="V57" i="12"/>
  <c r="U57" i="12"/>
  <c r="Y57" i="12"/>
  <c r="T57" i="12"/>
  <c r="S57" i="12"/>
  <c r="R57" i="12"/>
  <c r="Q57" i="12"/>
  <c r="V56" i="12"/>
  <c r="U56" i="12"/>
  <c r="T56" i="12"/>
  <c r="S56" i="12"/>
  <c r="R56" i="12"/>
  <c r="Q56" i="12"/>
  <c r="V55" i="12"/>
  <c r="U55" i="12"/>
  <c r="T55" i="12"/>
  <c r="S55" i="12"/>
  <c r="R55" i="12"/>
  <c r="Q55" i="12"/>
  <c r="V54" i="12"/>
  <c r="U54" i="12"/>
  <c r="T54" i="12"/>
  <c r="S54" i="12"/>
  <c r="R54" i="12"/>
  <c r="Q54" i="12"/>
  <c r="V53" i="12"/>
  <c r="U53" i="12"/>
  <c r="T53" i="12"/>
  <c r="S53" i="12"/>
  <c r="R53" i="12"/>
  <c r="Q53" i="12"/>
  <c r="V52" i="12"/>
  <c r="U52" i="12"/>
  <c r="T52" i="12"/>
  <c r="S52" i="12"/>
  <c r="R52" i="12"/>
  <c r="Q52" i="12"/>
  <c r="V51" i="12"/>
  <c r="U51" i="12"/>
  <c r="T51" i="12"/>
  <c r="S51" i="12"/>
  <c r="R51" i="12"/>
  <c r="Q51" i="12"/>
  <c r="V50" i="12"/>
  <c r="U50" i="12"/>
  <c r="T50" i="12"/>
  <c r="S50" i="12"/>
  <c r="R50" i="12"/>
  <c r="Q50" i="12"/>
  <c r="V49" i="12"/>
  <c r="U49" i="12"/>
  <c r="T49" i="12"/>
  <c r="S49" i="12"/>
  <c r="R49" i="12"/>
  <c r="Q49" i="12"/>
  <c r="V48" i="12"/>
  <c r="U48" i="12"/>
  <c r="T48" i="12"/>
  <c r="S48" i="12"/>
  <c r="R48" i="12"/>
  <c r="Q48" i="12"/>
  <c r="V47" i="12"/>
  <c r="U47" i="12"/>
  <c r="T47" i="12"/>
  <c r="S47" i="12"/>
  <c r="R47" i="12"/>
  <c r="Q47" i="12"/>
  <c r="V46" i="12"/>
  <c r="U46" i="12"/>
  <c r="T46" i="12"/>
  <c r="S46" i="12"/>
  <c r="R46" i="12"/>
  <c r="Q46" i="12"/>
  <c r="V45" i="12"/>
  <c r="U45" i="12"/>
  <c r="T45" i="12"/>
  <c r="S45" i="12"/>
  <c r="R45" i="12"/>
  <c r="Q45" i="12"/>
  <c r="V44" i="12"/>
  <c r="U44" i="12"/>
  <c r="T44" i="12"/>
  <c r="S44" i="12"/>
  <c r="R44" i="12"/>
  <c r="Q44" i="12"/>
  <c r="V43" i="12"/>
  <c r="U43" i="12"/>
  <c r="T43" i="12"/>
  <c r="S43" i="12"/>
  <c r="R43" i="12"/>
  <c r="Q43" i="12"/>
  <c r="V42" i="12"/>
  <c r="U42" i="12"/>
  <c r="T42" i="12"/>
  <c r="S42" i="12"/>
  <c r="R42" i="12"/>
  <c r="Q42" i="12"/>
  <c r="V41" i="12"/>
  <c r="U41" i="12"/>
  <c r="T41" i="12"/>
  <c r="S41" i="12"/>
  <c r="R41" i="12"/>
  <c r="Q41" i="12"/>
  <c r="V40" i="12"/>
  <c r="U40" i="12"/>
  <c r="T40" i="12"/>
  <c r="S40" i="12"/>
  <c r="R40" i="12"/>
  <c r="Q40" i="12"/>
  <c r="V39" i="12"/>
  <c r="U39" i="12"/>
  <c r="T39" i="12"/>
  <c r="S39" i="12"/>
  <c r="R39" i="12"/>
  <c r="Q39" i="12"/>
  <c r="V38" i="12"/>
  <c r="U38" i="12"/>
  <c r="T38" i="12"/>
  <c r="S38" i="12"/>
  <c r="R38" i="12"/>
  <c r="Q38" i="12"/>
  <c r="V37" i="12"/>
  <c r="U37" i="12"/>
  <c r="T37" i="12"/>
  <c r="S37" i="12"/>
  <c r="R37" i="12"/>
  <c r="Q37" i="12"/>
  <c r="V36" i="12"/>
  <c r="U36" i="12"/>
  <c r="T36" i="12"/>
  <c r="S36" i="12"/>
  <c r="R36" i="12"/>
  <c r="Q36" i="12"/>
  <c r="V35" i="12"/>
  <c r="U35" i="12"/>
  <c r="T35" i="12"/>
  <c r="S35" i="12"/>
  <c r="R35" i="12"/>
  <c r="Q35" i="12"/>
  <c r="V34" i="12"/>
  <c r="U34" i="12"/>
  <c r="T34" i="12"/>
  <c r="S34" i="12"/>
  <c r="R34" i="12"/>
  <c r="Q34" i="12"/>
  <c r="V33" i="12"/>
  <c r="U33" i="12"/>
  <c r="T33" i="12"/>
  <c r="S33" i="12"/>
  <c r="R33" i="12"/>
  <c r="Q33" i="12"/>
  <c r="V32" i="12"/>
  <c r="U32" i="12"/>
  <c r="T32" i="12"/>
  <c r="S32" i="12"/>
  <c r="R32" i="12"/>
  <c r="Q32" i="12"/>
  <c r="V31" i="12"/>
  <c r="U31" i="12"/>
  <c r="T31" i="12"/>
  <c r="S31" i="12"/>
  <c r="R31" i="12"/>
  <c r="Q31" i="12"/>
  <c r="V30" i="12"/>
  <c r="U30" i="12"/>
  <c r="T30" i="12"/>
  <c r="S30" i="12"/>
  <c r="R30" i="12"/>
  <c r="Q30" i="12"/>
  <c r="V29" i="12"/>
  <c r="U29" i="12"/>
  <c r="T29" i="12"/>
  <c r="S29" i="12"/>
  <c r="R29" i="12"/>
  <c r="Q29" i="12"/>
  <c r="V28" i="12"/>
  <c r="U28" i="12"/>
  <c r="T28" i="12"/>
  <c r="S28" i="12"/>
  <c r="R28" i="12"/>
  <c r="Q28" i="12"/>
  <c r="V27" i="12"/>
  <c r="U27" i="12"/>
  <c r="T27" i="12"/>
  <c r="S27" i="12"/>
  <c r="R27" i="12"/>
  <c r="Q27" i="12"/>
  <c r="V26" i="12"/>
  <c r="U26" i="12"/>
  <c r="T26" i="12"/>
  <c r="S26" i="12"/>
  <c r="R26" i="12"/>
  <c r="Q26" i="12"/>
  <c r="V25" i="12"/>
  <c r="U25" i="12"/>
  <c r="T25" i="12"/>
  <c r="S25" i="12"/>
  <c r="R25" i="12"/>
  <c r="Q25" i="12"/>
  <c r="V24" i="12"/>
  <c r="U24" i="12"/>
  <c r="T24" i="12"/>
  <c r="S24" i="12"/>
  <c r="R24" i="12"/>
  <c r="Q24" i="12"/>
  <c r="V23" i="12"/>
  <c r="U23" i="12"/>
  <c r="T23" i="12"/>
  <c r="S23" i="12"/>
  <c r="R23" i="12"/>
  <c r="Q23" i="12"/>
  <c r="V22" i="12"/>
  <c r="U22" i="12"/>
  <c r="T22" i="12"/>
  <c r="S22" i="12"/>
  <c r="R22" i="12"/>
  <c r="Q22" i="12"/>
  <c r="V21" i="12"/>
  <c r="U21" i="12"/>
  <c r="T21" i="12"/>
  <c r="S21" i="12"/>
  <c r="R21" i="12"/>
  <c r="Q21" i="12"/>
  <c r="V20" i="12"/>
  <c r="U20" i="12"/>
  <c r="T20" i="12"/>
  <c r="S20" i="12"/>
  <c r="R20" i="12"/>
  <c r="Q20" i="12"/>
  <c r="V19" i="12"/>
  <c r="U19" i="12"/>
  <c r="T19" i="12"/>
  <c r="S19" i="12"/>
  <c r="R19" i="12"/>
  <c r="Q19" i="12"/>
  <c r="V18" i="12"/>
  <c r="U18" i="12"/>
  <c r="T18" i="12"/>
  <c r="S18" i="12"/>
  <c r="R18" i="12"/>
  <c r="Q18" i="12"/>
  <c r="V17" i="12"/>
  <c r="U17" i="12"/>
  <c r="T17" i="12"/>
  <c r="S17" i="12"/>
  <c r="R17" i="12"/>
  <c r="Q17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W55" i="12"/>
  <c r="R16" i="12"/>
  <c r="Q16" i="12"/>
  <c r="T12" i="12"/>
  <c r="I12" i="12"/>
  <c r="H12" i="12"/>
  <c r="G12" i="12"/>
  <c r="F12" i="12"/>
  <c r="E12" i="12"/>
  <c r="D12" i="12"/>
  <c r="C12" i="12"/>
  <c r="Q10" i="12"/>
  <c r="W57" i="12"/>
  <c r="X57" i="12"/>
  <c r="X67" i="12"/>
  <c r="Y65" i="12"/>
  <c r="Y64" i="12"/>
  <c r="Y63" i="12"/>
  <c r="Y62" i="12"/>
  <c r="Y61" i="12"/>
  <c r="Y60" i="12"/>
  <c r="Y59" i="12"/>
  <c r="Y58" i="12"/>
  <c r="Y55" i="12"/>
  <c r="Y54" i="12"/>
  <c r="Y53" i="12"/>
  <c r="Y52" i="12"/>
  <c r="Y51" i="12"/>
  <c r="Y50" i="12"/>
  <c r="Y49" i="12"/>
  <c r="Y48" i="12"/>
  <c r="Y47" i="12"/>
  <c r="Y46" i="12"/>
  <c r="Y45" i="12"/>
  <c r="Y44" i="12"/>
  <c r="Y43" i="12"/>
  <c r="Y42" i="12"/>
  <c r="Y41" i="12"/>
  <c r="Y40" i="12"/>
  <c r="Y39" i="12"/>
  <c r="Y38" i="12"/>
  <c r="Y37" i="12"/>
  <c r="Y36" i="12"/>
  <c r="Y35" i="12"/>
  <c r="Y34" i="12"/>
  <c r="Y33" i="12"/>
  <c r="Y32" i="12"/>
  <c r="Y31" i="12"/>
  <c r="Y30" i="12"/>
  <c r="Y29" i="12"/>
  <c r="Y28" i="12"/>
  <c r="Y27" i="12"/>
  <c r="Y26" i="12"/>
  <c r="Y25" i="12"/>
  <c r="Y24" i="12"/>
  <c r="Y23" i="12"/>
  <c r="Y22" i="12"/>
  <c r="Y21" i="12"/>
  <c r="Y20" i="12"/>
  <c r="Y19" i="12"/>
  <c r="Y18" i="12"/>
  <c r="Y17" i="12"/>
  <c r="Y76" i="12"/>
  <c r="Y75" i="12"/>
  <c r="Y74" i="12"/>
  <c r="Y73" i="12"/>
  <c r="Y72" i="12"/>
  <c r="Y71" i="12"/>
  <c r="Y70" i="12"/>
  <c r="Y69" i="12"/>
  <c r="Y68" i="12"/>
  <c r="Y97" i="12"/>
  <c r="Y96" i="12"/>
  <c r="Y95" i="12"/>
  <c r="Y94" i="12"/>
  <c r="Y93" i="12"/>
  <c r="Y92" i="12"/>
  <c r="Y91" i="12"/>
  <c r="Y90" i="12"/>
  <c r="Y89" i="12"/>
  <c r="Y88" i="12"/>
  <c r="Y87" i="12"/>
  <c r="Y86" i="12"/>
  <c r="Y85" i="12"/>
  <c r="Y84" i="12"/>
  <c r="Y83" i="12"/>
  <c r="Y82" i="12"/>
  <c r="Y81" i="12"/>
  <c r="Y80" i="12"/>
  <c r="Y79" i="12"/>
  <c r="Y78" i="12"/>
  <c r="X97" i="12"/>
  <c r="X96" i="12"/>
  <c r="W96" i="12"/>
  <c r="X95" i="12"/>
  <c r="W95" i="12"/>
  <c r="X94" i="12"/>
  <c r="W94" i="12"/>
  <c r="X93" i="12"/>
  <c r="W93" i="12"/>
  <c r="X92" i="12"/>
  <c r="W92" i="12"/>
  <c r="X91" i="12"/>
  <c r="W91" i="12"/>
  <c r="X90" i="12"/>
  <c r="W90" i="12"/>
  <c r="X89" i="12"/>
  <c r="W89" i="12"/>
  <c r="X88" i="12"/>
  <c r="W88" i="12"/>
  <c r="X87" i="12"/>
  <c r="W87" i="12"/>
  <c r="X86" i="12"/>
  <c r="W86" i="12"/>
  <c r="X85" i="12"/>
  <c r="W85" i="12"/>
  <c r="X84" i="12"/>
  <c r="W84" i="12"/>
  <c r="X83" i="12"/>
  <c r="W83" i="12"/>
  <c r="X82" i="12"/>
  <c r="W82" i="12"/>
  <c r="X81" i="12"/>
  <c r="W81" i="12"/>
  <c r="X80" i="12"/>
  <c r="W80" i="12"/>
  <c r="X79" i="12"/>
  <c r="W79" i="12"/>
  <c r="X78" i="12"/>
  <c r="W78" i="12"/>
  <c r="X76" i="12"/>
  <c r="W76" i="12"/>
  <c r="X75" i="12"/>
  <c r="W75" i="12"/>
  <c r="X74" i="12"/>
  <c r="W74" i="12"/>
  <c r="X73" i="12"/>
  <c r="W73" i="12"/>
  <c r="X72" i="12"/>
  <c r="W72" i="12"/>
  <c r="X71" i="12"/>
  <c r="W71" i="12"/>
  <c r="X70" i="12"/>
  <c r="W70" i="12"/>
  <c r="X69" i="12"/>
  <c r="W69" i="12"/>
  <c r="X68" i="12"/>
  <c r="W68" i="12"/>
  <c r="X65" i="12"/>
  <c r="X64" i="12"/>
  <c r="W64" i="12"/>
  <c r="X63" i="12"/>
  <c r="W63" i="12"/>
  <c r="X62" i="12"/>
  <c r="W62" i="12"/>
  <c r="X61" i="12"/>
  <c r="W61" i="12"/>
  <c r="X60" i="12"/>
  <c r="W60" i="12"/>
  <c r="X59" i="12"/>
  <c r="W59" i="12"/>
  <c r="X58" i="12"/>
  <c r="W58" i="12"/>
  <c r="X55" i="12"/>
  <c r="X54" i="12"/>
  <c r="W54" i="12"/>
  <c r="X53" i="12"/>
  <c r="W53" i="12"/>
  <c r="X52" i="12"/>
  <c r="W52" i="12"/>
  <c r="X51" i="12"/>
  <c r="W51" i="12"/>
  <c r="X50" i="12"/>
  <c r="W50" i="12"/>
  <c r="X49" i="12"/>
  <c r="W49" i="12"/>
  <c r="X48" i="12"/>
  <c r="W48" i="12"/>
  <c r="X47" i="12"/>
  <c r="W47" i="12"/>
  <c r="X46" i="12"/>
  <c r="W46" i="12"/>
  <c r="X45" i="12"/>
  <c r="W45" i="12"/>
  <c r="X44" i="12"/>
  <c r="W44" i="12"/>
  <c r="X43" i="12"/>
  <c r="W43" i="12"/>
  <c r="X42" i="12"/>
  <c r="W42" i="12"/>
  <c r="X41" i="12"/>
  <c r="W41" i="12"/>
  <c r="X40" i="12"/>
  <c r="W40" i="12"/>
  <c r="X39" i="12"/>
  <c r="W39" i="12"/>
  <c r="X38" i="12"/>
  <c r="W38" i="12"/>
  <c r="X37" i="12"/>
  <c r="W37" i="12"/>
  <c r="X36" i="12"/>
  <c r="W36" i="12"/>
  <c r="X35" i="12"/>
  <c r="W35" i="12"/>
  <c r="X34" i="12"/>
  <c r="W34" i="12"/>
  <c r="X33" i="12"/>
  <c r="W33" i="12"/>
  <c r="X32" i="12"/>
  <c r="W32" i="12"/>
  <c r="X31" i="12"/>
  <c r="W31" i="12"/>
  <c r="X30" i="12"/>
  <c r="W30" i="12"/>
  <c r="X29" i="12"/>
  <c r="W29" i="12"/>
  <c r="X28" i="12"/>
  <c r="W28" i="12"/>
  <c r="X27" i="12"/>
  <c r="W27" i="12"/>
  <c r="X26" i="12"/>
  <c r="W26" i="12"/>
  <c r="X25" i="12"/>
  <c r="W25" i="12"/>
  <c r="X24" i="12"/>
  <c r="W24" i="12"/>
  <c r="X23" i="12"/>
  <c r="W23" i="12"/>
  <c r="X22" i="12"/>
  <c r="W22" i="12"/>
  <c r="X21" i="12"/>
  <c r="W21" i="12"/>
  <c r="X20" i="12"/>
  <c r="W20" i="12"/>
  <c r="X19" i="12"/>
  <c r="W19" i="12"/>
  <c r="X18" i="12"/>
  <c r="W18" i="12"/>
  <c r="X17" i="12"/>
  <c r="W17" i="12"/>
  <c r="Z2" i="12"/>
  <c r="Z3" i="12"/>
  <c r="Z4" i="12"/>
  <c r="W12" i="12"/>
  <c r="X12" i="12"/>
  <c r="Y12" i="12"/>
  <c r="Z97" i="12"/>
  <c r="AA97" i="12"/>
  <c r="AG97" i="12"/>
  <c r="AB97" i="12"/>
  <c r="AC97" i="12"/>
  <c r="AD97" i="12"/>
  <c r="AE97" i="12"/>
  <c r="AF97" i="12"/>
  <c r="X9" i="12"/>
  <c r="X8" i="12"/>
  <c r="AG16" i="12"/>
  <c r="AG17" i="12"/>
  <c r="AB17" i="12"/>
  <c r="AG18" i="12"/>
  <c r="AB18" i="12"/>
  <c r="AG19" i="12"/>
  <c r="AB19" i="12"/>
  <c r="AG20" i="12"/>
  <c r="AB20" i="12"/>
  <c r="AG21" i="12"/>
  <c r="AB21" i="12"/>
  <c r="AG22" i="12"/>
  <c r="AB22" i="12"/>
  <c r="AG23" i="12"/>
  <c r="AB23" i="12"/>
  <c r="AG24" i="12"/>
  <c r="AB24" i="12"/>
  <c r="AG25" i="12"/>
  <c r="AB25" i="12"/>
  <c r="AG26" i="12"/>
  <c r="AB26" i="12"/>
  <c r="AG27" i="12"/>
  <c r="AB27" i="12"/>
  <c r="AG28" i="12"/>
  <c r="AB28" i="12"/>
  <c r="AG29" i="12"/>
  <c r="AB29" i="12"/>
  <c r="AG30" i="12"/>
  <c r="AB30" i="12"/>
  <c r="AG31" i="12"/>
  <c r="AB31" i="12"/>
  <c r="AG32" i="12"/>
  <c r="AB32" i="12"/>
  <c r="AG33" i="12"/>
  <c r="AB33" i="12"/>
  <c r="AG34" i="12"/>
  <c r="AB34" i="12"/>
  <c r="AG35" i="12"/>
  <c r="AB35" i="12"/>
  <c r="AG36" i="12"/>
  <c r="AB36" i="12"/>
  <c r="AG37" i="12"/>
  <c r="AB37" i="12"/>
  <c r="AG38" i="12"/>
  <c r="AB38" i="12"/>
  <c r="AG39" i="12"/>
  <c r="AB39" i="12"/>
  <c r="AG40" i="12"/>
  <c r="AB40" i="12"/>
  <c r="AG41" i="12"/>
  <c r="AB41" i="12"/>
  <c r="AG42" i="12"/>
  <c r="AB42" i="12"/>
  <c r="AG43" i="12"/>
  <c r="AB43" i="12"/>
  <c r="AG44" i="12"/>
  <c r="AB44" i="12"/>
  <c r="AG45" i="12"/>
  <c r="AB45" i="12"/>
  <c r="AG46" i="12"/>
  <c r="AB46" i="12"/>
  <c r="AG47" i="12"/>
  <c r="AB47" i="12"/>
  <c r="AG48" i="12"/>
  <c r="AB48" i="12"/>
  <c r="AG49" i="12"/>
  <c r="AB49" i="12"/>
  <c r="AG50" i="12"/>
  <c r="AB50" i="12"/>
  <c r="AG51" i="12"/>
  <c r="AB51" i="12"/>
  <c r="AG52" i="12"/>
  <c r="AB52" i="12"/>
  <c r="AG53" i="12"/>
  <c r="AB53" i="12"/>
  <c r="AG54" i="12"/>
  <c r="AB54" i="12"/>
  <c r="AG55" i="12"/>
  <c r="AB55" i="12"/>
  <c r="AG57" i="12"/>
  <c r="AB57" i="12"/>
  <c r="AG58" i="12"/>
  <c r="AB58" i="12"/>
  <c r="AG59" i="12"/>
  <c r="AB59" i="12"/>
  <c r="AG60" i="12"/>
  <c r="AB60" i="12"/>
  <c r="AG61" i="12"/>
  <c r="AB61" i="12"/>
  <c r="AG62" i="12"/>
  <c r="AB62" i="12"/>
  <c r="AG63" i="12"/>
  <c r="AB63" i="12"/>
  <c r="AG64" i="12"/>
  <c r="AB64" i="12"/>
  <c r="AG65" i="12"/>
  <c r="AB65" i="12"/>
  <c r="AG67" i="12"/>
  <c r="AB67" i="12"/>
  <c r="AG68" i="12"/>
  <c r="AB68" i="12"/>
  <c r="AG69" i="12"/>
  <c r="AB69" i="12"/>
  <c r="AG70" i="12"/>
  <c r="AB70" i="12"/>
  <c r="AG71" i="12"/>
  <c r="AB71" i="12"/>
  <c r="AG72" i="12"/>
  <c r="AB72" i="12"/>
  <c r="AG73" i="12"/>
  <c r="AB73" i="12"/>
  <c r="AG74" i="12"/>
  <c r="AB74" i="12"/>
  <c r="AG75" i="12"/>
  <c r="AB75" i="12"/>
  <c r="AG76" i="12"/>
  <c r="AB76" i="12"/>
  <c r="AG78" i="12"/>
  <c r="AB78" i="12"/>
  <c r="AG79" i="12"/>
  <c r="AB79" i="12"/>
  <c r="AG80" i="12"/>
  <c r="AB80" i="12"/>
  <c r="AG81" i="12"/>
  <c r="AB81" i="12"/>
  <c r="AG82" i="12"/>
  <c r="AB82" i="12"/>
  <c r="AG83" i="12"/>
  <c r="AB83" i="12"/>
  <c r="AG84" i="12"/>
  <c r="AB84" i="12"/>
  <c r="AG85" i="12"/>
  <c r="AB85" i="12"/>
  <c r="AG86" i="12"/>
  <c r="AB86" i="12"/>
  <c r="AG87" i="12"/>
  <c r="AB87" i="12"/>
  <c r="AG88" i="12"/>
  <c r="AB88" i="12"/>
  <c r="AG89" i="12"/>
  <c r="AB89" i="12"/>
  <c r="AG90" i="12"/>
  <c r="AB90" i="12"/>
  <c r="AG91" i="12"/>
  <c r="AB91" i="12"/>
  <c r="AG92" i="12"/>
  <c r="AB92" i="12"/>
  <c r="AG93" i="12"/>
  <c r="AB93" i="12"/>
  <c r="AG94" i="12"/>
  <c r="AB94" i="12"/>
  <c r="AG95" i="12"/>
  <c r="AB95" i="12"/>
  <c r="AG96" i="12"/>
  <c r="AB9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C57" i="12"/>
  <c r="AC58" i="12"/>
  <c r="AC59" i="12"/>
  <c r="AC60" i="12"/>
  <c r="AC61" i="12"/>
  <c r="AC62" i="12"/>
  <c r="AC63" i="12"/>
  <c r="AC64" i="12"/>
  <c r="AC65" i="12"/>
  <c r="AC67" i="12"/>
  <c r="AC68" i="12"/>
  <c r="AC69" i="12"/>
  <c r="AC70" i="12"/>
  <c r="AC71" i="12"/>
  <c r="AC72" i="12"/>
  <c r="AC73" i="12"/>
  <c r="AC74" i="12"/>
  <c r="AC75" i="12"/>
  <c r="AC76" i="12"/>
  <c r="AC78" i="12"/>
  <c r="AC79" i="12"/>
  <c r="AC80" i="12"/>
  <c r="AC81" i="12"/>
  <c r="AC82" i="12"/>
  <c r="AC83" i="12"/>
  <c r="AC84" i="12"/>
  <c r="AC85" i="12"/>
  <c r="AC86" i="12"/>
  <c r="AC87" i="12"/>
  <c r="AC88" i="12"/>
  <c r="AC89" i="12"/>
  <c r="AC90" i="12"/>
  <c r="AC91" i="12"/>
  <c r="AC92" i="12"/>
  <c r="AC93" i="12"/>
  <c r="AC94" i="12"/>
  <c r="AC95" i="12"/>
  <c r="AC96" i="12"/>
  <c r="AC16" i="12"/>
  <c r="AC12" i="12"/>
  <c r="AD11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7" i="12"/>
  <c r="AD58" i="12"/>
  <c r="AD59" i="12"/>
  <c r="AD60" i="12"/>
  <c r="AD61" i="12"/>
  <c r="AD62" i="12"/>
  <c r="AD63" i="12"/>
  <c r="AD64" i="12"/>
  <c r="AD65" i="12"/>
  <c r="AD67" i="12"/>
  <c r="AD68" i="12"/>
  <c r="AD69" i="12"/>
  <c r="AD70" i="12"/>
  <c r="AD71" i="12"/>
  <c r="AD72" i="12"/>
  <c r="AD73" i="12"/>
  <c r="AD74" i="12"/>
  <c r="AD75" i="12"/>
  <c r="AD76" i="12"/>
  <c r="AD78" i="12"/>
  <c r="AD79" i="12"/>
  <c r="AD80" i="12"/>
  <c r="AD81" i="12"/>
  <c r="AD82" i="12"/>
  <c r="AD83" i="12"/>
  <c r="AD84" i="12"/>
  <c r="AD85" i="12"/>
  <c r="AD86" i="12"/>
  <c r="AD87" i="12"/>
  <c r="AD88" i="12"/>
  <c r="AD89" i="12"/>
  <c r="AD90" i="12"/>
  <c r="AD91" i="12"/>
  <c r="AD92" i="12"/>
  <c r="AD93" i="12"/>
  <c r="AD94" i="12"/>
  <c r="AD95" i="12"/>
  <c r="AD96" i="12"/>
  <c r="AD16" i="12"/>
  <c r="AD12" i="12"/>
  <c r="AE11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7" i="12"/>
  <c r="AE58" i="12"/>
  <c r="AE59" i="12"/>
  <c r="AE60" i="12"/>
  <c r="AE61" i="12"/>
  <c r="AE62" i="12"/>
  <c r="AE63" i="12"/>
  <c r="AE64" i="12"/>
  <c r="AE65" i="12"/>
  <c r="AE67" i="12"/>
  <c r="AE68" i="12"/>
  <c r="AE69" i="12"/>
  <c r="AE70" i="12"/>
  <c r="AE71" i="12"/>
  <c r="AE72" i="12"/>
  <c r="AE73" i="12"/>
  <c r="AE74" i="12"/>
  <c r="AE75" i="12"/>
  <c r="AE76" i="12"/>
  <c r="AE78" i="12"/>
  <c r="AE79" i="12"/>
  <c r="AE80" i="12"/>
  <c r="AE81" i="12"/>
  <c r="AE82" i="12"/>
  <c r="AE83" i="12"/>
  <c r="AE84" i="12"/>
  <c r="AE85" i="12"/>
  <c r="AE86" i="12"/>
  <c r="AE87" i="12"/>
  <c r="AE88" i="12"/>
  <c r="AE89" i="12"/>
  <c r="AE90" i="12"/>
  <c r="AE91" i="12"/>
  <c r="AE92" i="12"/>
  <c r="AE93" i="12"/>
  <c r="AE94" i="12"/>
  <c r="AE95" i="12"/>
  <c r="AE9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3" i="12"/>
  <c r="AF34" i="12"/>
  <c r="AF35" i="12"/>
  <c r="AF36" i="12"/>
  <c r="AF37" i="12"/>
  <c r="AF38" i="12"/>
  <c r="AF39" i="12"/>
  <c r="AF40" i="12"/>
  <c r="AF41" i="12"/>
  <c r="AF42" i="12"/>
  <c r="AF43" i="12"/>
  <c r="AF44" i="12"/>
  <c r="AF45" i="12"/>
  <c r="AF46" i="12"/>
  <c r="AF47" i="12"/>
  <c r="AF48" i="12"/>
  <c r="AF49" i="12"/>
  <c r="AF50" i="12"/>
  <c r="AF51" i="12"/>
  <c r="AF52" i="12"/>
  <c r="AF53" i="12"/>
  <c r="AF54" i="12"/>
  <c r="AF55" i="12"/>
  <c r="AF57" i="12"/>
  <c r="AF58" i="12"/>
  <c r="AF59" i="12"/>
  <c r="AF60" i="12"/>
  <c r="AF61" i="12"/>
  <c r="AF62" i="12"/>
  <c r="AF63" i="12"/>
  <c r="AF64" i="12"/>
  <c r="AF65" i="12"/>
  <c r="AF67" i="12"/>
  <c r="AF68" i="12"/>
  <c r="AF69" i="12"/>
  <c r="AF70" i="12"/>
  <c r="AF71" i="12"/>
  <c r="AF72" i="12"/>
  <c r="AF73" i="12"/>
  <c r="AF74" i="12"/>
  <c r="AF75" i="12"/>
  <c r="AF76" i="12"/>
  <c r="AF78" i="12"/>
  <c r="AF79" i="12"/>
  <c r="AF80" i="12"/>
  <c r="AF81" i="12"/>
  <c r="AF82" i="12"/>
  <c r="AF83" i="12"/>
  <c r="AF84" i="12"/>
  <c r="AF85" i="12"/>
  <c r="AF86" i="12"/>
  <c r="AF87" i="12"/>
  <c r="AF88" i="12"/>
  <c r="AF89" i="12"/>
  <c r="AF90" i="12"/>
  <c r="AF91" i="12"/>
  <c r="AF92" i="12"/>
  <c r="AF93" i="12"/>
  <c r="AF94" i="12"/>
  <c r="AF95" i="12"/>
  <c r="AF96" i="12"/>
  <c r="AF16" i="12"/>
  <c r="AF12" i="12"/>
  <c r="AG11" i="12"/>
  <c r="Y7" i="12"/>
  <c r="Y9" i="12"/>
  <c r="AE16" i="12"/>
  <c r="AE12" i="12"/>
  <c r="AF11" i="12"/>
  <c r="AB16" i="12"/>
  <c r="AB12" i="12"/>
  <c r="AC11" i="12"/>
  <c r="AC7" i="12"/>
  <c r="A28" i="36"/>
  <c r="U28" i="36"/>
  <c r="Y28" i="36"/>
  <c r="S28" i="36"/>
  <c r="T28" i="36"/>
  <c r="W28" i="36"/>
  <c r="V28" i="36"/>
  <c r="X28" i="36"/>
  <c r="A29" i="36"/>
  <c r="U29" i="36"/>
  <c r="Y29" i="36"/>
  <c r="S29" i="36"/>
  <c r="T29" i="36"/>
  <c r="W29" i="36"/>
  <c r="V29" i="36"/>
  <c r="X29" i="36"/>
  <c r="A30" i="36"/>
  <c r="U30" i="36"/>
  <c r="Y30" i="36"/>
  <c r="S30" i="36"/>
  <c r="T30" i="36"/>
  <c r="W30" i="36"/>
  <c r="V30" i="36"/>
  <c r="X30" i="36"/>
  <c r="A31" i="36"/>
  <c r="U31" i="36"/>
  <c r="Y31" i="36"/>
  <c r="S31" i="36"/>
  <c r="T31" i="36"/>
  <c r="W31" i="36"/>
  <c r="V31" i="36"/>
  <c r="X31" i="36"/>
  <c r="A32" i="36"/>
  <c r="U32" i="36"/>
  <c r="Y32" i="36"/>
  <c r="S32" i="36"/>
  <c r="T32" i="36"/>
  <c r="W32" i="36"/>
  <c r="V32" i="36"/>
  <c r="X32" i="36"/>
  <c r="A33" i="36"/>
  <c r="U33" i="36"/>
  <c r="Y33" i="36"/>
  <c r="S33" i="36"/>
  <c r="T33" i="36"/>
  <c r="W33" i="36"/>
  <c r="V33" i="36"/>
  <c r="X33" i="36"/>
  <c r="A34" i="36"/>
  <c r="U34" i="36"/>
  <c r="Y34" i="36"/>
  <c r="S34" i="36"/>
  <c r="T34" i="36"/>
  <c r="W34" i="36"/>
  <c r="V34" i="36"/>
  <c r="X34" i="36"/>
  <c r="A35" i="36"/>
  <c r="U35" i="36"/>
  <c r="Y35" i="36"/>
  <c r="S35" i="36"/>
  <c r="T35" i="36"/>
  <c r="W35" i="36"/>
  <c r="V35" i="36"/>
  <c r="X35" i="36"/>
  <c r="A36" i="36"/>
  <c r="U36" i="36"/>
  <c r="Y36" i="36"/>
  <c r="S36" i="36"/>
  <c r="T36" i="36"/>
  <c r="W36" i="36"/>
  <c r="V36" i="36"/>
  <c r="X36" i="36"/>
  <c r="A37" i="36"/>
  <c r="U37" i="36"/>
  <c r="Y37" i="36"/>
  <c r="S37" i="36"/>
  <c r="T37" i="36"/>
  <c r="W37" i="36"/>
  <c r="V37" i="36"/>
  <c r="X37" i="36"/>
  <c r="A38" i="36"/>
  <c r="U38" i="36"/>
  <c r="Y38" i="36"/>
  <c r="S38" i="36"/>
  <c r="T38" i="36"/>
  <c r="W38" i="36"/>
  <c r="V38" i="36"/>
  <c r="X38" i="36"/>
  <c r="A39" i="36"/>
  <c r="U39" i="36"/>
  <c r="Y39" i="36"/>
  <c r="S39" i="36"/>
  <c r="T39" i="36"/>
  <c r="W39" i="36"/>
  <c r="V39" i="36"/>
  <c r="X39" i="36"/>
  <c r="A40" i="36"/>
  <c r="U40" i="36"/>
  <c r="Y40" i="36"/>
  <c r="S40" i="36"/>
  <c r="T40" i="36"/>
  <c r="W40" i="36"/>
  <c r="V40" i="36"/>
  <c r="X40" i="36"/>
  <c r="A41" i="36"/>
  <c r="U41" i="36"/>
  <c r="Y41" i="36"/>
  <c r="S41" i="36"/>
  <c r="T41" i="36"/>
  <c r="W41" i="36"/>
  <c r="V41" i="36"/>
  <c r="X41" i="36"/>
  <c r="A42" i="36"/>
  <c r="U42" i="36"/>
  <c r="Y42" i="36"/>
  <c r="S42" i="36"/>
  <c r="T42" i="36"/>
  <c r="W42" i="36"/>
  <c r="V42" i="36"/>
  <c r="X42" i="36"/>
  <c r="A43" i="36"/>
  <c r="U43" i="36"/>
  <c r="Y43" i="36"/>
  <c r="S43" i="36"/>
  <c r="T43" i="36"/>
  <c r="W43" i="36"/>
  <c r="V43" i="36"/>
  <c r="X43" i="36"/>
  <c r="A44" i="36"/>
  <c r="U44" i="36"/>
  <c r="Y44" i="36"/>
  <c r="S44" i="36"/>
  <c r="T44" i="36"/>
  <c r="W44" i="36"/>
  <c r="V44" i="36"/>
  <c r="X44" i="36"/>
  <c r="A45" i="36"/>
  <c r="U45" i="36"/>
  <c r="Y45" i="36"/>
  <c r="S45" i="36"/>
  <c r="T45" i="36"/>
  <c r="W45" i="36"/>
  <c r="V45" i="36"/>
  <c r="X45" i="36"/>
  <c r="A46" i="36"/>
  <c r="U46" i="36"/>
  <c r="Y46" i="36"/>
  <c r="S46" i="36"/>
  <c r="T46" i="36"/>
  <c r="W46" i="36"/>
  <c r="V46" i="36"/>
  <c r="X46" i="36"/>
  <c r="A47" i="36"/>
  <c r="U47" i="36"/>
  <c r="Y47" i="36"/>
  <c r="S47" i="36"/>
  <c r="T47" i="36"/>
  <c r="W47" i="36"/>
  <c r="V47" i="36"/>
  <c r="X47" i="36"/>
  <c r="A48" i="36"/>
  <c r="U48" i="36"/>
  <c r="Y48" i="36"/>
  <c r="S48" i="36"/>
  <c r="T48" i="36"/>
  <c r="W48" i="36"/>
  <c r="V48" i="36"/>
  <c r="X48" i="36"/>
  <c r="A49" i="36"/>
  <c r="U49" i="36"/>
  <c r="Y49" i="36"/>
  <c r="S49" i="36"/>
  <c r="T49" i="36"/>
  <c r="W49" i="36"/>
  <c r="V49" i="36"/>
  <c r="X49" i="36"/>
  <c r="A50" i="36"/>
  <c r="U50" i="36"/>
  <c r="Y50" i="36"/>
  <c r="S50" i="36"/>
  <c r="T50" i="36"/>
  <c r="W50" i="36"/>
  <c r="V50" i="36"/>
  <c r="X50" i="36"/>
  <c r="A51" i="36"/>
  <c r="U51" i="36"/>
  <c r="Y51" i="36"/>
  <c r="S51" i="36"/>
  <c r="T51" i="36"/>
  <c r="W51" i="36"/>
  <c r="V51" i="36"/>
  <c r="X51" i="36"/>
  <c r="A52" i="36"/>
  <c r="U52" i="36"/>
  <c r="Y52" i="36"/>
  <c r="S52" i="36"/>
  <c r="T52" i="36"/>
  <c r="W52" i="36"/>
  <c r="V52" i="36"/>
  <c r="X52" i="36"/>
  <c r="A53" i="36"/>
  <c r="U53" i="36"/>
  <c r="Y53" i="36"/>
  <c r="S53" i="36"/>
  <c r="T53" i="36"/>
  <c r="W53" i="36"/>
  <c r="V53" i="36"/>
  <c r="X53" i="36"/>
  <c r="A54" i="36"/>
  <c r="U54" i="36"/>
  <c r="Y54" i="36"/>
  <c r="S54" i="36"/>
  <c r="T54" i="36"/>
  <c r="W54" i="36"/>
  <c r="V54" i="36"/>
  <c r="X54" i="36"/>
  <c r="A55" i="36"/>
  <c r="U55" i="36"/>
  <c r="Y55" i="36"/>
  <c r="S55" i="36"/>
  <c r="T55" i="36"/>
  <c r="W55" i="36"/>
  <c r="V55" i="36"/>
  <c r="X55" i="36"/>
  <c r="A56" i="36"/>
  <c r="U56" i="36"/>
  <c r="Y56" i="36"/>
  <c r="S56" i="36"/>
  <c r="T56" i="36"/>
  <c r="W56" i="36"/>
  <c r="V56" i="36"/>
  <c r="X56" i="36"/>
  <c r="A57" i="36"/>
  <c r="U57" i="36"/>
  <c r="Y57" i="36"/>
  <c r="S57" i="36"/>
  <c r="T57" i="36"/>
  <c r="W57" i="36"/>
  <c r="V57" i="36"/>
  <c r="X57" i="36"/>
  <c r="A58" i="36"/>
  <c r="U58" i="36"/>
  <c r="Y58" i="36"/>
  <c r="S58" i="36"/>
  <c r="T58" i="36"/>
  <c r="W58" i="36"/>
  <c r="V58" i="36"/>
  <c r="X58" i="36"/>
  <c r="A59" i="36"/>
  <c r="A60" i="36"/>
  <c r="U60" i="36"/>
  <c r="Y60" i="36"/>
  <c r="S60" i="36"/>
  <c r="T60" i="36"/>
  <c r="W60" i="36"/>
  <c r="V60" i="36"/>
  <c r="X60" i="36"/>
  <c r="A61" i="36"/>
  <c r="U61" i="36"/>
  <c r="Y61" i="36"/>
  <c r="S61" i="36"/>
  <c r="T61" i="36"/>
  <c r="W61" i="36"/>
  <c r="V61" i="36"/>
  <c r="X61" i="36"/>
  <c r="A62" i="36"/>
  <c r="U62" i="36"/>
  <c r="Y62" i="36"/>
  <c r="S62" i="36"/>
  <c r="T62" i="36"/>
  <c r="W62" i="36"/>
  <c r="V62" i="36"/>
  <c r="X62" i="36"/>
  <c r="A63" i="36"/>
  <c r="U63" i="36"/>
  <c r="Y63" i="36"/>
  <c r="S63" i="36"/>
  <c r="T63" i="36"/>
  <c r="W63" i="36"/>
  <c r="V63" i="36"/>
  <c r="X63" i="36"/>
  <c r="X66" i="36"/>
  <c r="W66" i="36"/>
  <c r="V65" i="36"/>
  <c r="U65" i="36"/>
  <c r="T65" i="36"/>
  <c r="S65" i="36"/>
  <c r="R65" i="36"/>
  <c r="Q65" i="36"/>
  <c r="V64" i="36"/>
  <c r="U64" i="36"/>
  <c r="T64" i="36"/>
  <c r="S64" i="36"/>
  <c r="R64" i="36"/>
  <c r="Q64" i="36"/>
  <c r="R63" i="36"/>
  <c r="Q63" i="36"/>
  <c r="R62" i="36"/>
  <c r="Q62" i="36"/>
  <c r="R61" i="36"/>
  <c r="Q61" i="36"/>
  <c r="R60" i="36"/>
  <c r="Q60" i="36"/>
  <c r="V59" i="36"/>
  <c r="U59" i="36"/>
  <c r="T59" i="36"/>
  <c r="S59" i="36"/>
  <c r="R59" i="36"/>
  <c r="Q59" i="36"/>
  <c r="R58" i="36"/>
  <c r="Q58" i="36"/>
  <c r="R57" i="36"/>
  <c r="Q57" i="36"/>
  <c r="R56" i="36"/>
  <c r="Q56" i="36"/>
  <c r="R55" i="36"/>
  <c r="Q55" i="36"/>
  <c r="R54" i="36"/>
  <c r="Q54" i="36"/>
  <c r="R53" i="36"/>
  <c r="Q53" i="36"/>
  <c r="R52" i="36"/>
  <c r="Q52" i="36"/>
  <c r="R51" i="36"/>
  <c r="Q51" i="36"/>
  <c r="R50" i="36"/>
  <c r="Q50" i="36"/>
  <c r="R49" i="36"/>
  <c r="Q49" i="36"/>
  <c r="R48" i="36"/>
  <c r="Q48" i="36"/>
  <c r="R47" i="36"/>
  <c r="Q47" i="36"/>
  <c r="R46" i="36"/>
  <c r="Q46" i="36"/>
  <c r="R45" i="36"/>
  <c r="Q45" i="36"/>
  <c r="R44" i="36"/>
  <c r="Q44" i="36"/>
  <c r="R43" i="36"/>
  <c r="Q43" i="36"/>
  <c r="R42" i="36"/>
  <c r="Q42" i="36"/>
  <c r="R41" i="36"/>
  <c r="Q41" i="36"/>
  <c r="R40" i="36"/>
  <c r="Q40" i="36"/>
  <c r="R39" i="36"/>
  <c r="Q39" i="36"/>
  <c r="R38" i="36"/>
  <c r="Q38" i="36"/>
  <c r="R37" i="36"/>
  <c r="Q37" i="36"/>
  <c r="R36" i="36"/>
  <c r="Q36" i="36"/>
  <c r="R35" i="36"/>
  <c r="Q35" i="36"/>
  <c r="R34" i="36"/>
  <c r="Q34" i="36"/>
  <c r="R33" i="36"/>
  <c r="Q33" i="36"/>
  <c r="R32" i="36"/>
  <c r="Q32" i="36"/>
  <c r="R31" i="36"/>
  <c r="Q31" i="36"/>
  <c r="R30" i="36"/>
  <c r="Q30" i="36"/>
  <c r="R29" i="36"/>
  <c r="Q29" i="36"/>
  <c r="R28" i="36"/>
  <c r="Q28" i="36"/>
  <c r="R27" i="36"/>
  <c r="Q27" i="36"/>
  <c r="V26" i="36"/>
  <c r="U26" i="36"/>
  <c r="T26" i="36"/>
  <c r="S26" i="36"/>
  <c r="R26" i="36"/>
  <c r="Q26" i="36"/>
  <c r="V25" i="36"/>
  <c r="U25" i="36"/>
  <c r="T25" i="36"/>
  <c r="S25" i="36"/>
  <c r="R25" i="36"/>
  <c r="Q25" i="36"/>
  <c r="V24" i="36"/>
  <c r="U24" i="36"/>
  <c r="T24" i="36"/>
  <c r="S24" i="36"/>
  <c r="R24" i="36"/>
  <c r="Q24" i="36"/>
  <c r="V23" i="36"/>
  <c r="U23" i="36"/>
  <c r="T23" i="36"/>
  <c r="S23" i="36"/>
  <c r="R23" i="36"/>
  <c r="Q23" i="36"/>
  <c r="V22" i="36"/>
  <c r="U22" i="36"/>
  <c r="T22" i="36"/>
  <c r="S22" i="36"/>
  <c r="R22" i="36"/>
  <c r="Q22" i="36"/>
  <c r="V21" i="36"/>
  <c r="U21" i="36"/>
  <c r="T21" i="36"/>
  <c r="S21" i="36"/>
  <c r="R21" i="36"/>
  <c r="Q21" i="36"/>
  <c r="V20" i="36"/>
  <c r="U20" i="36"/>
  <c r="T20" i="36"/>
  <c r="S20" i="36"/>
  <c r="R20" i="36"/>
  <c r="Q20" i="36"/>
  <c r="V19" i="36"/>
  <c r="U19" i="36"/>
  <c r="T19" i="36"/>
  <c r="S19" i="36"/>
  <c r="R19" i="36"/>
  <c r="Q19" i="36"/>
  <c r="V18" i="36"/>
  <c r="U18" i="36"/>
  <c r="T18" i="36"/>
  <c r="S18" i="36"/>
  <c r="R18" i="36"/>
  <c r="Q18" i="36"/>
  <c r="V17" i="36"/>
  <c r="U17" i="36"/>
  <c r="T17" i="36"/>
  <c r="S17" i="36"/>
  <c r="R17" i="36"/>
  <c r="Q17" i="36"/>
  <c r="V16" i="36"/>
  <c r="U16" i="36"/>
  <c r="Y16" i="36"/>
  <c r="T16" i="36"/>
  <c r="S16" i="36"/>
  <c r="W16" i="36"/>
  <c r="R16" i="36"/>
  <c r="Q16" i="36"/>
  <c r="T12" i="36"/>
  <c r="I12" i="36"/>
  <c r="H12" i="36"/>
  <c r="G12" i="36"/>
  <c r="F12" i="36"/>
  <c r="E12" i="36"/>
  <c r="D12" i="36"/>
  <c r="C12" i="36"/>
  <c r="Q10" i="36"/>
  <c r="Z4" i="36"/>
  <c r="Z3" i="36"/>
  <c r="Z2" i="36"/>
  <c r="X16" i="36"/>
  <c r="Y18" i="36"/>
  <c r="X18" i="36"/>
  <c r="W18" i="36"/>
  <c r="W17" i="36"/>
  <c r="X17" i="36"/>
  <c r="Y17" i="36"/>
  <c r="Y19" i="36"/>
  <c r="X19" i="36"/>
  <c r="W19" i="36"/>
  <c r="Y20" i="36"/>
  <c r="X20" i="36"/>
  <c r="W20" i="36"/>
  <c r="Y21" i="36"/>
  <c r="X21" i="36"/>
  <c r="W21" i="36"/>
  <c r="Y22" i="36"/>
  <c r="X22" i="36"/>
  <c r="W22" i="36"/>
  <c r="Y23" i="36"/>
  <c r="X23" i="36"/>
  <c r="W23" i="36"/>
  <c r="Y24" i="36"/>
  <c r="X24" i="36"/>
  <c r="W24" i="36"/>
  <c r="Y25" i="36"/>
  <c r="X25" i="36"/>
  <c r="W25" i="36"/>
  <c r="Y26" i="36"/>
  <c r="X26" i="36"/>
  <c r="W26" i="36"/>
  <c r="A65" i="36"/>
  <c r="Y64" i="36"/>
  <c r="X64" i="36"/>
  <c r="W64" i="36"/>
  <c r="Y65" i="36"/>
  <c r="Y12" i="36"/>
  <c r="X65" i="36"/>
  <c r="X12" i="36"/>
  <c r="W65" i="36"/>
  <c r="W12" i="36"/>
  <c r="Z64" i="36"/>
  <c r="AA64" i="36"/>
  <c r="AG16" i="36"/>
  <c r="AB16" i="36"/>
  <c r="AG17" i="36"/>
  <c r="AB17" i="36"/>
  <c r="AG18" i="36"/>
  <c r="AB18" i="36"/>
  <c r="AG19" i="36"/>
  <c r="AB19" i="36"/>
  <c r="AG20" i="36"/>
  <c r="AB20" i="36"/>
  <c r="AG21" i="36"/>
  <c r="AB21" i="36"/>
  <c r="AG22" i="36"/>
  <c r="AB22" i="36"/>
  <c r="AG23" i="36"/>
  <c r="AB23" i="36"/>
  <c r="AG24" i="36"/>
  <c r="AB24" i="36"/>
  <c r="AG25" i="36"/>
  <c r="AB25" i="36"/>
  <c r="AG64" i="36"/>
  <c r="AB64" i="36"/>
  <c r="AC16" i="36"/>
  <c r="AC17" i="36"/>
  <c r="AC18" i="36"/>
  <c r="AC19" i="36"/>
  <c r="AC20" i="36"/>
  <c r="AC21" i="36"/>
  <c r="AC22" i="36"/>
  <c r="AC23" i="36"/>
  <c r="AC24" i="36"/>
  <c r="AC25" i="36"/>
  <c r="AC64" i="36"/>
  <c r="AD16" i="36"/>
  <c r="AD17" i="36"/>
  <c r="AD18" i="36"/>
  <c r="AD19" i="36"/>
  <c r="AD20" i="36"/>
  <c r="AD21" i="36"/>
  <c r="AD22" i="36"/>
  <c r="AD23" i="36"/>
  <c r="AD24" i="36"/>
  <c r="AD25" i="36"/>
  <c r="AD64" i="36"/>
  <c r="AE16" i="36"/>
  <c r="AE17" i="36"/>
  <c r="AE18" i="36"/>
  <c r="AE19" i="36"/>
  <c r="AE20" i="36"/>
  <c r="AE21" i="36"/>
  <c r="AE22" i="36"/>
  <c r="AE23" i="36"/>
  <c r="AE24" i="36"/>
  <c r="AE25" i="36"/>
  <c r="AE64" i="36"/>
  <c r="AF16" i="36"/>
  <c r="AF17" i="36"/>
  <c r="AF18" i="36"/>
  <c r="AF19" i="36"/>
  <c r="AF20" i="36"/>
  <c r="AF21" i="36"/>
  <c r="AF22" i="36"/>
  <c r="AF23" i="36"/>
  <c r="AF24" i="36"/>
  <c r="AF25" i="36"/>
  <c r="AF64" i="36"/>
  <c r="Z25" i="36"/>
  <c r="AA25" i="36"/>
  <c r="Z24" i="36"/>
  <c r="AA24" i="36"/>
  <c r="Z23" i="36"/>
  <c r="AA23" i="36"/>
  <c r="Z22" i="36"/>
  <c r="AA22" i="36"/>
  <c r="Z21" i="36"/>
  <c r="AA21" i="36"/>
  <c r="Z20" i="36"/>
  <c r="AA20" i="36"/>
  <c r="Z19" i="36"/>
  <c r="AA19" i="36"/>
  <c r="Z18" i="36"/>
  <c r="AA18" i="36"/>
  <c r="Z17" i="36"/>
  <c r="AA17" i="36"/>
  <c r="Z16" i="36"/>
  <c r="AA16" i="36"/>
  <c r="X9" i="36"/>
  <c r="X8" i="36"/>
  <c r="AG26" i="36"/>
  <c r="AB26" i="36"/>
  <c r="AG27" i="36"/>
  <c r="AG28" i="36"/>
  <c r="AB28" i="36"/>
  <c r="AG29" i="36"/>
  <c r="AB29" i="36"/>
  <c r="AG30" i="36"/>
  <c r="AB30" i="36"/>
  <c r="AG31" i="36"/>
  <c r="AB31" i="36"/>
  <c r="AG32" i="36"/>
  <c r="AB32" i="36"/>
  <c r="AG33" i="36"/>
  <c r="AB33" i="36"/>
  <c r="AG34" i="36"/>
  <c r="AB34" i="36"/>
  <c r="AG35" i="36"/>
  <c r="AB35" i="36"/>
  <c r="AG36" i="36"/>
  <c r="AB36" i="36"/>
  <c r="AG37" i="36"/>
  <c r="AB37" i="36"/>
  <c r="AG38" i="36"/>
  <c r="AB38" i="36"/>
  <c r="AG39" i="36"/>
  <c r="AB39" i="36"/>
  <c r="AG40" i="36"/>
  <c r="AB40" i="36"/>
  <c r="AG41" i="36"/>
  <c r="AB41" i="36"/>
  <c r="AG42" i="36"/>
  <c r="AB42" i="36"/>
  <c r="AG43" i="36"/>
  <c r="AB43" i="36"/>
  <c r="AG44" i="36"/>
  <c r="AB44" i="36"/>
  <c r="AG45" i="36"/>
  <c r="AB45" i="36"/>
  <c r="AG46" i="36"/>
  <c r="AB46" i="36"/>
  <c r="AG47" i="36"/>
  <c r="AB47" i="36"/>
  <c r="AG48" i="36"/>
  <c r="AB48" i="36"/>
  <c r="AG49" i="36"/>
  <c r="AB49" i="36"/>
  <c r="AG50" i="36"/>
  <c r="AB50" i="36"/>
  <c r="AG51" i="36"/>
  <c r="AB51" i="36"/>
  <c r="AG52" i="36"/>
  <c r="AB52" i="36"/>
  <c r="AG53" i="36"/>
  <c r="AB53" i="36"/>
  <c r="AG54" i="36"/>
  <c r="AB54" i="36"/>
  <c r="AG55" i="36"/>
  <c r="AB55" i="36"/>
  <c r="AG56" i="36"/>
  <c r="AB56" i="36"/>
  <c r="AG57" i="36"/>
  <c r="AB57" i="36"/>
  <c r="AG58" i="36"/>
  <c r="AB58" i="36"/>
  <c r="AG60" i="36"/>
  <c r="AB60" i="36"/>
  <c r="AG61" i="36"/>
  <c r="AB61" i="36"/>
  <c r="AG62" i="36"/>
  <c r="AB62" i="36"/>
  <c r="AG63" i="36"/>
  <c r="AB63" i="36"/>
  <c r="AG65" i="36"/>
  <c r="AB65" i="36"/>
  <c r="AC26" i="36"/>
  <c r="AC28" i="36"/>
  <c r="AC29" i="36"/>
  <c r="AC30" i="36"/>
  <c r="AC31" i="36"/>
  <c r="AC32" i="36"/>
  <c r="AC33" i="36"/>
  <c r="AC34" i="36"/>
  <c r="AC35" i="36"/>
  <c r="AC36" i="36"/>
  <c r="AC37" i="36"/>
  <c r="AC38" i="36"/>
  <c r="AC39" i="36"/>
  <c r="AC40" i="36"/>
  <c r="AC41" i="36"/>
  <c r="AC42" i="36"/>
  <c r="AC43" i="36"/>
  <c r="AC44" i="36"/>
  <c r="AC45" i="36"/>
  <c r="AC46" i="36"/>
  <c r="AC47" i="36"/>
  <c r="AC48" i="36"/>
  <c r="AC49" i="36"/>
  <c r="AC50" i="36"/>
  <c r="AC51" i="36"/>
  <c r="AC52" i="36"/>
  <c r="AC53" i="36"/>
  <c r="AC54" i="36"/>
  <c r="AC55" i="36"/>
  <c r="AC56" i="36"/>
  <c r="AC57" i="36"/>
  <c r="AC58" i="36"/>
  <c r="AC60" i="36"/>
  <c r="AC61" i="36"/>
  <c r="AC62" i="36"/>
  <c r="AC63" i="36"/>
  <c r="AC65" i="36"/>
  <c r="AC27" i="36"/>
  <c r="AC12" i="36"/>
  <c r="AE11" i="36"/>
  <c r="AD26" i="36"/>
  <c r="AD28" i="36"/>
  <c r="AD29" i="36"/>
  <c r="AD30" i="36"/>
  <c r="AD31" i="36"/>
  <c r="AD32" i="36"/>
  <c r="AD33" i="36"/>
  <c r="AD34" i="36"/>
  <c r="AD35" i="36"/>
  <c r="AD36" i="36"/>
  <c r="AD37" i="36"/>
  <c r="AD38" i="36"/>
  <c r="AD39" i="36"/>
  <c r="AD40" i="36"/>
  <c r="AD41" i="36"/>
  <c r="AD42" i="36"/>
  <c r="AD43" i="36"/>
  <c r="AD44" i="36"/>
  <c r="AD45" i="36"/>
  <c r="AD46" i="36"/>
  <c r="AD47" i="36"/>
  <c r="AD48" i="36"/>
  <c r="AD49" i="36"/>
  <c r="AD50" i="36"/>
  <c r="AD51" i="36"/>
  <c r="AD52" i="36"/>
  <c r="AD53" i="36"/>
  <c r="AD54" i="36"/>
  <c r="AD55" i="36"/>
  <c r="AD56" i="36"/>
  <c r="AD57" i="36"/>
  <c r="AD58" i="36"/>
  <c r="AD60" i="36"/>
  <c r="AD61" i="36"/>
  <c r="AD62" i="36"/>
  <c r="AD63" i="36"/>
  <c r="AD65" i="36"/>
  <c r="AD27" i="36"/>
  <c r="AD12" i="36"/>
  <c r="AF11" i="36"/>
  <c r="AE26" i="36"/>
  <c r="AE28" i="36"/>
  <c r="AE29" i="36"/>
  <c r="AE30" i="36"/>
  <c r="AE31" i="36"/>
  <c r="AE32" i="36"/>
  <c r="AE33" i="36"/>
  <c r="AE34" i="36"/>
  <c r="AE35" i="36"/>
  <c r="AE36" i="36"/>
  <c r="AE37" i="36"/>
  <c r="AE38" i="36"/>
  <c r="AE39" i="36"/>
  <c r="AE40" i="36"/>
  <c r="AE41" i="36"/>
  <c r="AE42" i="36"/>
  <c r="AE43" i="36"/>
  <c r="AE44" i="36"/>
  <c r="AE45" i="36"/>
  <c r="AE46" i="36"/>
  <c r="AE47" i="36"/>
  <c r="AE48" i="36"/>
  <c r="AE49" i="36"/>
  <c r="AE50" i="36"/>
  <c r="AE51" i="36"/>
  <c r="AE52" i="36"/>
  <c r="AE53" i="36"/>
  <c r="AE54" i="36"/>
  <c r="AE55" i="36"/>
  <c r="AE56" i="36"/>
  <c r="AE57" i="36"/>
  <c r="AE58" i="36"/>
  <c r="AE60" i="36"/>
  <c r="AE61" i="36"/>
  <c r="AE62" i="36"/>
  <c r="AE63" i="36"/>
  <c r="AE65" i="36"/>
  <c r="AF26" i="36"/>
  <c r="AF28" i="36"/>
  <c r="AF29" i="36"/>
  <c r="AF30" i="36"/>
  <c r="AF31" i="36"/>
  <c r="AF32" i="36"/>
  <c r="AF33" i="36"/>
  <c r="AF34" i="36"/>
  <c r="AF35" i="36"/>
  <c r="AF36" i="36"/>
  <c r="AF37" i="36"/>
  <c r="AF38" i="36"/>
  <c r="AF39" i="36"/>
  <c r="AF40" i="36"/>
  <c r="AF41" i="36"/>
  <c r="AF42" i="36"/>
  <c r="AF43" i="36"/>
  <c r="AF44" i="36"/>
  <c r="AF45" i="36"/>
  <c r="AF46" i="36"/>
  <c r="AF47" i="36"/>
  <c r="AF48" i="36"/>
  <c r="AF49" i="36"/>
  <c r="AF50" i="36"/>
  <c r="AF51" i="36"/>
  <c r="AF52" i="36"/>
  <c r="AF53" i="36"/>
  <c r="AF54" i="36"/>
  <c r="AF55" i="36"/>
  <c r="AF56" i="36"/>
  <c r="AF57" i="36"/>
  <c r="AF58" i="36"/>
  <c r="AF60" i="36"/>
  <c r="AF61" i="36"/>
  <c r="AF62" i="36"/>
  <c r="AF63" i="36"/>
  <c r="AF65" i="36"/>
  <c r="AF27" i="36"/>
  <c r="AF12" i="36"/>
  <c r="AH11" i="36"/>
  <c r="Y7" i="36"/>
  <c r="Y9" i="36"/>
  <c r="AE27" i="36"/>
  <c r="AE12" i="36"/>
  <c r="AG11" i="36"/>
  <c r="AB27" i="36"/>
  <c r="AB12" i="36"/>
  <c r="AD11" i="36"/>
  <c r="AD7" i="36"/>
  <c r="Q95" i="37"/>
  <c r="R95" i="37"/>
  <c r="Q96" i="37"/>
  <c r="R96" i="37"/>
  <c r="Q97" i="37"/>
  <c r="R97" i="37"/>
  <c r="Q98" i="37"/>
  <c r="R98" i="37"/>
  <c r="Q99" i="37"/>
  <c r="R99" i="37"/>
  <c r="Q66" i="37"/>
  <c r="R66" i="37"/>
  <c r="Q67" i="37"/>
  <c r="R67" i="37"/>
  <c r="Q68" i="37"/>
  <c r="R68" i="37"/>
  <c r="Q69" i="37"/>
  <c r="R69" i="37"/>
  <c r="Q70" i="37"/>
  <c r="R70" i="37"/>
  <c r="Q71" i="37"/>
  <c r="R71" i="37"/>
  <c r="Q72" i="37"/>
  <c r="R72" i="37"/>
  <c r="Q73" i="37"/>
  <c r="R73" i="37"/>
  <c r="Q74" i="37"/>
  <c r="R74" i="37"/>
  <c r="Q75" i="37"/>
  <c r="R75" i="37"/>
  <c r="Q76" i="37"/>
  <c r="R76" i="37"/>
  <c r="Q77" i="37"/>
  <c r="R77" i="37"/>
  <c r="Q78" i="37"/>
  <c r="R78" i="37"/>
  <c r="Q79" i="37"/>
  <c r="R79" i="37"/>
  <c r="Q80" i="37"/>
  <c r="R80" i="37"/>
  <c r="Q81" i="37"/>
  <c r="R81" i="37"/>
  <c r="Q82" i="37"/>
  <c r="R82" i="37"/>
  <c r="Q83" i="37"/>
  <c r="R83" i="37"/>
  <c r="Q84" i="37"/>
  <c r="R84" i="37"/>
  <c r="Q85" i="37"/>
  <c r="R85" i="37"/>
  <c r="Q86" i="37"/>
  <c r="R86" i="37"/>
  <c r="Q87" i="37"/>
  <c r="R87" i="37"/>
  <c r="Q88" i="37"/>
  <c r="R88" i="37"/>
  <c r="Q89" i="37"/>
  <c r="R89" i="37"/>
  <c r="Q90" i="37"/>
  <c r="R90" i="37"/>
  <c r="Q91" i="37"/>
  <c r="R91" i="37"/>
  <c r="Q92" i="37"/>
  <c r="R92" i="37"/>
  <c r="Q93" i="37"/>
  <c r="R93" i="37"/>
  <c r="Q94" i="37"/>
  <c r="R94" i="37"/>
  <c r="R65" i="37"/>
  <c r="Q65" i="37"/>
  <c r="R64" i="37"/>
  <c r="Q64" i="37"/>
  <c r="R63" i="37"/>
  <c r="Q63" i="37"/>
  <c r="R61" i="37"/>
  <c r="Q61" i="37"/>
  <c r="R60" i="37"/>
  <c r="Q60" i="37"/>
  <c r="R59" i="37"/>
  <c r="Q59" i="37"/>
  <c r="R58" i="37"/>
  <c r="Q58" i="37"/>
  <c r="R57" i="37"/>
  <c r="Q57" i="37"/>
  <c r="R56" i="37"/>
  <c r="Q56" i="37"/>
  <c r="R55" i="37"/>
  <c r="Q55" i="37"/>
  <c r="R54" i="37"/>
  <c r="Q54" i="37"/>
  <c r="R53" i="37"/>
  <c r="Q53" i="37"/>
  <c r="R52" i="37"/>
  <c r="Q52" i="37"/>
  <c r="R51" i="37"/>
  <c r="Q51" i="37"/>
  <c r="R50" i="37"/>
  <c r="Q50" i="37"/>
  <c r="R49" i="37"/>
  <c r="Q49" i="37"/>
  <c r="R48" i="37"/>
  <c r="Q48" i="37"/>
  <c r="R47" i="37"/>
  <c r="Q47" i="37"/>
  <c r="R46" i="37"/>
  <c r="Q46" i="37"/>
  <c r="R45" i="37"/>
  <c r="Q45" i="37"/>
  <c r="R44" i="37"/>
  <c r="Q44" i="37"/>
  <c r="R43" i="37"/>
  <c r="Q43" i="37"/>
  <c r="R42" i="37"/>
  <c r="Q42" i="37"/>
  <c r="R41" i="37"/>
  <c r="Q41" i="37"/>
  <c r="R40" i="37"/>
  <c r="Q40" i="37"/>
  <c r="R39" i="37"/>
  <c r="Q39" i="37"/>
  <c r="R38" i="37"/>
  <c r="Q38" i="37"/>
  <c r="R37" i="37"/>
  <c r="Q37" i="37"/>
  <c r="R36" i="37"/>
  <c r="Q36" i="37"/>
  <c r="R35" i="37"/>
  <c r="Q35" i="37"/>
  <c r="R34" i="37"/>
  <c r="Q34" i="37"/>
  <c r="R33" i="37"/>
  <c r="Q33" i="37"/>
  <c r="R32" i="37"/>
  <c r="Q32" i="37"/>
  <c r="R31" i="37"/>
  <c r="Q31" i="37"/>
  <c r="R30" i="37"/>
  <c r="Q30" i="37"/>
  <c r="R29" i="37"/>
  <c r="Q29" i="37"/>
  <c r="R28" i="37"/>
  <c r="Q28" i="37"/>
  <c r="R27" i="37"/>
  <c r="Q27" i="37"/>
  <c r="R26" i="37"/>
  <c r="Q26" i="37"/>
  <c r="V25" i="37"/>
  <c r="U25" i="37"/>
  <c r="T25" i="37"/>
  <c r="S25" i="37"/>
  <c r="R25" i="37"/>
  <c r="Q25" i="37"/>
  <c r="V24" i="37"/>
  <c r="U24" i="37"/>
  <c r="T24" i="37"/>
  <c r="S24" i="37"/>
  <c r="R24" i="37"/>
  <c r="Q24" i="37"/>
  <c r="V23" i="37"/>
  <c r="U23" i="37"/>
  <c r="T23" i="37"/>
  <c r="S23" i="37"/>
  <c r="R23" i="37"/>
  <c r="Q23" i="37"/>
  <c r="V22" i="37"/>
  <c r="U22" i="37"/>
  <c r="T22" i="37"/>
  <c r="S22" i="37"/>
  <c r="R22" i="37"/>
  <c r="Q22" i="37"/>
  <c r="V21" i="37"/>
  <c r="U21" i="37"/>
  <c r="T21" i="37"/>
  <c r="S21" i="37"/>
  <c r="R21" i="37"/>
  <c r="Q21" i="37"/>
  <c r="V20" i="37"/>
  <c r="U20" i="37"/>
  <c r="T20" i="37"/>
  <c r="S20" i="37"/>
  <c r="R20" i="37"/>
  <c r="Q20" i="37"/>
  <c r="V19" i="37"/>
  <c r="U19" i="37"/>
  <c r="T19" i="37"/>
  <c r="S19" i="37"/>
  <c r="R19" i="37"/>
  <c r="Q19" i="37"/>
  <c r="V18" i="37"/>
  <c r="U18" i="37"/>
  <c r="T18" i="37"/>
  <c r="S18" i="37"/>
  <c r="R18" i="37"/>
  <c r="Q18" i="37"/>
  <c r="V17" i="37"/>
  <c r="U17" i="37"/>
  <c r="T17" i="37"/>
  <c r="S17" i="37"/>
  <c r="R17" i="37"/>
  <c r="Q17" i="37"/>
  <c r="V16" i="37"/>
  <c r="U16" i="37"/>
  <c r="Y16" i="37"/>
  <c r="T16" i="37"/>
  <c r="S16" i="37"/>
  <c r="W16" i="37"/>
  <c r="R16" i="37"/>
  <c r="Q16" i="37"/>
  <c r="T12" i="37"/>
  <c r="I12" i="37"/>
  <c r="H12" i="37"/>
  <c r="G12" i="37"/>
  <c r="F12" i="37"/>
  <c r="E12" i="37"/>
  <c r="D12" i="37"/>
  <c r="C12" i="37"/>
  <c r="Q10" i="37"/>
  <c r="Z4" i="37"/>
  <c r="Z3" i="37"/>
  <c r="Z2" i="37"/>
  <c r="X16" i="37"/>
  <c r="Y18" i="37"/>
  <c r="X18" i="37"/>
  <c r="W18" i="37"/>
  <c r="W17" i="37"/>
  <c r="X17" i="37"/>
  <c r="Y17" i="37"/>
  <c r="Y19" i="37"/>
  <c r="X19" i="37"/>
  <c r="W19" i="37"/>
  <c r="Y20" i="37"/>
  <c r="X20" i="37"/>
  <c r="W20" i="37"/>
  <c r="Y21" i="37"/>
  <c r="X21" i="37"/>
  <c r="W21" i="37"/>
  <c r="Y22" i="37"/>
  <c r="X22" i="37"/>
  <c r="W22" i="37"/>
  <c r="Y23" i="37"/>
  <c r="X23" i="37"/>
  <c r="W23" i="37"/>
  <c r="Y24" i="37"/>
  <c r="X24" i="37"/>
  <c r="W24" i="37"/>
  <c r="Y25" i="37"/>
  <c r="X25" i="37"/>
  <c r="W25" i="37"/>
  <c r="W12" i="37"/>
  <c r="X12" i="37"/>
  <c r="Y12" i="37"/>
  <c r="AG16" i="37"/>
  <c r="AG17" i="37"/>
  <c r="AB17" i="37"/>
  <c r="AG18" i="37"/>
  <c r="AB18" i="37"/>
  <c r="AG19" i="37"/>
  <c r="AB19" i="37"/>
  <c r="AG20" i="37"/>
  <c r="AB20" i="37"/>
  <c r="AG21" i="37"/>
  <c r="AB21" i="37"/>
  <c r="AG22" i="37"/>
  <c r="AB22" i="37"/>
  <c r="AG23" i="37"/>
  <c r="AB23" i="37"/>
  <c r="AG24" i="37"/>
  <c r="AB24" i="37"/>
  <c r="AG25" i="37"/>
  <c r="AB25" i="37"/>
  <c r="AC17" i="37"/>
  <c r="AC18" i="37"/>
  <c r="AC19" i="37"/>
  <c r="AC20" i="37"/>
  <c r="AC21" i="37"/>
  <c r="AC22" i="37"/>
  <c r="AC23" i="37"/>
  <c r="AC24" i="37"/>
  <c r="AC25" i="37"/>
  <c r="AC16" i="37"/>
  <c r="AD17" i="37"/>
  <c r="AD18" i="37"/>
  <c r="AD19" i="37"/>
  <c r="AD20" i="37"/>
  <c r="AD21" i="37"/>
  <c r="AD22" i="37"/>
  <c r="AD23" i="37"/>
  <c r="AD24" i="37"/>
  <c r="AD25" i="37"/>
  <c r="AD16" i="37"/>
  <c r="AE17" i="37"/>
  <c r="AE18" i="37"/>
  <c r="AE19" i="37"/>
  <c r="AE20" i="37"/>
  <c r="AE21" i="37"/>
  <c r="AE22" i="37"/>
  <c r="AE23" i="37"/>
  <c r="AE24" i="37"/>
  <c r="AE25" i="37"/>
  <c r="AF17" i="37"/>
  <c r="AF18" i="37"/>
  <c r="AF19" i="37"/>
  <c r="AF20" i="37"/>
  <c r="AF21" i="37"/>
  <c r="AF22" i="37"/>
  <c r="AF23" i="37"/>
  <c r="AF24" i="37"/>
  <c r="AF25" i="37"/>
  <c r="AF16" i="37"/>
  <c r="AE16" i="37"/>
  <c r="AB16" i="37"/>
  <c r="Z16" i="37"/>
  <c r="Z17" i="37"/>
  <c r="Z18" i="37"/>
  <c r="Z19" i="37"/>
  <c r="Z20" i="37"/>
  <c r="Z21" i="37"/>
  <c r="Z22" i="37"/>
  <c r="Z23" i="37"/>
  <c r="Z24" i="37"/>
  <c r="Z25" i="37"/>
  <c r="X9" i="37"/>
  <c r="X8" i="37"/>
  <c r="AG26" i="37"/>
  <c r="AG27" i="37"/>
  <c r="AB27" i="37"/>
  <c r="AG28" i="37"/>
  <c r="AB28" i="37"/>
  <c r="AG29" i="37"/>
  <c r="AB29" i="37"/>
  <c r="AG30" i="37"/>
  <c r="AB30" i="37"/>
  <c r="AG31" i="37"/>
  <c r="AB31" i="37"/>
  <c r="AG32" i="37"/>
  <c r="AB32" i="37"/>
  <c r="AG33" i="37"/>
  <c r="AB33" i="37"/>
  <c r="AG34" i="37"/>
  <c r="AB34" i="37"/>
  <c r="AG35" i="37"/>
  <c r="AB35" i="37"/>
  <c r="AG36" i="37"/>
  <c r="AB36" i="37"/>
  <c r="AG37" i="37"/>
  <c r="AB37" i="37"/>
  <c r="AG38" i="37"/>
  <c r="AB38" i="37"/>
  <c r="AG39" i="37"/>
  <c r="AB39" i="37"/>
  <c r="AG40" i="37"/>
  <c r="AB40" i="37"/>
  <c r="AG41" i="37"/>
  <c r="AB41" i="37"/>
  <c r="AG42" i="37"/>
  <c r="AB42" i="37"/>
  <c r="AG43" i="37"/>
  <c r="AB43" i="37"/>
  <c r="AG44" i="37"/>
  <c r="AB44" i="37"/>
  <c r="AG45" i="37"/>
  <c r="AB45" i="37"/>
  <c r="AG46" i="37"/>
  <c r="AB46" i="37"/>
  <c r="AG47" i="37"/>
  <c r="AB47" i="37"/>
  <c r="AG48" i="37"/>
  <c r="AB48" i="37"/>
  <c r="AG49" i="37"/>
  <c r="AB49" i="37"/>
  <c r="AG50" i="37"/>
  <c r="AB50" i="37"/>
  <c r="AG51" i="37"/>
  <c r="AB51" i="37"/>
  <c r="AG52" i="37"/>
  <c r="AB52" i="37"/>
  <c r="AG53" i="37"/>
  <c r="AB53" i="37"/>
  <c r="AG54" i="37"/>
  <c r="AB54" i="37"/>
  <c r="AG55" i="37"/>
  <c r="AB55" i="37"/>
  <c r="AG56" i="37"/>
  <c r="AB56" i="37"/>
  <c r="AG57" i="37"/>
  <c r="AB57" i="37"/>
  <c r="AG58" i="37"/>
  <c r="AB58" i="37"/>
  <c r="AG59" i="37"/>
  <c r="AB59" i="37"/>
  <c r="AG60" i="37"/>
  <c r="AB60" i="37"/>
  <c r="AG61" i="37"/>
  <c r="AB61" i="37"/>
  <c r="AG63" i="37"/>
  <c r="AB63" i="37"/>
  <c r="AG64" i="37"/>
  <c r="AB64" i="37"/>
  <c r="AG65" i="37"/>
  <c r="AB65" i="37"/>
  <c r="AG66" i="37"/>
  <c r="AB66" i="37"/>
  <c r="AG67" i="37"/>
  <c r="AB67" i="37"/>
  <c r="AG68" i="37"/>
  <c r="AB68" i="37"/>
  <c r="AG69" i="37"/>
  <c r="AB69" i="37"/>
  <c r="AG70" i="37"/>
  <c r="AB70" i="37"/>
  <c r="AG71" i="37"/>
  <c r="AB71" i="37"/>
  <c r="AG72" i="37"/>
  <c r="AB72" i="37"/>
  <c r="AG73" i="37"/>
  <c r="AB73" i="37"/>
  <c r="AG74" i="37"/>
  <c r="AB74" i="37"/>
  <c r="AG75" i="37"/>
  <c r="AB75" i="37"/>
  <c r="AG76" i="37"/>
  <c r="AB76" i="37"/>
  <c r="AG77" i="37"/>
  <c r="AB77" i="37"/>
  <c r="AG78" i="37"/>
  <c r="AB78" i="37"/>
  <c r="AG79" i="37"/>
  <c r="AB79" i="37"/>
  <c r="AG80" i="37"/>
  <c r="AB80" i="37"/>
  <c r="AG81" i="37"/>
  <c r="AB81" i="37"/>
  <c r="AG82" i="37"/>
  <c r="AB82" i="37"/>
  <c r="AG83" i="37"/>
  <c r="AB83" i="37"/>
  <c r="AG84" i="37"/>
  <c r="AB84" i="37"/>
  <c r="AG85" i="37"/>
  <c r="AB85" i="37"/>
  <c r="AG86" i="37"/>
  <c r="AB86" i="37"/>
  <c r="AG87" i="37"/>
  <c r="AB87" i="37"/>
  <c r="AG88" i="37"/>
  <c r="AB88" i="37"/>
  <c r="AG89" i="37"/>
  <c r="AB89" i="37"/>
  <c r="AG90" i="37"/>
  <c r="AB90" i="37"/>
  <c r="AG91" i="37"/>
  <c r="AB91" i="37"/>
  <c r="AG92" i="37"/>
  <c r="AB92" i="37"/>
  <c r="AG93" i="37"/>
  <c r="AB93" i="37"/>
  <c r="AG94" i="37"/>
  <c r="AB94" i="37"/>
  <c r="AG95" i="37"/>
  <c r="AB95" i="37"/>
  <c r="AG96" i="37"/>
  <c r="AB96" i="37"/>
  <c r="AG97" i="37"/>
  <c r="AB97" i="37"/>
  <c r="AG98" i="37"/>
  <c r="AB98" i="37"/>
  <c r="AG99" i="37"/>
  <c r="AB99" i="37"/>
  <c r="AC27" i="37"/>
  <c r="AC28" i="37"/>
  <c r="AC29" i="37"/>
  <c r="AC30" i="37"/>
  <c r="AC31" i="37"/>
  <c r="AC32" i="37"/>
  <c r="AC33" i="37"/>
  <c r="AC34" i="37"/>
  <c r="AC35" i="37"/>
  <c r="AC36" i="37"/>
  <c r="AC37" i="37"/>
  <c r="AC38" i="37"/>
  <c r="AC39" i="37"/>
  <c r="AC40" i="37"/>
  <c r="AC41" i="37"/>
  <c r="AC42" i="37"/>
  <c r="AC43" i="37"/>
  <c r="AC44" i="37"/>
  <c r="AC45" i="37"/>
  <c r="AC46" i="37"/>
  <c r="AC47" i="37"/>
  <c r="AC48" i="37"/>
  <c r="AC49" i="37"/>
  <c r="AC50" i="37"/>
  <c r="AC51" i="37"/>
  <c r="AC52" i="37"/>
  <c r="AC53" i="37"/>
  <c r="AC54" i="37"/>
  <c r="AC55" i="37"/>
  <c r="AC56" i="37"/>
  <c r="AC57" i="37"/>
  <c r="AC58" i="37"/>
  <c r="AC59" i="37"/>
  <c r="AC60" i="37"/>
  <c r="AC61" i="37"/>
  <c r="AC63" i="37"/>
  <c r="AC64" i="37"/>
  <c r="AC65" i="37"/>
  <c r="AC66" i="37"/>
  <c r="AC67" i="37"/>
  <c r="AC68" i="37"/>
  <c r="AC69" i="37"/>
  <c r="AC70" i="37"/>
  <c r="AC71" i="37"/>
  <c r="AC72" i="37"/>
  <c r="AC73" i="37"/>
  <c r="AC74" i="37"/>
  <c r="AC75" i="37"/>
  <c r="AC76" i="37"/>
  <c r="AC77" i="37"/>
  <c r="AC78" i="37"/>
  <c r="AC79" i="37"/>
  <c r="AC80" i="37"/>
  <c r="AC81" i="37"/>
  <c r="AC82" i="37"/>
  <c r="AC83" i="37"/>
  <c r="AC84" i="37"/>
  <c r="AC85" i="37"/>
  <c r="AC86" i="37"/>
  <c r="AC87" i="37"/>
  <c r="AC88" i="37"/>
  <c r="AC89" i="37"/>
  <c r="AC90" i="37"/>
  <c r="AC91" i="37"/>
  <c r="AC92" i="37"/>
  <c r="AC93" i="37"/>
  <c r="AC94" i="37"/>
  <c r="AC95" i="37"/>
  <c r="AC96" i="37"/>
  <c r="AC97" i="37"/>
  <c r="AC98" i="37"/>
  <c r="AC99" i="37"/>
  <c r="AC26" i="37"/>
  <c r="AC12" i="37"/>
  <c r="AD11" i="37"/>
  <c r="AD27" i="37"/>
  <c r="AD28" i="37"/>
  <c r="AD29" i="37"/>
  <c r="AD30" i="37"/>
  <c r="AD31" i="37"/>
  <c r="AD32" i="37"/>
  <c r="AD33" i="37"/>
  <c r="AD34" i="37"/>
  <c r="AD35" i="37"/>
  <c r="AD36" i="37"/>
  <c r="AD37" i="37"/>
  <c r="AD38" i="37"/>
  <c r="AD39" i="37"/>
  <c r="AD40" i="37"/>
  <c r="AD41" i="37"/>
  <c r="AD42" i="37"/>
  <c r="AD43" i="37"/>
  <c r="AD44" i="37"/>
  <c r="AD45" i="37"/>
  <c r="AD46" i="37"/>
  <c r="AD47" i="37"/>
  <c r="AD48" i="37"/>
  <c r="AD49" i="37"/>
  <c r="AD50" i="37"/>
  <c r="AD51" i="37"/>
  <c r="AD52" i="37"/>
  <c r="AD53" i="37"/>
  <c r="AD54" i="37"/>
  <c r="AD55" i="37"/>
  <c r="AD56" i="37"/>
  <c r="AD57" i="37"/>
  <c r="AD58" i="37"/>
  <c r="AD59" i="37"/>
  <c r="AD60" i="37"/>
  <c r="AD61" i="37"/>
  <c r="AD63" i="37"/>
  <c r="AD64" i="37"/>
  <c r="AD65" i="37"/>
  <c r="AD66" i="37"/>
  <c r="AD67" i="37"/>
  <c r="AD68" i="37"/>
  <c r="AD69" i="37"/>
  <c r="AD70" i="37"/>
  <c r="AD71" i="37"/>
  <c r="AD72" i="37"/>
  <c r="AD73" i="37"/>
  <c r="AD74" i="37"/>
  <c r="AD75" i="37"/>
  <c r="AD76" i="37"/>
  <c r="AD77" i="37"/>
  <c r="AD78" i="37"/>
  <c r="AD79" i="37"/>
  <c r="AD80" i="37"/>
  <c r="AD81" i="37"/>
  <c r="AD82" i="37"/>
  <c r="AD83" i="37"/>
  <c r="AD84" i="37"/>
  <c r="AD85" i="37"/>
  <c r="AD86" i="37"/>
  <c r="AD87" i="37"/>
  <c r="AD88" i="37"/>
  <c r="AD89" i="37"/>
  <c r="AD90" i="37"/>
  <c r="AD91" i="37"/>
  <c r="AD92" i="37"/>
  <c r="AD93" i="37"/>
  <c r="AD94" i="37"/>
  <c r="AD95" i="37"/>
  <c r="AD96" i="37"/>
  <c r="AD97" i="37"/>
  <c r="AD98" i="37"/>
  <c r="AD99" i="37"/>
  <c r="AD26" i="37"/>
  <c r="AD12" i="37"/>
  <c r="AE11" i="37"/>
  <c r="AE27" i="37"/>
  <c r="AE28" i="37"/>
  <c r="AE29" i="37"/>
  <c r="AE30" i="37"/>
  <c r="AE31" i="37"/>
  <c r="AE32" i="37"/>
  <c r="AE33" i="37"/>
  <c r="AE34" i="37"/>
  <c r="AE35" i="37"/>
  <c r="AE36" i="37"/>
  <c r="AE37" i="37"/>
  <c r="AE38" i="37"/>
  <c r="AE39" i="37"/>
  <c r="AE40" i="37"/>
  <c r="AE41" i="37"/>
  <c r="AE42" i="37"/>
  <c r="AE43" i="37"/>
  <c r="AE44" i="37"/>
  <c r="AE45" i="37"/>
  <c r="AE46" i="37"/>
  <c r="AE47" i="37"/>
  <c r="AE48" i="37"/>
  <c r="AE49" i="37"/>
  <c r="AE50" i="37"/>
  <c r="AE51" i="37"/>
  <c r="AE52" i="37"/>
  <c r="AE53" i="37"/>
  <c r="AE54" i="37"/>
  <c r="AE55" i="37"/>
  <c r="AE56" i="37"/>
  <c r="AE57" i="37"/>
  <c r="AE58" i="37"/>
  <c r="AE59" i="37"/>
  <c r="AE60" i="37"/>
  <c r="AE61" i="37"/>
  <c r="AE63" i="37"/>
  <c r="AE64" i="37"/>
  <c r="AE65" i="37"/>
  <c r="AE66" i="37"/>
  <c r="AE67" i="37"/>
  <c r="AE68" i="37"/>
  <c r="AE69" i="37"/>
  <c r="AE70" i="37"/>
  <c r="AE71" i="37"/>
  <c r="AE72" i="37"/>
  <c r="AE73" i="37"/>
  <c r="AE74" i="37"/>
  <c r="AE75" i="37"/>
  <c r="AE76" i="37"/>
  <c r="AE77" i="37"/>
  <c r="AE78" i="37"/>
  <c r="AE79" i="37"/>
  <c r="AE80" i="37"/>
  <c r="AE81" i="37"/>
  <c r="AE82" i="37"/>
  <c r="AE83" i="37"/>
  <c r="AE84" i="37"/>
  <c r="AE85" i="37"/>
  <c r="AE86" i="37"/>
  <c r="AE87" i="37"/>
  <c r="AE88" i="37"/>
  <c r="AE89" i="37"/>
  <c r="AE90" i="37"/>
  <c r="AE91" i="37"/>
  <c r="AE92" i="37"/>
  <c r="AE93" i="37"/>
  <c r="AE94" i="37"/>
  <c r="AE95" i="37"/>
  <c r="AE96" i="37"/>
  <c r="AE97" i="37"/>
  <c r="AE98" i="37"/>
  <c r="AE99" i="37"/>
  <c r="AF27" i="37"/>
  <c r="AF28" i="37"/>
  <c r="AF29" i="37"/>
  <c r="AF30" i="37"/>
  <c r="AF31" i="37"/>
  <c r="AF32" i="37"/>
  <c r="AF33" i="37"/>
  <c r="AF34" i="37"/>
  <c r="AF35" i="37"/>
  <c r="AF36" i="37"/>
  <c r="AF37" i="37"/>
  <c r="AF38" i="37"/>
  <c r="AF39" i="37"/>
  <c r="AF40" i="37"/>
  <c r="AF41" i="37"/>
  <c r="AF42" i="37"/>
  <c r="AF43" i="37"/>
  <c r="AF44" i="37"/>
  <c r="AF45" i="37"/>
  <c r="AF46" i="37"/>
  <c r="AF47" i="37"/>
  <c r="AF48" i="37"/>
  <c r="AF49" i="37"/>
  <c r="AF50" i="37"/>
  <c r="AF51" i="37"/>
  <c r="AF52" i="37"/>
  <c r="AF53" i="37"/>
  <c r="AF54" i="37"/>
  <c r="AF55" i="37"/>
  <c r="AF56" i="37"/>
  <c r="AF57" i="37"/>
  <c r="AF58" i="37"/>
  <c r="AF59" i="37"/>
  <c r="AF60" i="37"/>
  <c r="AF61" i="37"/>
  <c r="AF63" i="37"/>
  <c r="AF64" i="37"/>
  <c r="AF65" i="37"/>
  <c r="AF66" i="37"/>
  <c r="AF67" i="37"/>
  <c r="AF68" i="37"/>
  <c r="AF69" i="37"/>
  <c r="AF70" i="37"/>
  <c r="AF71" i="37"/>
  <c r="AF72" i="37"/>
  <c r="AF73" i="37"/>
  <c r="AF74" i="37"/>
  <c r="AF75" i="37"/>
  <c r="AF76" i="37"/>
  <c r="AF77" i="37"/>
  <c r="AF78" i="37"/>
  <c r="AF79" i="37"/>
  <c r="AF80" i="37"/>
  <c r="AF81" i="37"/>
  <c r="AF82" i="37"/>
  <c r="AF83" i="37"/>
  <c r="AF84" i="37"/>
  <c r="AF85" i="37"/>
  <c r="AF86" i="37"/>
  <c r="AF87" i="37"/>
  <c r="AF88" i="37"/>
  <c r="AF89" i="37"/>
  <c r="AF90" i="37"/>
  <c r="AF91" i="37"/>
  <c r="AF92" i="37"/>
  <c r="AF93" i="37"/>
  <c r="AF94" i="37"/>
  <c r="AF95" i="37"/>
  <c r="AF96" i="37"/>
  <c r="AF97" i="37"/>
  <c r="AF98" i="37"/>
  <c r="AF99" i="37"/>
  <c r="AF26" i="37"/>
  <c r="AF12" i="37"/>
  <c r="AG11" i="37"/>
  <c r="Y7" i="37"/>
  <c r="Y9" i="37"/>
  <c r="AE26" i="37"/>
  <c r="AE12" i="37"/>
  <c r="AF11" i="37"/>
  <c r="AB26" i="37"/>
  <c r="AB12" i="37"/>
  <c r="AC11" i="37"/>
  <c r="AD7" i="37"/>
  <c r="V45" i="14"/>
  <c r="U45" i="14"/>
  <c r="Y45" i="14"/>
  <c r="T45" i="14"/>
  <c r="S45" i="14"/>
  <c r="W45" i="14"/>
  <c r="R45" i="14"/>
  <c r="Q45" i="14"/>
  <c r="V44" i="14"/>
  <c r="U44" i="14"/>
  <c r="Y44" i="14"/>
  <c r="T44" i="14"/>
  <c r="S44" i="14"/>
  <c r="W44" i="14"/>
  <c r="R44" i="14"/>
  <c r="Q44" i="14"/>
  <c r="V43" i="14"/>
  <c r="U43" i="14"/>
  <c r="Y43" i="14"/>
  <c r="T43" i="14"/>
  <c r="S43" i="14"/>
  <c r="W43" i="14"/>
  <c r="R43" i="14"/>
  <c r="Q43" i="14"/>
  <c r="V42" i="14"/>
  <c r="U42" i="14"/>
  <c r="Y42" i="14"/>
  <c r="T42" i="14"/>
  <c r="S42" i="14"/>
  <c r="W42" i="14"/>
  <c r="R42" i="14"/>
  <c r="Q42" i="14"/>
  <c r="V41" i="14"/>
  <c r="U41" i="14"/>
  <c r="Y41" i="14"/>
  <c r="T41" i="14"/>
  <c r="S41" i="14"/>
  <c r="W41" i="14"/>
  <c r="R41" i="14"/>
  <c r="Q41" i="14"/>
  <c r="V40" i="14"/>
  <c r="U40" i="14"/>
  <c r="Y40" i="14"/>
  <c r="T40" i="14"/>
  <c r="S40" i="14"/>
  <c r="W40" i="14"/>
  <c r="R40" i="14"/>
  <c r="Q40" i="14"/>
  <c r="V39" i="14"/>
  <c r="U39" i="14"/>
  <c r="Y39" i="14"/>
  <c r="T39" i="14"/>
  <c r="S39" i="14"/>
  <c r="W39" i="14"/>
  <c r="R39" i="14"/>
  <c r="Q39" i="14"/>
  <c r="V38" i="14"/>
  <c r="U38" i="14"/>
  <c r="Y38" i="14"/>
  <c r="T38" i="14"/>
  <c r="S38" i="14"/>
  <c r="W38" i="14"/>
  <c r="R38" i="14"/>
  <c r="Q38" i="14"/>
  <c r="V37" i="14"/>
  <c r="U37" i="14"/>
  <c r="Y37" i="14"/>
  <c r="T37" i="14"/>
  <c r="S37" i="14"/>
  <c r="W37" i="14"/>
  <c r="R37" i="14"/>
  <c r="Q37" i="14"/>
  <c r="V36" i="14"/>
  <c r="U36" i="14"/>
  <c r="Y36" i="14"/>
  <c r="T36" i="14"/>
  <c r="S36" i="14"/>
  <c r="W36" i="14"/>
  <c r="R36" i="14"/>
  <c r="Q36" i="14"/>
  <c r="V35" i="14"/>
  <c r="U35" i="14"/>
  <c r="Y35" i="14"/>
  <c r="T35" i="14"/>
  <c r="S35" i="14"/>
  <c r="W35" i="14"/>
  <c r="R35" i="14"/>
  <c r="Q35" i="14"/>
  <c r="V34" i="14"/>
  <c r="U34" i="14"/>
  <c r="Y34" i="14"/>
  <c r="T34" i="14"/>
  <c r="S34" i="14"/>
  <c r="W34" i="14"/>
  <c r="R34" i="14"/>
  <c r="Q34" i="14"/>
  <c r="V33" i="14"/>
  <c r="U33" i="14"/>
  <c r="Y33" i="14"/>
  <c r="T33" i="14"/>
  <c r="S33" i="14"/>
  <c r="W33" i="14"/>
  <c r="R33" i="14"/>
  <c r="Q33" i="14"/>
  <c r="V32" i="14"/>
  <c r="U32" i="14"/>
  <c r="Y32" i="14"/>
  <c r="T32" i="14"/>
  <c r="S32" i="14"/>
  <c r="W32" i="14"/>
  <c r="R32" i="14"/>
  <c r="Q32" i="14"/>
  <c r="V31" i="14"/>
  <c r="U31" i="14"/>
  <c r="Y31" i="14"/>
  <c r="T31" i="14"/>
  <c r="S31" i="14"/>
  <c r="W31" i="14"/>
  <c r="R31" i="14"/>
  <c r="Q31" i="14"/>
  <c r="V30" i="14"/>
  <c r="U30" i="14"/>
  <c r="Y30" i="14"/>
  <c r="T30" i="14"/>
  <c r="S30" i="14"/>
  <c r="W30" i="14"/>
  <c r="R30" i="14"/>
  <c r="Q30" i="14"/>
  <c r="V29" i="14"/>
  <c r="U29" i="14"/>
  <c r="Y29" i="14"/>
  <c r="T29" i="14"/>
  <c r="S29" i="14"/>
  <c r="W29" i="14"/>
  <c r="R29" i="14"/>
  <c r="Q29" i="14"/>
  <c r="V28" i="14"/>
  <c r="U28" i="14"/>
  <c r="Y28" i="14"/>
  <c r="T28" i="14"/>
  <c r="S28" i="14"/>
  <c r="W28" i="14"/>
  <c r="R28" i="14"/>
  <c r="Q28" i="14"/>
  <c r="V27" i="14"/>
  <c r="U27" i="14"/>
  <c r="Y27" i="14"/>
  <c r="T27" i="14"/>
  <c r="S27" i="14"/>
  <c r="W27" i="14"/>
  <c r="R27" i="14"/>
  <c r="Q27" i="14"/>
  <c r="V26" i="14"/>
  <c r="U26" i="14"/>
  <c r="Y26" i="14"/>
  <c r="T26" i="14"/>
  <c r="S26" i="14"/>
  <c r="W26" i="14"/>
  <c r="R26" i="14"/>
  <c r="Q26" i="14"/>
  <c r="V25" i="14"/>
  <c r="U25" i="14"/>
  <c r="Y25" i="14"/>
  <c r="T25" i="14"/>
  <c r="S25" i="14"/>
  <c r="R25" i="14"/>
  <c r="Q25" i="14"/>
  <c r="V24" i="14"/>
  <c r="U24" i="14"/>
  <c r="Y24" i="14"/>
  <c r="T24" i="14"/>
  <c r="S24" i="14"/>
  <c r="R24" i="14"/>
  <c r="Q24" i="14"/>
  <c r="V23" i="14"/>
  <c r="U23" i="14"/>
  <c r="Y23" i="14"/>
  <c r="T23" i="14"/>
  <c r="S23" i="14"/>
  <c r="R23" i="14"/>
  <c r="Q23" i="14"/>
  <c r="V22" i="14"/>
  <c r="U22" i="14"/>
  <c r="Y22" i="14"/>
  <c r="T22" i="14"/>
  <c r="S22" i="14"/>
  <c r="R22" i="14"/>
  <c r="Q22" i="14"/>
  <c r="V21" i="14"/>
  <c r="U21" i="14"/>
  <c r="Y21" i="14"/>
  <c r="T21" i="14"/>
  <c r="S21" i="14"/>
  <c r="R21" i="14"/>
  <c r="Q21" i="14"/>
  <c r="V20" i="14"/>
  <c r="U20" i="14"/>
  <c r="Y20" i="14"/>
  <c r="T20" i="14"/>
  <c r="S20" i="14"/>
  <c r="R20" i="14"/>
  <c r="Q20" i="14"/>
  <c r="V19" i="14"/>
  <c r="U19" i="14"/>
  <c r="Y19" i="14"/>
  <c r="T19" i="14"/>
  <c r="S19" i="14"/>
  <c r="R19" i="14"/>
  <c r="Q19" i="14"/>
  <c r="V18" i="14"/>
  <c r="U18" i="14"/>
  <c r="Y18" i="14"/>
  <c r="T18" i="14"/>
  <c r="S18" i="14"/>
  <c r="R18" i="14"/>
  <c r="Q18" i="14"/>
  <c r="V17" i="14"/>
  <c r="U17" i="14"/>
  <c r="Y17" i="14"/>
  <c r="T17" i="14"/>
  <c r="S17" i="14"/>
  <c r="R17" i="14"/>
  <c r="Q17" i="14"/>
  <c r="R16" i="14"/>
  <c r="Q16" i="14"/>
  <c r="T12" i="14"/>
  <c r="I12" i="14"/>
  <c r="H12" i="14"/>
  <c r="G12" i="14"/>
  <c r="F12" i="14"/>
  <c r="E12" i="14"/>
  <c r="D12" i="14"/>
  <c r="C12" i="14"/>
  <c r="Q10" i="14"/>
  <c r="W17" i="14"/>
  <c r="W18" i="14"/>
  <c r="W19" i="14"/>
  <c r="W20" i="14"/>
  <c r="W21" i="14"/>
  <c r="W22" i="14"/>
  <c r="W23" i="14"/>
  <c r="W24" i="14"/>
  <c r="W25" i="14"/>
  <c r="X44" i="14"/>
  <c r="X45" i="14"/>
  <c r="X40" i="14"/>
  <c r="X41" i="14"/>
  <c r="X42" i="14"/>
  <c r="X43" i="14"/>
  <c r="X36" i="14"/>
  <c r="X37" i="14"/>
  <c r="X38" i="14"/>
  <c r="X39" i="14"/>
  <c r="X33" i="14"/>
  <c r="X34" i="14"/>
  <c r="X35" i="14"/>
  <c r="X30" i="14"/>
  <c r="X31" i="14"/>
  <c r="X32" i="14"/>
  <c r="X26" i="14"/>
  <c r="X27" i="14"/>
  <c r="X28" i="14"/>
  <c r="X29" i="14"/>
  <c r="X17" i="14"/>
  <c r="X18" i="14"/>
  <c r="X19" i="14"/>
  <c r="X20" i="14"/>
  <c r="X21" i="14"/>
  <c r="X22" i="14"/>
  <c r="X23" i="14"/>
  <c r="X24" i="14"/>
  <c r="X25" i="14"/>
  <c r="Y2" i="14"/>
  <c r="Y3" i="14"/>
  <c r="Y4" i="14"/>
  <c r="W12" i="14"/>
  <c r="X12" i="14"/>
  <c r="Y12" i="14"/>
  <c r="X7" i="14"/>
  <c r="W8" i="14"/>
  <c r="W9" i="14"/>
  <c r="AG16" i="14"/>
  <c r="AB16" i="14"/>
  <c r="AG17" i="14"/>
  <c r="AB17" i="14"/>
  <c r="AG18" i="14"/>
  <c r="AB18" i="14"/>
  <c r="AG19" i="14"/>
  <c r="AB19" i="14"/>
  <c r="AG20" i="14"/>
  <c r="AB20" i="14"/>
  <c r="AG21" i="14"/>
  <c r="AB21" i="14"/>
  <c r="AG22" i="14"/>
  <c r="AB22" i="14"/>
  <c r="AG23" i="14"/>
  <c r="AB23" i="14"/>
  <c r="AG24" i="14"/>
  <c r="AB24" i="14"/>
  <c r="AG25" i="14"/>
  <c r="AB25" i="14"/>
  <c r="AG26" i="14"/>
  <c r="AB26" i="14"/>
  <c r="AG27" i="14"/>
  <c r="AB27" i="14"/>
  <c r="AG28" i="14"/>
  <c r="AB28" i="14"/>
  <c r="AG29" i="14"/>
  <c r="AB29" i="14"/>
  <c r="AG30" i="14"/>
  <c r="AB30" i="14"/>
  <c r="AG31" i="14"/>
  <c r="AB31" i="14"/>
  <c r="AG32" i="14"/>
  <c r="AB32" i="14"/>
  <c r="AG33" i="14"/>
  <c r="AB33" i="14"/>
  <c r="AG34" i="14"/>
  <c r="AB34" i="14"/>
  <c r="AG35" i="14"/>
  <c r="AB35" i="14"/>
  <c r="AG36" i="14"/>
  <c r="AB36" i="14"/>
  <c r="AG37" i="14"/>
  <c r="AB37" i="14"/>
  <c r="AG38" i="14"/>
  <c r="AB38" i="14"/>
  <c r="AG39" i="14"/>
  <c r="AB39" i="14"/>
  <c r="AG40" i="14"/>
  <c r="AB40" i="14"/>
  <c r="AG41" i="14"/>
  <c r="AB41" i="14"/>
  <c r="AG42" i="14"/>
  <c r="AB42" i="14"/>
  <c r="AG43" i="14"/>
  <c r="AB43" i="14"/>
  <c r="AG44" i="14"/>
  <c r="AB44" i="14"/>
  <c r="AG45" i="14"/>
  <c r="AB45" i="14"/>
  <c r="AB12" i="14"/>
  <c r="AB11" i="14"/>
  <c r="AC16" i="14"/>
  <c r="AC17" i="14"/>
  <c r="AC18" i="14"/>
  <c r="AC19" i="14"/>
  <c r="AC20" i="14"/>
  <c r="AC21" i="14"/>
  <c r="AC22" i="14"/>
  <c r="AC23" i="14"/>
  <c r="AC24" i="14"/>
  <c r="AC25" i="14"/>
  <c r="AC26" i="14"/>
  <c r="AC27" i="14"/>
  <c r="AC28" i="14"/>
  <c r="AC29" i="14"/>
  <c r="AC30" i="14"/>
  <c r="AC31" i="14"/>
  <c r="AC32" i="14"/>
  <c r="AC33" i="14"/>
  <c r="AC34" i="14"/>
  <c r="AC35" i="14"/>
  <c r="AC36" i="14"/>
  <c r="AC37" i="14"/>
  <c r="AC38" i="14"/>
  <c r="AC39" i="14"/>
  <c r="AC40" i="14"/>
  <c r="AC41" i="14"/>
  <c r="AC42" i="14"/>
  <c r="AC43" i="14"/>
  <c r="AC44" i="14"/>
  <c r="AC45" i="14"/>
  <c r="AC12" i="14"/>
  <c r="AC11" i="14"/>
  <c r="AD16" i="14"/>
  <c r="AD17" i="14"/>
  <c r="AD18" i="14"/>
  <c r="AD19" i="14"/>
  <c r="AD20" i="14"/>
  <c r="AD21" i="14"/>
  <c r="AD22" i="14"/>
  <c r="AD23" i="14"/>
  <c r="AD24" i="14"/>
  <c r="AD25" i="14"/>
  <c r="AD26" i="14"/>
  <c r="AD27" i="14"/>
  <c r="AD28" i="14"/>
  <c r="AD29" i="14"/>
  <c r="AD30" i="14"/>
  <c r="AD31" i="14"/>
  <c r="AD32" i="14"/>
  <c r="AD33" i="14"/>
  <c r="AD34" i="14"/>
  <c r="AD35" i="14"/>
  <c r="AD36" i="14"/>
  <c r="AD37" i="14"/>
  <c r="AD38" i="14"/>
  <c r="AD39" i="14"/>
  <c r="AD40" i="14"/>
  <c r="AD41" i="14"/>
  <c r="AD42" i="14"/>
  <c r="AD43" i="14"/>
  <c r="AD44" i="14"/>
  <c r="AD45" i="14"/>
  <c r="AD12" i="14"/>
  <c r="AD11" i="14"/>
  <c r="AE16" i="14"/>
  <c r="AE17" i="14"/>
  <c r="AE18" i="14"/>
  <c r="AE19" i="14"/>
  <c r="AE20" i="14"/>
  <c r="AE21" i="14"/>
  <c r="AE22" i="14"/>
  <c r="AE23" i="14"/>
  <c r="AE24" i="14"/>
  <c r="AE25" i="14"/>
  <c r="AE26" i="14"/>
  <c r="AE27" i="14"/>
  <c r="AE28" i="14"/>
  <c r="AE29" i="14"/>
  <c r="AE30" i="14"/>
  <c r="AE31" i="14"/>
  <c r="AE32" i="14"/>
  <c r="AE33" i="14"/>
  <c r="AE34" i="14"/>
  <c r="AE35" i="14"/>
  <c r="AE36" i="14"/>
  <c r="AE37" i="14"/>
  <c r="AE38" i="14"/>
  <c r="AE39" i="14"/>
  <c r="AE40" i="14"/>
  <c r="AE41" i="14"/>
  <c r="AE42" i="14"/>
  <c r="AE43" i="14"/>
  <c r="AE44" i="14"/>
  <c r="AE45" i="14"/>
  <c r="AE12" i="14"/>
  <c r="X9" i="14"/>
  <c r="AE11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12" i="14"/>
  <c r="AF11" i="14"/>
  <c r="AB7" i="14"/>
  <c r="A99" i="5"/>
  <c r="A100" i="5"/>
  <c r="A101" i="5"/>
  <c r="A102" i="5"/>
  <c r="A83" i="5"/>
  <c r="A84" i="5"/>
  <c r="A85" i="5"/>
  <c r="A86" i="5"/>
  <c r="A66" i="5"/>
  <c r="A67" i="5"/>
  <c r="A68" i="5"/>
  <c r="A69" i="5"/>
  <c r="K42" i="5"/>
  <c r="K43" i="5"/>
  <c r="K44" i="5"/>
  <c r="P52" i="5"/>
  <c r="O52" i="5"/>
  <c r="N52" i="5"/>
  <c r="P49" i="5"/>
  <c r="O49" i="5"/>
  <c r="N49" i="5"/>
  <c r="O50" i="5"/>
  <c r="N50" i="5"/>
  <c r="P50" i="5"/>
  <c r="P51" i="5"/>
  <c r="O51" i="5"/>
  <c r="N51" i="5"/>
  <c r="L49" i="5"/>
  <c r="L50" i="5"/>
  <c r="L51" i="5"/>
  <c r="L52" i="5"/>
  <c r="I49" i="5"/>
  <c r="I50" i="5"/>
  <c r="J49" i="5"/>
  <c r="J50" i="5"/>
  <c r="K49" i="5"/>
  <c r="K50" i="5"/>
  <c r="M49" i="5"/>
  <c r="M50" i="5"/>
  <c r="B67" i="5"/>
  <c r="C66" i="5"/>
  <c r="I51" i="5"/>
  <c r="J51" i="5"/>
  <c r="K51" i="5"/>
  <c r="M51" i="5"/>
  <c r="B68" i="5"/>
  <c r="D66" i="5"/>
  <c r="I52" i="5"/>
  <c r="J52" i="5"/>
  <c r="K52" i="5"/>
  <c r="M52" i="5"/>
  <c r="B69" i="5"/>
  <c r="E66" i="5"/>
  <c r="D67" i="5"/>
  <c r="C69" i="5"/>
  <c r="E67" i="5"/>
  <c r="C68" i="5"/>
  <c r="D69" i="5"/>
  <c r="E68" i="5"/>
  <c r="E49" i="5"/>
  <c r="E50" i="5"/>
  <c r="E51" i="5"/>
  <c r="E52" i="5"/>
  <c r="E10" i="33"/>
  <c r="G14" i="33"/>
  <c r="H14" i="33"/>
  <c r="D14" i="33"/>
  <c r="D13" i="33"/>
  <c r="C14" i="33"/>
  <c r="C13" i="33"/>
  <c r="E20" i="33"/>
  <c r="C6" i="33"/>
  <c r="C5" i="33"/>
  <c r="C4" i="33"/>
  <c r="C3" i="33"/>
  <c r="E4" i="33"/>
  <c r="D6" i="33"/>
  <c r="E6" i="33"/>
  <c r="F6" i="33"/>
  <c r="F3" i="33"/>
  <c r="E3" i="33"/>
  <c r="D3" i="33"/>
  <c r="D4" i="33"/>
  <c r="F4" i="33"/>
  <c r="E5" i="33"/>
  <c r="F5" i="33"/>
  <c r="D5" i="33"/>
  <c r="G13" i="33"/>
  <c r="H13" i="33"/>
  <c r="C4" i="5" a="1"/>
  <c r="C4" i="5"/>
  <c r="J26" i="5" a="1"/>
  <c r="J26" i="5"/>
  <c r="J27" i="5"/>
  <c r="C3" i="5" a="1"/>
  <c r="C3" i="5"/>
  <c r="D4" i="5"/>
  <c r="C5" i="5" a="1"/>
  <c r="C5" i="5"/>
  <c r="D5" i="5"/>
  <c r="K26" i="5"/>
  <c r="M26" i="5"/>
  <c r="K27" i="5"/>
  <c r="M27" i="5"/>
  <c r="C6" i="5"/>
  <c r="K23" i="5"/>
  <c r="M23" i="5"/>
  <c r="K24" i="5"/>
  <c r="M24" i="5"/>
  <c r="K25" i="5"/>
  <c r="M25" i="5"/>
  <c r="H33" i="5" a="1"/>
  <c r="H33" i="5"/>
  <c r="X7" i="12"/>
  <c r="Z17" i="12"/>
  <c r="AA17" i="12"/>
  <c r="Z18" i="12"/>
  <c r="AA18" i="12"/>
  <c r="Z19" i="12"/>
  <c r="AA19" i="12"/>
  <c r="Z20" i="12"/>
  <c r="AA20" i="12"/>
  <c r="Z21" i="12"/>
  <c r="AA21" i="12"/>
  <c r="Z22" i="12"/>
  <c r="AA22" i="12"/>
  <c r="Z23" i="12"/>
  <c r="AA23" i="12"/>
  <c r="Z24" i="12"/>
  <c r="AA24" i="12"/>
  <c r="Z25" i="12"/>
  <c r="AA25" i="12"/>
  <c r="Z26" i="12"/>
  <c r="AA26" i="12"/>
  <c r="Z27" i="12"/>
  <c r="AA27" i="12"/>
  <c r="Z28" i="12"/>
  <c r="AA28" i="12"/>
  <c r="Z29" i="12"/>
  <c r="AA29" i="12"/>
  <c r="Z30" i="12"/>
  <c r="AA30" i="12"/>
  <c r="Z31" i="12"/>
  <c r="AA31" i="12"/>
  <c r="Z32" i="12"/>
  <c r="AA32" i="12"/>
  <c r="Z33" i="12"/>
  <c r="AA33" i="12"/>
  <c r="Z34" i="12"/>
  <c r="AA34" i="12"/>
  <c r="Z35" i="12"/>
  <c r="AA35" i="12"/>
  <c r="Z36" i="12"/>
  <c r="AA36" i="12"/>
  <c r="Z37" i="12"/>
  <c r="AA37" i="12"/>
  <c r="Z38" i="12"/>
  <c r="AA38" i="12"/>
  <c r="Z39" i="12"/>
  <c r="AA39" i="12"/>
  <c r="Z40" i="12"/>
  <c r="AA40" i="12"/>
  <c r="Z41" i="12"/>
  <c r="AA41" i="12"/>
  <c r="Z42" i="12"/>
  <c r="AA42" i="12"/>
  <c r="Z43" i="12"/>
  <c r="AA43" i="12"/>
  <c r="Z44" i="12"/>
  <c r="AA44" i="12"/>
  <c r="Z45" i="12"/>
  <c r="AA45" i="12"/>
  <c r="Z46" i="12"/>
  <c r="AA46" i="12"/>
  <c r="Z47" i="12"/>
  <c r="AA47" i="12"/>
  <c r="Z48" i="12"/>
  <c r="AA48" i="12"/>
  <c r="Z49" i="12"/>
  <c r="AA49" i="12"/>
  <c r="Z50" i="12"/>
  <c r="AA50" i="12"/>
  <c r="Z51" i="12"/>
  <c r="AA51" i="12"/>
  <c r="Z52" i="12"/>
  <c r="AA52" i="12"/>
  <c r="Z53" i="12"/>
  <c r="AA53" i="12"/>
  <c r="Z54" i="12"/>
  <c r="AA54" i="12"/>
  <c r="Z55" i="12"/>
  <c r="AA55" i="12"/>
  <c r="Z57" i="12"/>
  <c r="AA57" i="12"/>
  <c r="Z58" i="12"/>
  <c r="AA58" i="12"/>
  <c r="Z59" i="12"/>
  <c r="AA59" i="12"/>
  <c r="Z60" i="12"/>
  <c r="AA60" i="12"/>
  <c r="Z61" i="12"/>
  <c r="AA61" i="12"/>
  <c r="Z62" i="12"/>
  <c r="AA62" i="12"/>
  <c r="Z63" i="12"/>
  <c r="AA63" i="12"/>
  <c r="Z64" i="12"/>
  <c r="AA64" i="12"/>
  <c r="Z65" i="12"/>
  <c r="AA65" i="12"/>
  <c r="Z67" i="12"/>
  <c r="AA67" i="12"/>
  <c r="Z68" i="12"/>
  <c r="AA68" i="12"/>
  <c r="Z69" i="12"/>
  <c r="AA69" i="12"/>
  <c r="Z70" i="12"/>
  <c r="AA70" i="12"/>
  <c r="Z71" i="12"/>
  <c r="AA71" i="12"/>
  <c r="Z72" i="12"/>
  <c r="AA72" i="12"/>
  <c r="Z73" i="12"/>
  <c r="AA73" i="12"/>
  <c r="Z74" i="12"/>
  <c r="AA74" i="12"/>
  <c r="Z75" i="12"/>
  <c r="AA75" i="12"/>
  <c r="Z76" i="12"/>
  <c r="AA76" i="12"/>
  <c r="Z78" i="12"/>
  <c r="AA78" i="12"/>
  <c r="Z79" i="12"/>
  <c r="AA79" i="12"/>
  <c r="Z80" i="12"/>
  <c r="AA80" i="12"/>
  <c r="Z81" i="12"/>
  <c r="AA81" i="12"/>
  <c r="Z82" i="12"/>
  <c r="AA82" i="12"/>
  <c r="Z83" i="12"/>
  <c r="AA83" i="12"/>
  <c r="Z84" i="12"/>
  <c r="AA84" i="12"/>
  <c r="Z85" i="12"/>
  <c r="AA85" i="12"/>
  <c r="Z86" i="12"/>
  <c r="AA86" i="12"/>
  <c r="Z87" i="12"/>
  <c r="AA87" i="12"/>
  <c r="Z88" i="12"/>
  <c r="AA88" i="12"/>
  <c r="Z89" i="12"/>
  <c r="AA89" i="12"/>
  <c r="Z90" i="12"/>
  <c r="AA90" i="12"/>
  <c r="Z91" i="12"/>
  <c r="AA91" i="12"/>
  <c r="Z92" i="12"/>
  <c r="AA92" i="12"/>
  <c r="Z93" i="12"/>
  <c r="AA93" i="12"/>
  <c r="Z94" i="12"/>
  <c r="AA94" i="12"/>
  <c r="Z95" i="12"/>
  <c r="AA95" i="12"/>
  <c r="Z96" i="12"/>
  <c r="AA96" i="12"/>
  <c r="Z16" i="12"/>
  <c r="AA16" i="12"/>
  <c r="AC6" i="12"/>
  <c r="C49" i="5"/>
  <c r="AC3" i="12"/>
  <c r="B49" i="5"/>
  <c r="X7" i="36"/>
  <c r="Z28" i="36"/>
  <c r="AA28" i="36"/>
  <c r="Z29" i="36"/>
  <c r="AA29" i="36"/>
  <c r="Z30" i="36"/>
  <c r="AA30" i="36"/>
  <c r="Z31" i="36"/>
  <c r="AA31" i="36"/>
  <c r="Z32" i="36"/>
  <c r="AA32" i="36"/>
  <c r="Z33" i="36"/>
  <c r="AA33" i="36"/>
  <c r="Z34" i="36"/>
  <c r="AA34" i="36"/>
  <c r="Z35" i="36"/>
  <c r="AA35" i="36"/>
  <c r="Z36" i="36"/>
  <c r="AA36" i="36"/>
  <c r="Z37" i="36"/>
  <c r="AA37" i="36"/>
  <c r="Z38" i="36"/>
  <c r="AA38" i="36"/>
  <c r="Z39" i="36"/>
  <c r="AA39" i="36"/>
  <c r="Z40" i="36"/>
  <c r="AA40" i="36"/>
  <c r="Z41" i="36"/>
  <c r="AA41" i="36"/>
  <c r="Z42" i="36"/>
  <c r="AA42" i="36"/>
  <c r="Z43" i="36"/>
  <c r="AA43" i="36"/>
  <c r="Z44" i="36"/>
  <c r="AA44" i="36"/>
  <c r="Z45" i="36"/>
  <c r="AA45" i="36"/>
  <c r="Z46" i="36"/>
  <c r="AA46" i="36"/>
  <c r="Z47" i="36"/>
  <c r="AA47" i="36"/>
  <c r="Z48" i="36"/>
  <c r="AA48" i="36"/>
  <c r="Z49" i="36"/>
  <c r="AA49" i="36"/>
  <c r="Z50" i="36"/>
  <c r="AA50" i="36"/>
  <c r="Z51" i="36"/>
  <c r="AA51" i="36"/>
  <c r="Z52" i="36"/>
  <c r="AA52" i="36"/>
  <c r="Z53" i="36"/>
  <c r="AA53" i="36"/>
  <c r="Z54" i="36"/>
  <c r="AA54" i="36"/>
  <c r="Z55" i="36"/>
  <c r="AA55" i="36"/>
  <c r="Z56" i="36"/>
  <c r="AA56" i="36"/>
  <c r="Z57" i="36"/>
  <c r="AA57" i="36"/>
  <c r="Z58" i="36"/>
  <c r="AA58" i="36"/>
  <c r="Z60" i="36"/>
  <c r="AA60" i="36"/>
  <c r="Z61" i="36"/>
  <c r="AA61" i="36"/>
  <c r="Z62" i="36"/>
  <c r="AA62" i="36"/>
  <c r="Z63" i="36"/>
  <c r="AA63" i="36"/>
  <c r="Z65" i="36"/>
  <c r="AA65" i="36"/>
  <c r="Z27" i="36"/>
  <c r="AA27" i="36"/>
  <c r="AD6" i="36"/>
  <c r="C50" i="5"/>
  <c r="AD3" i="36"/>
  <c r="B50" i="5"/>
  <c r="X7" i="37"/>
  <c r="Z27" i="37"/>
  <c r="AA27" i="37"/>
  <c r="Z28" i="37"/>
  <c r="AA28" i="37"/>
  <c r="Z29" i="37"/>
  <c r="AA29" i="37"/>
  <c r="Z30" i="37"/>
  <c r="AA30" i="37"/>
  <c r="Z31" i="37"/>
  <c r="AA31" i="37"/>
  <c r="Z32" i="37"/>
  <c r="AA32" i="37"/>
  <c r="Z33" i="37"/>
  <c r="AA33" i="37"/>
  <c r="Z34" i="37"/>
  <c r="AA34" i="37"/>
  <c r="Z35" i="37"/>
  <c r="AA35" i="37"/>
  <c r="Z36" i="37"/>
  <c r="AA36" i="37"/>
  <c r="Z37" i="37"/>
  <c r="AA37" i="37"/>
  <c r="Z38" i="37"/>
  <c r="AA38" i="37"/>
  <c r="Z39" i="37"/>
  <c r="AA39" i="37"/>
  <c r="Z40" i="37"/>
  <c r="AA40" i="37"/>
  <c r="Z41" i="37"/>
  <c r="AA41" i="37"/>
  <c r="Z42" i="37"/>
  <c r="AA42" i="37"/>
  <c r="Z43" i="37"/>
  <c r="AA43" i="37"/>
  <c r="Z44" i="37"/>
  <c r="AA44" i="37"/>
  <c r="Z45" i="37"/>
  <c r="AA45" i="37"/>
  <c r="Z46" i="37"/>
  <c r="AA46" i="37"/>
  <c r="Z47" i="37"/>
  <c r="AA47" i="37"/>
  <c r="Z48" i="37"/>
  <c r="AA48" i="37"/>
  <c r="Z49" i="37"/>
  <c r="AA49" i="37"/>
  <c r="Z50" i="37"/>
  <c r="AA50" i="37"/>
  <c r="Z51" i="37"/>
  <c r="AA51" i="37"/>
  <c r="Z52" i="37"/>
  <c r="AA52" i="37"/>
  <c r="Z53" i="37"/>
  <c r="AA53" i="37"/>
  <c r="Z54" i="37"/>
  <c r="AA54" i="37"/>
  <c r="Z55" i="37"/>
  <c r="AA55" i="37"/>
  <c r="Z56" i="37"/>
  <c r="AA56" i="37"/>
  <c r="Z57" i="37"/>
  <c r="AA57" i="37"/>
  <c r="Z58" i="37"/>
  <c r="AA58" i="37"/>
  <c r="Z59" i="37"/>
  <c r="AA59" i="37"/>
  <c r="Z60" i="37"/>
  <c r="AA60" i="37"/>
  <c r="Z61" i="37"/>
  <c r="AA61" i="37"/>
  <c r="Z63" i="37"/>
  <c r="AA63" i="37"/>
  <c r="Z64" i="37"/>
  <c r="AA64" i="37"/>
  <c r="Z65" i="37"/>
  <c r="AA65" i="37"/>
  <c r="Z66" i="37"/>
  <c r="AA66" i="37"/>
  <c r="Z67" i="37"/>
  <c r="AA67" i="37"/>
  <c r="Z68" i="37"/>
  <c r="AA68" i="37"/>
  <c r="Z69" i="37"/>
  <c r="AA69" i="37"/>
  <c r="Z70" i="37"/>
  <c r="AA70" i="37"/>
  <c r="Z71" i="37"/>
  <c r="AA71" i="37"/>
  <c r="Z72" i="37"/>
  <c r="AA72" i="37"/>
  <c r="Z73" i="37"/>
  <c r="AA73" i="37"/>
  <c r="Z74" i="37"/>
  <c r="AA74" i="37"/>
  <c r="Z75" i="37"/>
  <c r="AA75" i="37"/>
  <c r="Z76" i="37"/>
  <c r="AA76" i="37"/>
  <c r="Z77" i="37"/>
  <c r="AA77" i="37"/>
  <c r="Z78" i="37"/>
  <c r="AA78" i="37"/>
  <c r="Z79" i="37"/>
  <c r="AA79" i="37"/>
  <c r="Z80" i="37"/>
  <c r="AA80" i="37"/>
  <c r="Z81" i="37"/>
  <c r="AA81" i="37"/>
  <c r="Z82" i="37"/>
  <c r="AA82" i="37"/>
  <c r="Z83" i="37"/>
  <c r="AA83" i="37"/>
  <c r="Z84" i="37"/>
  <c r="AA84" i="37"/>
  <c r="Z85" i="37"/>
  <c r="AA85" i="37"/>
  <c r="Z86" i="37"/>
  <c r="AA86" i="37"/>
  <c r="Z87" i="37"/>
  <c r="AA87" i="37"/>
  <c r="Z88" i="37"/>
  <c r="AA88" i="37"/>
  <c r="Z89" i="37"/>
  <c r="AA89" i="37"/>
  <c r="Z90" i="37"/>
  <c r="AA90" i="37"/>
  <c r="Z91" i="37"/>
  <c r="AA91" i="37"/>
  <c r="Z92" i="37"/>
  <c r="AA92" i="37"/>
  <c r="Z93" i="37"/>
  <c r="AA93" i="37"/>
  <c r="Z94" i="37"/>
  <c r="AA94" i="37"/>
  <c r="Z95" i="37"/>
  <c r="AA95" i="37"/>
  <c r="Z96" i="37"/>
  <c r="AA96" i="37"/>
  <c r="Z97" i="37"/>
  <c r="AA97" i="37"/>
  <c r="Z98" i="37"/>
  <c r="AA98" i="37"/>
  <c r="Z99" i="37"/>
  <c r="AA99" i="37"/>
  <c r="Z26" i="37"/>
  <c r="AA26" i="37"/>
  <c r="AD6" i="37"/>
  <c r="C51" i="5"/>
  <c r="AD3" i="37"/>
  <c r="B51" i="5"/>
  <c r="W7" i="14"/>
  <c r="Z17" i="14"/>
  <c r="AA17" i="14"/>
  <c r="Z18" i="14"/>
  <c r="AA18" i="14"/>
  <c r="Z19" i="14"/>
  <c r="AA19" i="14"/>
  <c r="Z20" i="14"/>
  <c r="AA20" i="14"/>
  <c r="Z21" i="14"/>
  <c r="AA21" i="14"/>
  <c r="Z22" i="14"/>
  <c r="AA22" i="14"/>
  <c r="Z23" i="14"/>
  <c r="AA23" i="14"/>
  <c r="Z24" i="14"/>
  <c r="AA24" i="14"/>
  <c r="Z25" i="14"/>
  <c r="AA25" i="14"/>
  <c r="Z26" i="14"/>
  <c r="AA26" i="14"/>
  <c r="Z27" i="14"/>
  <c r="AA27" i="14"/>
  <c r="Z28" i="14"/>
  <c r="AA28" i="14"/>
  <c r="Z29" i="14"/>
  <c r="AA29" i="14"/>
  <c r="Z30" i="14"/>
  <c r="AA30" i="14"/>
  <c r="Z31" i="14"/>
  <c r="AA31" i="14"/>
  <c r="Z32" i="14"/>
  <c r="AA32" i="14"/>
  <c r="Z33" i="14"/>
  <c r="AA33" i="14"/>
  <c r="Z34" i="14"/>
  <c r="AA34" i="14"/>
  <c r="Z35" i="14"/>
  <c r="AA35" i="14"/>
  <c r="Z36" i="14"/>
  <c r="AA36" i="14"/>
  <c r="Z37" i="14"/>
  <c r="AA37" i="14"/>
  <c r="Z38" i="14"/>
  <c r="AA38" i="14"/>
  <c r="Z39" i="14"/>
  <c r="AA39" i="14"/>
  <c r="Z40" i="14"/>
  <c r="AA40" i="14"/>
  <c r="Z41" i="14"/>
  <c r="AA41" i="14"/>
  <c r="Z42" i="14"/>
  <c r="AA42" i="14"/>
  <c r="Z43" i="14"/>
  <c r="AA43" i="14"/>
  <c r="Z44" i="14"/>
  <c r="AA44" i="14"/>
  <c r="Z45" i="14"/>
  <c r="AA45" i="14"/>
  <c r="Z16" i="14"/>
  <c r="AA16" i="14"/>
  <c r="AB6" i="14"/>
  <c r="C52" i="5"/>
  <c r="C42" i="5" a="1"/>
  <c r="C42" i="5"/>
  <c r="AB3" i="14"/>
  <c r="B52" i="5"/>
  <c r="AC8" i="12"/>
  <c r="AD8" i="12"/>
  <c r="AD7" i="12"/>
  <c r="AD8" i="36"/>
  <c r="AE8" i="36"/>
  <c r="AE7" i="36"/>
  <c r="Z26" i="36"/>
  <c r="AA26" i="36"/>
  <c r="AD8" i="37"/>
  <c r="AE8" i="37"/>
  <c r="AE7" i="37"/>
  <c r="AC7" i="14"/>
  <c r="AB8" i="14"/>
  <c r="AC8" i="14"/>
  <c r="E17" i="5" a="1"/>
  <c r="E17" i="5"/>
  <c r="G49" i="5"/>
  <c r="B66" i="5"/>
  <c r="G50" i="5"/>
  <c r="C67" i="5"/>
  <c r="G51" i="5"/>
  <c r="D68" i="5"/>
  <c r="G52" i="5"/>
  <c r="E69" i="5"/>
  <c r="B83" i="5" a="1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C99" i="5" a="1"/>
  <c r="C102" i="5"/>
  <c r="C101" i="5"/>
  <c r="C100" i="5"/>
  <c r="C99" i="5"/>
  <c r="G78" i="5" a="1"/>
  <c r="G78" i="5"/>
  <c r="J53" i="5" a="1"/>
  <c r="J53" i="5"/>
  <c r="J54" i="5"/>
  <c r="I53" i="5" a="1"/>
  <c r="I53" i="5"/>
  <c r="I54" i="5"/>
  <c r="K53" i="5" a="1"/>
  <c r="K53" i="5"/>
  <c r="K54" i="5"/>
  <c r="L53" i="5" a="1"/>
  <c r="L53" i="5"/>
  <c r="L54" i="5"/>
  <c r="J55" i="5"/>
  <c r="K55" i="5"/>
  <c r="L55" i="5"/>
  <c r="I55" i="5"/>
  <c r="M53" i="5" a="1"/>
  <c r="M53" i="5"/>
  <c r="E99" i="5"/>
  <c r="E100" i="5"/>
  <c r="E101" i="5"/>
  <c r="E102" i="5"/>
  <c r="C7" i="5" a="1"/>
  <c r="C7" i="5"/>
  <c r="K18" i="33"/>
  <c r="C19" i="33"/>
  <c r="AE6" i="37"/>
  <c r="H5" i="33"/>
  <c r="G5" i="33"/>
  <c r="I5" i="33"/>
  <c r="AE6" i="36"/>
  <c r="H4" i="33"/>
  <c r="G4" i="33"/>
  <c r="I4" i="33"/>
  <c r="AC6" i="14"/>
  <c r="H6" i="33"/>
  <c r="G6" i="33"/>
  <c r="I6" i="33"/>
  <c r="AD6" i="12"/>
  <c r="H3" i="33"/>
  <c r="G3" i="33"/>
  <c r="I3" i="33"/>
  <c r="C43" i="5" a="1"/>
  <c r="C43" i="5"/>
  <c r="C41" i="5" a="1"/>
  <c r="C41" i="5"/>
  <c r="D43" i="5"/>
  <c r="K3" i="5"/>
  <c r="D99" i="5"/>
  <c r="F99" i="5"/>
  <c r="D100" i="5"/>
  <c r="F100" i="5"/>
  <c r="D101" i="5"/>
  <c r="F101" i="5"/>
  <c r="D102" i="5"/>
  <c r="F102" i="5"/>
  <c r="C44" i="5"/>
  <c r="E41" i="5"/>
  <c r="D42" i="5"/>
  <c r="C45" i="5" a="1"/>
  <c r="C45" i="5"/>
</calcChain>
</file>

<file path=xl/connections.xml><?xml version="1.0" encoding="utf-8"?>
<connections xmlns="http://schemas.openxmlformats.org/spreadsheetml/2006/main">
  <connection id="1" name="Connection3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onnection31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onnection311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Connection3111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Connection31111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Connection311111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Connection3111111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8" name="Connection31111111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Connection311111111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Connection3111111111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11" name="Connection32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12" name="Connection321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13" name="Connection3211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14" name="Connection32111" type="6" refreshedVersion="0" background="1" saveData="1">
    <textPr fileType="mac" sourceFile="Macintosh HD:Users:noahmclean:MIT:MassSpecLab:Natural U Standards Paper:Data:NIGL:U500 IC 1a U4568 stat fast U500.txt">
      <textFields count="8">
        <textField/>
        <textField/>
        <textField/>
        <textField/>
        <textField/>
        <textField/>
        <textField/>
        <textField/>
      </textFields>
    </textPr>
  </connection>
  <connection id="15" name="U500_16a U3568 stat fast U500" type="6" refreshedVersion="0" background="1" saveData="1">
    <textPr fileType="mac" sourceFile="Macintosh HD:Users:noahmclean:MIT:MassSpecLab:Natural U Standards Paper:Data:NIGL:U500_16a U3568 stat fast U500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U500_16a U3568 stat fast U5003" type="6" refreshedVersion="0" background="1" saveData="1">
    <textPr fileType="mac" sourceFile="Macintosh HD:Users:noahmclean:MIT:MassSpecLab:Natural U Standards Paper:Data:NIGL:U500_16a U3568 stat fast U500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U500_16a U3568 stat fast U50031" type="6" refreshedVersion="0" background="1" saveData="1">
    <textPr fileType="mac" sourceFile="Macintosh HD:Users:noahmclean:MIT:MassSpecLab:Natural U Standards Paper:Data:NIGL:U500_16a U3568 stat fast U500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U500_16a U3568 stat fast U500311" type="6" refreshedVersion="0" background="1" saveData="1">
    <textPr fileType="mac" sourceFile="Macintosh HD:Users:noahmclean:MIT:MassSpecLab:Natural U Standards Paper:Data:NIGL:U500_16a U3568 stat fast U500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U500_16a U3568 stat fast U5003111" type="6" refreshedVersion="0" background="1" saveData="1">
    <textPr fileType="mac" sourceFile="Macintosh HD:Users:noahmclean:MIT:MassSpecLab:Natural U Standards Paper:Data:NIGL:U500_16a U3568 stat fast U500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U500_16a U3568 stat fast U50031111" type="6" refreshedVersion="0" background="1" saveData="1">
    <textPr fileType="mac" sourceFile="Macintosh HD:Users:noahmclean:MIT:MassSpecLab:Natural U Standards Paper:Data:NIGL:U500_16a U3568 stat fast U500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U500_16a U3568 stat fast U500311111" type="6" refreshedVersion="0" background="1" saveData="1">
    <textPr fileType="mac" sourceFile="Macintosh HD:Users:noahmclean:MIT:MassSpecLab:Natural U Standards Paper:Data:NIGL:U500_16a U3568 stat fast U500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U500_16a U3568 stat fast U5004" type="6" refreshedVersion="0" background="1" saveData="1">
    <textPr fileType="mac" sourceFile="Macintosh HD:Users:noahmclean:MIT:MassSpecLab:Natural U Standards Paper:Data:NIGL:U500_16a U3568 stat fast U500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U500_16a U3568 stat fast U50041" type="6" refreshedVersion="0" background="1" saveData="1">
    <textPr fileType="mac" sourceFile="Macintosh HD:Users:noahmclean:MIT:MassSpecLab:Natural U Standards Paper:Data:NIGL:U500_16a U3568 stat fast U500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<sst xmlns="http://schemas.openxmlformats.org/spreadsheetml/2006/main" count="765" uniqueCount="177">
  <si>
    <r>
      <t>235</t>
    </r>
    <r>
      <rPr>
        <sz val="11"/>
        <rFont val="Times New Roman"/>
        <family val="1"/>
      </rPr>
      <t>U (V) (1)</t>
    </r>
  </si>
  <si>
    <r>
      <t>233</t>
    </r>
    <r>
      <rPr>
        <sz val="11"/>
        <rFont val="Times New Roman"/>
        <family val="1"/>
      </rPr>
      <t>U/</t>
    </r>
    <r>
      <rPr>
        <vertAlign val="superscript"/>
        <sz val="11"/>
        <rFont val="Times New Roman"/>
        <family val="1"/>
      </rPr>
      <t>235</t>
    </r>
    <r>
      <rPr>
        <sz val="11"/>
        <rFont val="Times New Roman"/>
        <family val="1"/>
      </rPr>
      <t>U (2)</t>
    </r>
  </si>
  <si>
    <r>
      <t>236</t>
    </r>
    <r>
      <rPr>
        <sz val="11"/>
        <rFont val="Times New Roman"/>
        <family val="1"/>
      </rPr>
      <t>U/</t>
    </r>
    <r>
      <rPr>
        <vertAlign val="superscript"/>
        <sz val="11"/>
        <rFont val="Times New Roman"/>
        <family val="1"/>
      </rPr>
      <t>235</t>
    </r>
    <r>
      <rPr>
        <sz val="11"/>
        <rFont val="Times New Roman"/>
        <family val="1"/>
      </rPr>
      <t>U (2)</t>
    </r>
  </si>
  <si>
    <t>(change cells above to link to C75)</t>
    <phoneticPr fontId="10" type="noConversion"/>
  </si>
  <si>
    <t>CRM115 238/235</t>
    <phoneticPr fontId="10" type="noConversion"/>
  </si>
  <si>
    <t xml:space="preserve">Comment: </t>
  </si>
  <si>
    <t>Cycle</t>
  </si>
  <si>
    <t>Time</t>
  </si>
  <si>
    <t>3:235U</t>
  </si>
  <si>
    <t>3:238U</t>
  </si>
  <si>
    <t>233/236</t>
    <phoneticPr fontId="10" type="noConversion"/>
  </si>
  <si>
    <t>238/236</t>
    <phoneticPr fontId="10" type="noConversion"/>
  </si>
  <si>
    <t>Cycle 1</t>
  </si>
  <si>
    <t>Cycle 2</t>
  </si>
  <si>
    <t>Cycle 3</t>
  </si>
  <si>
    <t>formatted text:</t>
    <phoneticPr fontId="10" type="noConversion"/>
  </si>
  <si>
    <t>formatted text:</t>
    <phoneticPr fontId="10" type="noConversion"/>
  </si>
  <si>
    <r>
      <t>236</t>
    </r>
    <r>
      <rPr>
        <b/>
        <sz val="11"/>
        <rFont val="Times New Roman"/>
        <family val="1"/>
      </rPr>
      <t>U/</t>
    </r>
    <r>
      <rPr>
        <b/>
        <vertAlign val="superscript"/>
        <sz val="11"/>
        <rFont val="Times New Roman"/>
      </rPr>
      <t>235</t>
    </r>
    <r>
      <rPr>
        <b/>
        <sz val="11"/>
        <rFont val="Times New Roman"/>
        <family val="1"/>
      </rPr>
      <t xml:space="preserve">U </t>
    </r>
    <phoneticPr fontId="10" type="noConversion"/>
  </si>
  <si>
    <r>
      <t>238</t>
    </r>
    <r>
      <rPr>
        <sz val="11"/>
        <rFont val="Times New Roman"/>
        <family val="1"/>
      </rPr>
      <t>U/</t>
    </r>
    <r>
      <rPr>
        <vertAlign val="superscript"/>
        <sz val="11"/>
        <rFont val="Times New Roman"/>
        <family val="1"/>
      </rPr>
      <t>235</t>
    </r>
    <r>
      <rPr>
        <sz val="11"/>
        <rFont val="Times New Roman"/>
        <family val="1"/>
      </rPr>
      <t>U (2)</t>
    </r>
    <phoneticPr fontId="10" type="noConversion"/>
  </si>
  <si>
    <r>
      <t>236</t>
    </r>
    <r>
      <rPr>
        <b/>
        <sz val="11"/>
        <rFont val="Times New Roman"/>
        <family val="1"/>
      </rPr>
      <t>U/</t>
    </r>
    <r>
      <rPr>
        <b/>
        <vertAlign val="superscript"/>
        <sz val="11"/>
        <rFont val="Times New Roman"/>
      </rPr>
      <t>235</t>
    </r>
    <r>
      <rPr>
        <b/>
        <sz val="11"/>
        <rFont val="Times New Roman"/>
        <family val="1"/>
      </rPr>
      <t>U</t>
    </r>
    <phoneticPr fontId="10" type="noConversion"/>
  </si>
  <si>
    <r>
      <t>238</t>
    </r>
    <r>
      <rPr>
        <b/>
        <sz val="11"/>
        <rFont val="Times New Roman"/>
        <family val="1"/>
      </rPr>
      <t>U/</t>
    </r>
    <r>
      <rPr>
        <b/>
        <vertAlign val="superscript"/>
        <sz val="11"/>
        <rFont val="Times New Roman"/>
      </rPr>
      <t>235</t>
    </r>
    <r>
      <rPr>
        <b/>
        <sz val="11"/>
        <rFont val="Times New Roman"/>
        <family val="1"/>
      </rPr>
      <t>U</t>
    </r>
    <phoneticPr fontId="10" type="noConversion"/>
  </si>
  <si>
    <r>
      <t>238</t>
    </r>
    <r>
      <rPr>
        <b/>
        <sz val="11"/>
        <rFont val="Times New Roman"/>
        <family val="1"/>
      </rPr>
      <t>U/</t>
    </r>
    <r>
      <rPr>
        <b/>
        <vertAlign val="superscript"/>
        <sz val="11"/>
        <rFont val="Times New Roman"/>
      </rPr>
      <t>235</t>
    </r>
    <r>
      <rPr>
        <b/>
        <sz val="11"/>
        <rFont val="Times New Roman"/>
        <family val="1"/>
      </rPr>
      <t>U (3)</t>
    </r>
  </si>
  <si>
    <r>
      <t>236</t>
    </r>
    <r>
      <rPr>
        <b/>
        <sz val="11"/>
        <rFont val="Times New Roman"/>
        <family val="1"/>
      </rPr>
      <t>U/</t>
    </r>
    <r>
      <rPr>
        <b/>
        <vertAlign val="superscript"/>
        <sz val="11"/>
        <rFont val="Times New Roman"/>
      </rPr>
      <t>235</t>
    </r>
    <r>
      <rPr>
        <b/>
        <sz val="11"/>
        <rFont val="Times New Roman"/>
        <family val="1"/>
      </rPr>
      <t>U (3)</t>
    </r>
    <phoneticPr fontId="10" type="noConversion"/>
  </si>
  <si>
    <t>± 1σ abs (f-c)</t>
    <phoneticPr fontId="10" type="noConversion"/>
  </si>
  <si>
    <t>corrected</t>
    <phoneticPr fontId="10" type="noConversion"/>
  </si>
  <si>
    <t>±1σ internal</t>
  </si>
  <si>
    <t>wtd mean deriv:</t>
    <phoneticPr fontId="10" type="noConversion"/>
  </si>
  <si>
    <t>(total) variance of mean</t>
    <phoneticPr fontId="10" type="noConversion"/>
  </si>
  <si>
    <t>(total) variance of mean</t>
    <phoneticPr fontId="10" type="noConversion"/>
  </si>
  <si>
    <t>IC D</t>
  </si>
  <si>
    <t>IC E</t>
  </si>
  <si>
    <t>IC F</t>
  </si>
  <si>
    <t>ID 1</t>
  </si>
  <si>
    <t>ID 2</t>
  </si>
  <si>
    <t>ID 3</t>
  </si>
  <si>
    <t>ID 4</t>
  </si>
  <si>
    <t>E</t>
  </si>
  <si>
    <t>F</t>
  </si>
  <si>
    <r>
      <t>236</t>
    </r>
    <r>
      <rPr>
        <sz val="11"/>
        <rFont val="Times New Roman"/>
        <family val="1"/>
      </rPr>
      <t>U (V)</t>
    </r>
  </si>
  <si>
    <t>total MSWD</t>
    <phoneticPr fontId="10" type="noConversion"/>
  </si>
  <si>
    <t>236/235 fc</t>
  </si>
  <si>
    <t>±1σ external</t>
  </si>
  <si>
    <t>238/235m</t>
  </si>
  <si>
    <t>±1σ total</t>
  </si>
  <si>
    <t>236/235m</t>
  </si>
  <si>
    <t>d^2*σ^2</t>
  </si>
  <si>
    <t>average:</t>
  </si>
  <si>
    <t>derivative</t>
  </si>
  <si>
    <t>233/235 S2</t>
  </si>
  <si>
    <t>236/235 S3</t>
  </si>
  <si>
    <t>238/235 S3</t>
  </si>
  <si>
    <t>alpha</t>
  </si>
  <si>
    <t>238/235 true</t>
  </si>
  <si>
    <t>d85_d36t</t>
  </si>
  <si>
    <t>d85_d56t</t>
  </si>
  <si>
    <t>d85_d86t</t>
  </si>
  <si>
    <t>d85_d65m2</t>
  </si>
  <si>
    <t>d85_d85m2</t>
  </si>
  <si>
    <t>denominator</t>
  </si>
  <si>
    <t>Sample Cov Mat.</t>
    <phoneticPr fontId="10" type="noConversion"/>
  </si>
  <si>
    <t>Inverse Cov Mat.</t>
    <phoneticPr fontId="10" type="noConversion"/>
  </si>
  <si>
    <t>Unity Vector</t>
    <phoneticPr fontId="10" type="noConversion"/>
  </si>
  <si>
    <t>α</t>
    <phoneticPr fontId="10" type="noConversion"/>
  </si>
  <si>
    <t>residuals</t>
    <phoneticPr fontId="10" type="noConversion"/>
  </si>
  <si>
    <r>
      <t>1/σ</t>
    </r>
    <r>
      <rPr>
        <vertAlign val="subscript"/>
        <sz val="11"/>
        <color indexed="8"/>
        <rFont val="Calibri"/>
      </rPr>
      <t>i</t>
    </r>
    <r>
      <rPr>
        <sz val="10"/>
        <rFont val="Verdana"/>
      </rPr>
      <t>^2</t>
    </r>
    <phoneticPr fontId="10" type="noConversion"/>
  </si>
  <si>
    <r>
      <t>Δx</t>
    </r>
    <r>
      <rPr>
        <vertAlign val="subscript"/>
        <sz val="11"/>
        <color indexed="8"/>
        <rFont val="Calibri"/>
      </rPr>
      <t>i</t>
    </r>
    <r>
      <rPr>
        <sz val="10"/>
        <rFont val="Verdana"/>
      </rPr>
      <t>^2/σ</t>
    </r>
    <r>
      <rPr>
        <vertAlign val="subscript"/>
        <sz val="11"/>
        <color indexed="8"/>
        <rFont val="Calibri"/>
      </rPr>
      <t>i</t>
    </r>
    <r>
      <rPr>
        <sz val="10"/>
        <rFont val="Verdana"/>
      </rPr>
      <t>^2</t>
    </r>
    <phoneticPr fontId="10" type="noConversion"/>
  </si>
  <si>
    <t>Sample</t>
    <phoneticPr fontId="10" type="noConversion"/>
  </si>
  <si>
    <t>Filename: C:\Triton\User\NIGL\Data\NIGFSC\Condon - 137point88\U500\U500_16a U3568 stat fast U500.dat</t>
  </si>
  <si>
    <t>Date: 16/02/2010</t>
  </si>
  <si>
    <t xml:space="preserve">Sample ID: </t>
  </si>
  <si>
    <t xml:space="preserve">Method Name: </t>
  </si>
  <si>
    <r>
      <t>238</t>
    </r>
    <r>
      <rPr>
        <sz val="11"/>
        <rFont val="Times New Roman"/>
        <family val="1"/>
      </rPr>
      <t>U/</t>
    </r>
    <r>
      <rPr>
        <vertAlign val="superscript"/>
        <sz val="11"/>
        <rFont val="Times New Roman"/>
        <family val="1"/>
      </rPr>
      <t>235</t>
    </r>
    <r>
      <rPr>
        <sz val="11"/>
        <rFont val="Times New Roman"/>
        <family val="1"/>
      </rPr>
      <t>U (2)</t>
    </r>
  </si>
  <si>
    <t>238/235 S1</t>
    <phoneticPr fontId="10" type="noConversion"/>
  </si>
  <si>
    <t>236/235 S1</t>
    <phoneticPr fontId="10" type="noConversion"/>
  </si>
  <si>
    <t>234/235 S2</t>
    <phoneticPr fontId="10" type="noConversion"/>
  </si>
  <si>
    <t>alphaU</t>
    <phoneticPr fontId="10" type="noConversion"/>
  </si>
  <si>
    <t>236/235 fc</t>
    <phoneticPr fontId="10" type="noConversion"/>
  </si>
  <si>
    <t>measured</t>
    <phoneticPr fontId="10" type="noConversion"/>
  </si>
  <si>
    <t>238/235</t>
    <phoneticPr fontId="10" type="noConversion"/>
  </si>
  <si>
    <t>236/235</t>
    <phoneticPr fontId="10" type="noConversion"/>
  </si>
  <si>
    <t>measured</t>
    <phoneticPr fontId="10" type="noConversion"/>
  </si>
  <si>
    <t>Triton Analysis Data Report</t>
  </si>
  <si>
    <t>Run-Number-View</t>
  </si>
  <si>
    <t>238/235 corr</t>
  </si>
  <si>
    <t>238/236</t>
  </si>
  <si>
    <t>(abs)</t>
  </si>
  <si>
    <t>(ppm)</t>
  </si>
  <si>
    <t>Solution</t>
  </si>
  <si>
    <t>± 1σ</t>
  </si>
  <si>
    <t>mean</t>
    <phoneticPr fontId="10" type="noConversion"/>
  </si>
  <si>
    <t>2-sigma meas</t>
    <phoneticPr fontId="10" type="noConversion"/>
  </si>
  <si>
    <t>2-sigma total</t>
    <phoneticPr fontId="10" type="noConversion"/>
  </si>
  <si>
    <t>MSWD</t>
    <phoneticPr fontId="10" type="noConversion"/>
  </si>
  <si>
    <t>IRMM 3636</t>
  </si>
  <si>
    <t>value</t>
  </si>
  <si>
    <t>±1σ abs</t>
  </si>
  <si>
    <t>±1σ (ppm)</t>
  </si>
  <si>
    <t>233/236</t>
  </si>
  <si>
    <t>235/236</t>
  </si>
  <si>
    <t xml:space="preserve">236/235 </t>
    <phoneticPr fontId="10" type="noConversion"/>
  </si>
  <si>
    <t>d65_d85t</t>
    <phoneticPr fontId="10" type="noConversion"/>
  </si>
  <si>
    <t>d65m_d85t</t>
    <phoneticPr fontId="10" type="noConversion"/>
  </si>
  <si>
    <t>± 2SE (ppm)</t>
    <phoneticPr fontId="10" type="noConversion"/>
  </si>
  <si>
    <t>average</t>
    <phoneticPr fontId="10" type="noConversion"/>
  </si>
  <si>
    <t>238/235</t>
    <phoneticPr fontId="10" type="noConversion"/>
  </si>
  <si>
    <t>Measurement Uncertainty</t>
    <phoneticPr fontId="10" type="noConversion"/>
  </si>
  <si>
    <t>Tracer Uncertainty</t>
    <phoneticPr fontId="10" type="noConversion"/>
  </si>
  <si>
    <t>Total Uncertainty</t>
    <phoneticPr fontId="10" type="noConversion"/>
  </si>
  <si>
    <t>±1σ internal (abs)</t>
    <phoneticPr fontId="10" type="noConversion"/>
  </si>
  <si>
    <t>±1σ external (abs)</t>
    <phoneticPr fontId="10" type="noConversion"/>
  </si>
  <si>
    <t>r85m</t>
    <phoneticPr fontId="10" type="noConversion"/>
  </si>
  <si>
    <t>r35m</t>
    <phoneticPr fontId="10" type="noConversion"/>
  </si>
  <si>
    <t>r65m</t>
    <phoneticPr fontId="10" type="noConversion"/>
  </si>
  <si>
    <t>Meas. Unct</t>
    <phoneticPr fontId="10" type="noConversion"/>
  </si>
  <si>
    <t>Total Unct</t>
    <phoneticPr fontId="10" type="noConversion"/>
  </si>
  <si>
    <t>± 1σ (abs)</t>
    <phoneticPr fontId="10" type="noConversion"/>
  </si>
  <si>
    <t>238/235</t>
    <phoneticPr fontId="10" type="noConversion"/>
  </si>
  <si>
    <t>Sample Cov. Mat.</t>
    <phoneticPr fontId="10" type="noConversion"/>
  </si>
  <si>
    <t>Inverse CovMat</t>
    <phoneticPr fontId="10" type="noConversion"/>
  </si>
  <si>
    <t>d45m_d85t</t>
    <phoneticPr fontId="10" type="noConversion"/>
  </si>
  <si>
    <t>234/235 fc</t>
    <phoneticPr fontId="10" type="noConversion"/>
  </si>
  <si>
    <t>corrected</t>
    <phoneticPr fontId="10" type="noConversion"/>
  </si>
  <si>
    <t>Filename: C:\Triton\User\NIGL\Data\NIGFSC\Condon - 137point88\U500\U500 IC\U500 IC 1a U4568 stat fast U500.dat</t>
  </si>
  <si>
    <t>Date: 17/02/2010</t>
  </si>
  <si>
    <t>Analysis date: 17/02/2010</t>
  </si>
  <si>
    <t>Analysis time: 18:43:05</t>
  </si>
  <si>
    <t>average</t>
    <phoneticPr fontId="10" type="noConversion"/>
  </si>
  <si>
    <t>1 std error</t>
    <phoneticPr fontId="10" type="noConversion"/>
  </si>
  <si>
    <t>Weighted Mean:</t>
    <phoneticPr fontId="10" type="noConversion"/>
  </si>
  <si>
    <t>IRMM 3636</t>
    <phoneticPr fontId="10" type="noConversion"/>
  </si>
  <si>
    <t>value</t>
    <phoneticPr fontId="10" type="noConversion"/>
  </si>
  <si>
    <t>±1σ abs</t>
    <phoneticPr fontId="10" type="noConversion"/>
  </si>
  <si>
    <t>±1σ (ppm)</t>
    <phoneticPr fontId="10" type="noConversion"/>
  </si>
  <si>
    <t xml:space="preserve">Wheel ID: </t>
  </si>
  <si>
    <t>Run number: 0</t>
  </si>
  <si>
    <t>Analysis date: 16/02/2010</t>
  </si>
  <si>
    <t>Analysis time: 20:19:57</t>
  </si>
  <si>
    <t xml:space="preserve">Operator: </t>
  </si>
  <si>
    <t xml:space="preserve">Instrument: </t>
  </si>
  <si>
    <t>CRM 115 236/235</t>
    <phoneticPr fontId="10" type="noConversion"/>
  </si>
  <si>
    <t>wtd. average:</t>
    <phoneticPr fontId="10" type="noConversion"/>
  </si>
  <si>
    <t>variance contr.</t>
    <phoneticPr fontId="10" type="noConversion"/>
  </si>
  <si>
    <t>% var. contr.</t>
    <phoneticPr fontId="10" type="noConversion"/>
  </si>
  <si>
    <t>±2σ (abs) meas:</t>
    <phoneticPr fontId="10" type="noConversion"/>
  </si>
  <si>
    <t>233/236</t>
    <phoneticPr fontId="10" type="noConversion"/>
  </si>
  <si>
    <t>±2σ (abs) total:</t>
    <phoneticPr fontId="10" type="noConversion"/>
  </si>
  <si>
    <t>235/236</t>
    <phoneticPr fontId="10" type="noConversion"/>
  </si>
  <si>
    <t>MSWD meas:</t>
    <phoneticPr fontId="10" type="noConversion"/>
  </si>
  <si>
    <t>MSWD total:</t>
    <phoneticPr fontId="10" type="noConversion"/>
  </si>
  <si>
    <t>average (ppm):</t>
  </si>
  <si>
    <t>average:</t>
    <phoneticPr fontId="4" type="noConversion"/>
  </si>
  <si>
    <t>average:</t>
    <phoneticPr fontId="9" type="noConversion"/>
  </si>
  <si>
    <t>Cycle 4</t>
  </si>
  <si>
    <t>1: 234.54</t>
  </si>
  <si>
    <t>1: 235.54</t>
  </si>
  <si>
    <t>1: 236.54</t>
  </si>
  <si>
    <t>1: 232.54</t>
  </si>
  <si>
    <t>1: 233.54</t>
  </si>
  <si>
    <t>3:233U</t>
  </si>
  <si>
    <t>3:234U</t>
  </si>
  <si>
    <t>1:237.041</t>
  </si>
  <si>
    <t>4:235U</t>
  </si>
  <si>
    <t>4:236U</t>
  </si>
  <si>
    <t>4:238U</t>
  </si>
  <si>
    <t>238/235 S4</t>
  </si>
  <si>
    <t>236/235 S4</t>
  </si>
  <si>
    <t>233/235 S3</t>
  </si>
  <si>
    <t>CRM 115</t>
  </si>
  <si>
    <t>Old 'certificate' values:</t>
  </si>
  <si>
    <t>± 2SE (abs)</t>
  </si>
  <si>
    <t>CRM 115 238/235</t>
  </si>
  <si>
    <t>IC A</t>
  </si>
  <si>
    <t>IC B</t>
  </si>
  <si>
    <t>2-sigma meas</t>
  </si>
  <si>
    <t>with IRMM 3636</t>
  </si>
  <si>
    <t>uncertainties</t>
  </si>
  <si>
    <t>for internal normalization: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</si>
</sst>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8" formatCode="0.000000"/>
    <numFmt numFmtId="169" formatCode="0.0000000"/>
    <numFmt numFmtId="170" formatCode="0.00000000"/>
    <numFmt numFmtId="171" formatCode="0.0000"/>
    <numFmt numFmtId="172" formatCode="0.000"/>
    <numFmt numFmtId="173" formatCode="0.000000000"/>
    <numFmt numFmtId="174" formatCode="0.000E+00"/>
    <numFmt numFmtId="175" formatCode="0.0000E+00"/>
    <numFmt numFmtId="176" formatCode="0.0"/>
    <numFmt numFmtId="177" formatCode="\(0\ &quot;ppm)&quot;"/>
    <numFmt numFmtId="181" formatCode="0.00000"/>
  </numFmts>
  <fonts count="42">
    <font>
      <sz val="10"/>
      <name val="Verdana"/>
    </font>
    <font>
      <i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1"/>
      <color indexed="8"/>
      <name val="Calibri"/>
      <family val="2"/>
    </font>
    <font>
      <b/>
      <u/>
      <sz val="11"/>
      <color indexed="8"/>
      <name val="Calibri"/>
    </font>
    <font>
      <b/>
      <sz val="11"/>
      <color indexed="21"/>
      <name val="Calibri"/>
      <family val="2"/>
    </font>
    <font>
      <b/>
      <sz val="10"/>
      <color indexed="58"/>
      <name val="Verdana"/>
    </font>
    <font>
      <sz val="10"/>
      <name val="Arial"/>
    </font>
    <font>
      <strike/>
      <sz val="10"/>
      <name val="Verdana"/>
    </font>
    <font>
      <b/>
      <sz val="11"/>
      <color indexed="58"/>
      <name val="Calibri"/>
    </font>
    <font>
      <sz val="11"/>
      <name val="Calibri"/>
    </font>
    <font>
      <vertAlign val="subscript"/>
      <sz val="11"/>
      <color indexed="8"/>
      <name val="Calibri"/>
    </font>
    <font>
      <sz val="11"/>
      <name val="Arial"/>
      <family val="2"/>
    </font>
    <font>
      <b/>
      <sz val="11"/>
      <name val="Times New Roman"/>
      <family val="1"/>
    </font>
    <font>
      <vertAlign val="superscript"/>
      <sz val="11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i/>
      <sz val="11"/>
      <name val="Arial"/>
    </font>
    <font>
      <b/>
      <vertAlign val="superscript"/>
      <sz val="11"/>
      <name val="Times New Roman"/>
    </font>
    <font>
      <b/>
      <sz val="12"/>
      <color indexed="10"/>
      <name val="Calibri"/>
    </font>
    <font>
      <sz val="11"/>
      <color rgb="FFC0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</font>
    <font>
      <b/>
      <i/>
      <sz val="10"/>
      <name val="Verdana"/>
    </font>
    <font>
      <b/>
      <sz val="11"/>
      <color rgb="FF00B050"/>
      <name val="Times New Roman"/>
      <family val="1"/>
    </font>
    <font>
      <sz val="10"/>
      <color rgb="FF00B050"/>
      <name val="Verdana"/>
      <family val="2"/>
    </font>
    <font>
      <strike/>
      <sz val="10"/>
      <name val="Cambria"/>
      <family val="1"/>
    </font>
    <font>
      <b/>
      <sz val="10"/>
      <color indexed="10"/>
      <name val="Verdana"/>
    </font>
    <font>
      <sz val="11"/>
      <name val="Cambria"/>
      <family val="1"/>
    </font>
    <font>
      <strike/>
      <sz val="10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5" fillId="0" borderId="0"/>
    <xf numFmtId="0" fontId="23" fillId="0" borderId="0"/>
  </cellStyleXfs>
  <cellXfs count="168">
    <xf numFmtId="0" fontId="0" fillId="0" borderId="0" xfId="0"/>
    <xf numFmtId="11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1" fillId="0" borderId="0" xfId="0" applyFont="1"/>
    <xf numFmtId="1" fontId="0" fillId="0" borderId="0" xfId="0" applyNumberFormat="1"/>
    <xf numFmtId="0" fontId="12" fillId="0" borderId="0" xfId="0" applyFont="1"/>
    <xf numFmtId="171" fontId="0" fillId="0" borderId="0" xfId="0" applyNumberFormat="1"/>
    <xf numFmtId="0" fontId="13" fillId="0" borderId="0" xfId="0" applyFont="1"/>
    <xf numFmtId="173" fontId="0" fillId="0" borderId="0" xfId="0" applyNumberFormat="1"/>
    <xf numFmtId="174" fontId="0" fillId="0" borderId="0" xfId="0" applyNumberFormat="1"/>
    <xf numFmtId="0" fontId="9" fillId="0" borderId="0" xfId="0" applyFont="1"/>
    <xf numFmtId="0" fontId="14" fillId="0" borderId="0" xfId="0" applyFont="1"/>
    <xf numFmtId="2" fontId="11" fillId="0" borderId="0" xfId="0" applyNumberFormat="1" applyFont="1"/>
    <xf numFmtId="0" fontId="0" fillId="0" borderId="0" xfId="0" applyBorder="1"/>
    <xf numFmtId="0" fontId="0" fillId="0" borderId="1" xfId="0" applyBorder="1"/>
    <xf numFmtId="172" fontId="0" fillId="0" borderId="0" xfId="0" applyNumberFormat="1" applyBorder="1"/>
    <xf numFmtId="0" fontId="0" fillId="0" borderId="0" xfId="0" applyAlignment="1">
      <alignment horizontal="right"/>
    </xf>
    <xf numFmtId="0" fontId="16" fillId="0" borderId="0" xfId="0" applyFont="1"/>
    <xf numFmtId="169" fontId="0" fillId="0" borderId="0" xfId="0" applyNumberFormat="1" applyBorder="1"/>
    <xf numFmtId="169" fontId="16" fillId="0" borderId="0" xfId="0" applyNumberFormat="1" applyFont="1" applyBorder="1"/>
    <xf numFmtId="0" fontId="0" fillId="2" borderId="0" xfId="0" applyFill="1"/>
    <xf numFmtId="172" fontId="0" fillId="2" borderId="0" xfId="0" applyNumberFormat="1" applyFill="1" applyBorder="1"/>
    <xf numFmtId="2" fontId="11" fillId="2" borderId="0" xfId="0" applyNumberFormat="1" applyFont="1" applyFill="1"/>
    <xf numFmtId="168" fontId="13" fillId="0" borderId="0" xfId="0" applyNumberFormat="1" applyFont="1"/>
    <xf numFmtId="168" fontId="11" fillId="0" borderId="0" xfId="0" applyNumberFormat="1" applyFont="1"/>
    <xf numFmtId="1" fontId="11" fillId="0" borderId="0" xfId="0" applyNumberFormat="1" applyFont="1"/>
    <xf numFmtId="168" fontId="0" fillId="0" borderId="3" xfId="0" applyNumberFormat="1" applyBorder="1"/>
    <xf numFmtId="168" fontId="0" fillId="0" borderId="0" xfId="0" applyNumberFormat="1" applyBorder="1"/>
    <xf numFmtId="0" fontId="0" fillId="0" borderId="0" xfId="0" applyFill="1" applyBorder="1" applyAlignment="1">
      <alignment horizontal="right"/>
    </xf>
    <xf numFmtId="169" fontId="0" fillId="0" borderId="0" xfId="0" applyNumberFormat="1"/>
    <xf numFmtId="168" fontId="17" fillId="0" borderId="0" xfId="0" applyNumberFormat="1" applyFont="1"/>
    <xf numFmtId="11" fontId="0" fillId="0" borderId="0" xfId="0" applyNumberFormat="1"/>
    <xf numFmtId="11" fontId="0" fillId="0" borderId="0" xfId="0" applyNumberFormat="1"/>
    <xf numFmtId="0" fontId="18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169" fontId="0" fillId="0" borderId="2" xfId="0" applyNumberFormat="1" applyBorder="1"/>
    <xf numFmtId="169" fontId="0" fillId="0" borderId="3" xfId="0" applyNumberFormat="1" applyBorder="1"/>
    <xf numFmtId="169" fontId="0" fillId="0" borderId="4" xfId="0" applyNumberFormat="1" applyBorder="1"/>
    <xf numFmtId="169" fontId="0" fillId="0" borderId="0" xfId="0" applyNumberFormat="1" applyBorder="1"/>
    <xf numFmtId="169" fontId="0" fillId="0" borderId="0" xfId="0" applyNumberFormat="1"/>
    <xf numFmtId="11" fontId="0" fillId="0" borderId="0" xfId="0" applyNumberFormat="1"/>
    <xf numFmtId="175" fontId="0" fillId="0" borderId="0" xfId="0" applyNumberFormat="1"/>
    <xf numFmtId="2" fontId="0" fillId="0" borderId="0" xfId="0" applyNumberFormat="1"/>
    <xf numFmtId="172" fontId="0" fillId="0" borderId="0" xfId="0" applyNumberFormat="1"/>
    <xf numFmtId="177" fontId="0" fillId="0" borderId="0" xfId="0" applyNumberFormat="1"/>
    <xf numFmtId="177" fontId="0" fillId="0" borderId="0" xfId="0" applyNumberFormat="1"/>
    <xf numFmtId="169" fontId="8" fillId="0" borderId="0" xfId="0" applyNumberFormat="1" applyFont="1"/>
    <xf numFmtId="176" fontId="8" fillId="0" borderId="0" xfId="0" applyNumberFormat="1" applyFont="1"/>
    <xf numFmtId="0" fontId="11" fillId="0" borderId="0" xfId="0" applyFont="1" applyBorder="1"/>
    <xf numFmtId="1" fontId="0" fillId="0" borderId="0" xfId="0" applyNumberFormat="1"/>
    <xf numFmtId="0" fontId="0" fillId="0" borderId="5" xfId="0" applyBorder="1"/>
    <xf numFmtId="0" fontId="16" fillId="0" borderId="5" xfId="0" applyFont="1" applyBorder="1"/>
    <xf numFmtId="170" fontId="0" fillId="0" borderId="0" xfId="0" applyNumberFormat="1" applyBorder="1"/>
    <xf numFmtId="0" fontId="0" fillId="0" borderId="0" xfId="0" applyNumberFormat="1" applyAlignment="1">
      <alignment horizontal="right"/>
    </xf>
    <xf numFmtId="170" fontId="16" fillId="0" borderId="0" xfId="0" applyNumberFormat="1" applyFont="1" applyBorder="1"/>
    <xf numFmtId="170" fontId="5" fillId="0" borderId="0" xfId="0" applyNumberFormat="1" applyFont="1"/>
    <xf numFmtId="176" fontId="5" fillId="0" borderId="0" xfId="0" applyNumberFormat="1" applyFont="1"/>
    <xf numFmtId="176" fontId="5" fillId="0" borderId="0" xfId="0" applyNumberFormat="1" applyFont="1"/>
    <xf numFmtId="0" fontId="20" fillId="0" borderId="0" xfId="1" applyFont="1" applyBorder="1"/>
    <xf numFmtId="172" fontId="20" fillId="0" borderId="0" xfId="1" applyNumberFormat="1" applyFont="1" applyBorder="1" applyAlignment="1">
      <alignment horizontal="center"/>
    </xf>
    <xf numFmtId="171" fontId="20" fillId="0" borderId="0" xfId="1" applyNumberFormat="1" applyFont="1" applyBorder="1" applyAlignment="1">
      <alignment horizontal="center"/>
    </xf>
    <xf numFmtId="0" fontId="20" fillId="0" borderId="0" xfId="1" applyFont="1"/>
    <xf numFmtId="0" fontId="22" fillId="0" borderId="7" xfId="2" applyFont="1" applyBorder="1" applyAlignment="1">
      <alignment horizontal="center"/>
    </xf>
    <xf numFmtId="0" fontId="22" fillId="0" borderId="7" xfId="1" applyFont="1" applyBorder="1" applyAlignment="1">
      <alignment horizontal="center"/>
    </xf>
    <xf numFmtId="171" fontId="24" fillId="0" borderId="8" xfId="1" applyNumberFormat="1" applyFont="1" applyBorder="1" applyAlignment="1">
      <alignment horizontal="center"/>
    </xf>
    <xf numFmtId="171" fontId="24" fillId="0" borderId="0" xfId="1" applyNumberFormat="1" applyFont="1" applyBorder="1" applyAlignment="1">
      <alignment horizontal="center"/>
    </xf>
    <xf numFmtId="1" fontId="24" fillId="0" borderId="5" xfId="1" applyNumberFormat="1" applyFont="1" applyBorder="1" applyAlignment="1">
      <alignment horizontal="center"/>
    </xf>
    <xf numFmtId="172" fontId="24" fillId="0" borderId="0" xfId="1" applyNumberFormat="1" applyFont="1" applyBorder="1" applyAlignment="1">
      <alignment horizontal="center"/>
    </xf>
    <xf numFmtId="172" fontId="20" fillId="0" borderId="0" xfId="1" applyNumberFormat="1" applyFont="1"/>
    <xf numFmtId="0" fontId="20" fillId="0" borderId="0" xfId="1" applyFont="1" applyAlignment="1">
      <alignment horizontal="center"/>
    </xf>
    <xf numFmtId="176" fontId="8" fillId="0" borderId="0" xfId="0" applyNumberFormat="1" applyFont="1"/>
    <xf numFmtId="0" fontId="20" fillId="0" borderId="4" xfId="1" applyFont="1" applyBorder="1" applyAlignment="1">
      <alignment horizontal="center"/>
    </xf>
    <xf numFmtId="169" fontId="24" fillId="0" borderId="4" xfId="0" applyNumberFormat="1" applyFont="1" applyBorder="1"/>
    <xf numFmtId="0" fontId="0" fillId="0" borderId="1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2" fontId="24" fillId="0" borderId="9" xfId="1" applyNumberFormat="1" applyFont="1" applyBorder="1" applyAlignment="1">
      <alignment horizontal="center"/>
    </xf>
    <xf numFmtId="0" fontId="21" fillId="0" borderId="6" xfId="1" applyFont="1" applyBorder="1" applyAlignment="1">
      <alignment horizontal="center"/>
    </xf>
    <xf numFmtId="168" fontId="24" fillId="0" borderId="9" xfId="1" applyNumberFormat="1" applyFont="1" applyBorder="1" applyAlignment="1">
      <alignment horizontal="center"/>
    </xf>
    <xf numFmtId="0" fontId="24" fillId="0" borderId="0" xfId="1" applyFont="1"/>
    <xf numFmtId="0" fontId="24" fillId="0" borderId="0" xfId="1" applyFont="1" applyAlignment="1">
      <alignment horizontal="center"/>
    </xf>
    <xf numFmtId="171" fontId="24" fillId="0" borderId="8" xfId="0" applyNumberFormat="1" applyFont="1" applyBorder="1" applyAlignment="1">
      <alignment horizontal="center"/>
    </xf>
    <xf numFmtId="176" fontId="24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172" fontId="25" fillId="0" borderId="0" xfId="1" applyNumberFormat="1" applyFont="1"/>
    <xf numFmtId="1" fontId="24" fillId="0" borderId="5" xfId="1" applyNumberFormat="1" applyFont="1" applyBorder="1" applyAlignment="1">
      <alignment horizontal="center"/>
    </xf>
    <xf numFmtId="170" fontId="24" fillId="0" borderId="4" xfId="1" applyNumberFormat="1" applyFont="1" applyBorder="1" applyAlignment="1">
      <alignment horizontal="center"/>
    </xf>
    <xf numFmtId="173" fontId="24" fillId="0" borderId="0" xfId="1" applyNumberFormat="1" applyFont="1" applyBorder="1" applyAlignment="1">
      <alignment horizontal="center"/>
    </xf>
    <xf numFmtId="0" fontId="20" fillId="0" borderId="0" xfId="1" applyFont="1" applyBorder="1" applyAlignment="1">
      <alignment horizontal="center"/>
    </xf>
    <xf numFmtId="0" fontId="26" fillId="2" borderId="10" xfId="1" applyFont="1" applyFill="1" applyBorder="1" applyAlignment="1">
      <alignment horizontal="right"/>
    </xf>
    <xf numFmtId="0" fontId="24" fillId="0" borderId="9" xfId="1" applyFont="1" applyBorder="1"/>
    <xf numFmtId="168" fontId="24" fillId="0" borderId="9" xfId="1" applyNumberFormat="1" applyFont="1" applyBorder="1" applyAlignment="1">
      <alignment horizontal="center"/>
    </xf>
    <xf numFmtId="2" fontId="22" fillId="0" borderId="6" xfId="2" applyNumberFormat="1" applyFont="1" applyBorder="1" applyAlignment="1">
      <alignment horizontal="center"/>
    </xf>
    <xf numFmtId="0" fontId="22" fillId="0" borderId="13" xfId="1" applyFont="1" applyBorder="1" applyAlignment="1">
      <alignment horizontal="center"/>
    </xf>
    <xf numFmtId="0" fontId="26" fillId="0" borderId="0" xfId="1" applyFont="1" applyBorder="1"/>
    <xf numFmtId="0" fontId="26" fillId="0" borderId="7" xfId="1" applyFont="1" applyBorder="1" applyAlignment="1">
      <alignment horizontal="center"/>
    </xf>
    <xf numFmtId="0" fontId="26" fillId="0" borderId="13" xfId="1" applyFont="1" applyBorder="1" applyAlignment="1">
      <alignment horizontal="center"/>
    </xf>
    <xf numFmtId="0" fontId="0" fillId="4" borderId="0" xfId="0" applyFill="1"/>
    <xf numFmtId="2" fontId="0" fillId="0" borderId="0" xfId="0" applyNumberFormat="1"/>
    <xf numFmtId="11" fontId="0" fillId="0" borderId="0" xfId="0" applyNumberFormat="1"/>
    <xf numFmtId="173" fontId="0" fillId="0" borderId="0" xfId="0" applyNumberFormat="1"/>
    <xf numFmtId="176" fontId="24" fillId="0" borderId="5" xfId="1" applyNumberFormat="1" applyFont="1" applyBorder="1" applyAlignment="1">
      <alignment horizontal="center"/>
    </xf>
    <xf numFmtId="0" fontId="27" fillId="4" borderId="0" xfId="0" applyFont="1" applyFill="1"/>
    <xf numFmtId="169" fontId="0" fillId="0" borderId="0" xfId="0" applyNumberFormat="1"/>
    <xf numFmtId="176" fontId="0" fillId="0" borderId="0" xfId="0" applyNumberForma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49" fontId="0" fillId="0" borderId="0" xfId="0" applyNumberFormat="1"/>
    <xf numFmtId="11" fontId="28" fillId="0" borderId="0" xfId="0" applyNumberFormat="1" applyFont="1"/>
    <xf numFmtId="181" fontId="0" fillId="0" borderId="0" xfId="0" applyNumberFormat="1"/>
    <xf numFmtId="181" fontId="24" fillId="0" borderId="9" xfId="1" applyNumberFormat="1" applyFont="1" applyBorder="1" applyAlignment="1">
      <alignment horizontal="center"/>
    </xf>
    <xf numFmtId="172" fontId="24" fillId="0" borderId="9" xfId="1" applyNumberFormat="1" applyFont="1" applyBorder="1" applyAlignment="1">
      <alignment horizontal="center"/>
    </xf>
    <xf numFmtId="172" fontId="24" fillId="0" borderId="2" xfId="0" applyNumberFormat="1" applyFont="1" applyBorder="1" applyAlignment="1">
      <alignment horizontal="center"/>
    </xf>
    <xf numFmtId="172" fontId="24" fillId="0" borderId="4" xfId="0" applyNumberFormat="1" applyFont="1" applyBorder="1" applyAlignment="1">
      <alignment horizontal="center"/>
    </xf>
    <xf numFmtId="0" fontId="33" fillId="0" borderId="0" xfId="0" applyFont="1"/>
    <xf numFmtId="171" fontId="34" fillId="0" borderId="0" xfId="0" applyNumberFormat="1" applyFont="1"/>
    <xf numFmtId="169" fontId="6" fillId="0" borderId="0" xfId="0" applyNumberFormat="1" applyFont="1"/>
    <xf numFmtId="0" fontId="35" fillId="0" borderId="0" xfId="1" applyFont="1"/>
    <xf numFmtId="181" fontId="24" fillId="0" borderId="5" xfId="1" applyNumberFormat="1" applyFont="1" applyBorder="1" applyAlignment="1">
      <alignment horizontal="center"/>
    </xf>
    <xf numFmtId="168" fontId="24" fillId="0" borderId="5" xfId="1" applyNumberFormat="1" applyFont="1" applyBorder="1" applyAlignment="1">
      <alignment horizontal="center"/>
    </xf>
    <xf numFmtId="181" fontId="24" fillId="0" borderId="0" xfId="1" applyNumberFormat="1" applyFont="1" applyBorder="1" applyAlignment="1">
      <alignment horizontal="center"/>
    </xf>
    <xf numFmtId="168" fontId="24" fillId="0" borderId="4" xfId="1" applyNumberFormat="1" applyFont="1" applyBorder="1" applyAlignment="1">
      <alignment horizontal="center"/>
    </xf>
    <xf numFmtId="0" fontId="36" fillId="0" borderId="0" xfId="0" applyFont="1"/>
    <xf numFmtId="169" fontId="36" fillId="0" borderId="0" xfId="0" applyNumberFormat="1" applyFont="1"/>
    <xf numFmtId="181" fontId="35" fillId="0" borderId="0" xfId="1" applyNumberFormat="1" applyFont="1"/>
    <xf numFmtId="181" fontId="35" fillId="0" borderId="0" xfId="1" applyNumberFormat="1" applyFont="1" applyAlignment="1">
      <alignment horizontal="center"/>
    </xf>
    <xf numFmtId="0" fontId="0" fillId="0" borderId="0" xfId="0" applyNumberFormat="1"/>
    <xf numFmtId="0" fontId="4" fillId="0" borderId="5" xfId="0" applyFont="1" applyBorder="1"/>
    <xf numFmtId="0" fontId="3" fillId="0" borderId="0" xfId="0" applyFont="1"/>
    <xf numFmtId="0" fontId="0" fillId="0" borderId="0" xfId="0" applyBorder="1" applyAlignment="1">
      <alignment horizontal="left"/>
    </xf>
    <xf numFmtId="0" fontId="24" fillId="0" borderId="9" xfId="1" applyFont="1" applyBorder="1" applyAlignment="1">
      <alignment horizontal="right"/>
    </xf>
    <xf numFmtId="0" fontId="37" fillId="0" borderId="4" xfId="0" applyFont="1" applyFill="1" applyBorder="1" applyAlignment="1">
      <alignment horizontal="center"/>
    </xf>
    <xf numFmtId="0" fontId="38" fillId="0" borderId="0" xfId="0" applyFont="1"/>
    <xf numFmtId="169" fontId="2" fillId="0" borderId="0" xfId="0" applyNumberFormat="1" applyFont="1"/>
    <xf numFmtId="171" fontId="2" fillId="0" borderId="0" xfId="0" applyNumberFormat="1" applyFont="1"/>
    <xf numFmtId="168" fontId="1" fillId="0" borderId="0" xfId="0" applyNumberFormat="1" applyFont="1" applyBorder="1"/>
    <xf numFmtId="0" fontId="21" fillId="3" borderId="10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21" fillId="3" borderId="1" xfId="1" applyFont="1" applyFill="1" applyBorder="1" applyAlignment="1">
      <alignment horizontal="left"/>
    </xf>
    <xf numFmtId="0" fontId="0" fillId="0" borderId="1" xfId="0" applyBorder="1" applyAlignment="1"/>
    <xf numFmtId="0" fontId="0" fillId="0" borderId="11" xfId="0" applyBorder="1" applyAlignment="1"/>
    <xf numFmtId="0" fontId="20" fillId="0" borderId="0" xfId="1" applyFont="1" applyAlignment="1">
      <alignment horizontal="left" vertical="center"/>
    </xf>
    <xf numFmtId="2" fontId="39" fillId="0" borderId="9" xfId="1" applyNumberFormat="1" applyFont="1" applyBorder="1" applyAlignment="1">
      <alignment horizontal="center"/>
    </xf>
    <xf numFmtId="181" fontId="39" fillId="0" borderId="9" xfId="1" applyNumberFormat="1" applyFont="1" applyBorder="1" applyAlignment="1">
      <alignment horizontal="center"/>
    </xf>
    <xf numFmtId="172" fontId="39" fillId="0" borderId="9" xfId="1" applyNumberFormat="1" applyFont="1" applyBorder="1" applyAlignment="1">
      <alignment horizontal="center"/>
    </xf>
    <xf numFmtId="172" fontId="39" fillId="0" borderId="4" xfId="0" applyNumberFormat="1" applyFont="1" applyBorder="1" applyAlignment="1">
      <alignment horizontal="center"/>
    </xf>
    <xf numFmtId="176" fontId="39" fillId="0" borderId="5" xfId="1" applyNumberFormat="1" applyFont="1" applyBorder="1" applyAlignment="1">
      <alignment horizontal="center"/>
    </xf>
    <xf numFmtId="0" fontId="40" fillId="0" borderId="5" xfId="0" applyFont="1" applyBorder="1"/>
    <xf numFmtId="170" fontId="40" fillId="0" borderId="3" xfId="0" applyNumberFormat="1" applyFont="1" applyBorder="1"/>
    <xf numFmtId="169" fontId="40" fillId="0" borderId="3" xfId="0" applyNumberFormat="1" applyFont="1" applyBorder="1"/>
    <xf numFmtId="0" fontId="40" fillId="0" borderId="3" xfId="0" applyFont="1" applyBorder="1"/>
    <xf numFmtId="0" fontId="40" fillId="0" borderId="0" xfId="0" applyFont="1"/>
    <xf numFmtId="170" fontId="40" fillId="0" borderId="0" xfId="0" applyNumberFormat="1" applyFont="1" applyBorder="1"/>
    <xf numFmtId="169" fontId="40" fillId="0" borderId="0" xfId="0" applyNumberFormat="1" applyFont="1" applyBorder="1"/>
    <xf numFmtId="170" fontId="40" fillId="0" borderId="0" xfId="0" applyNumberFormat="1" applyFont="1"/>
    <xf numFmtId="172" fontId="40" fillId="0" borderId="0" xfId="0" applyNumberFormat="1" applyFont="1" applyBorder="1"/>
    <xf numFmtId="0" fontId="40" fillId="0" borderId="0" xfId="0" applyNumberFormat="1" applyFont="1"/>
    <xf numFmtId="11" fontId="40" fillId="0" borderId="0" xfId="0" applyNumberFormat="1" applyFont="1"/>
    <xf numFmtId="172" fontId="40" fillId="0" borderId="0" xfId="0" applyNumberFormat="1" applyFont="1"/>
    <xf numFmtId="0" fontId="40" fillId="0" borderId="0" xfId="0" applyNumberFormat="1" applyFont="1" applyAlignment="1">
      <alignment horizontal="right"/>
    </xf>
    <xf numFmtId="2" fontId="40" fillId="0" borderId="0" xfId="0" applyNumberFormat="1" applyFont="1"/>
    <xf numFmtId="0" fontId="41" fillId="0" borderId="0" xfId="0" applyFont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half masses</c:v>
          </c:tx>
          <c:spPr>
            <a:ln w="28575">
              <a:noFill/>
            </a:ln>
          </c:spPr>
          <c:xVal>
            <c:numRef>
              <c:f>'IC A'!$B$11:$H$11</c:f>
              <c:numCache>
                <c:formatCode>General</c:formatCode>
                <c:ptCount val="7"/>
                <c:pt idx="0">
                  <c:v>234.54</c:v>
                </c:pt>
                <c:pt idx="1">
                  <c:v>235.54</c:v>
                </c:pt>
                <c:pt idx="2">
                  <c:v>236.54</c:v>
                </c:pt>
                <c:pt idx="3">
                  <c:v>232.54</c:v>
                </c:pt>
                <c:pt idx="4">
                  <c:v>233.54</c:v>
                </c:pt>
                <c:pt idx="5">
                  <c:v>234.54</c:v>
                </c:pt>
                <c:pt idx="6">
                  <c:v>237.041</c:v>
                </c:pt>
              </c:numCache>
            </c:numRef>
          </c:xVal>
          <c:yVal>
            <c:numRef>
              <c:f>'IC A'!$B$12:$H$12</c:f>
              <c:numCache>
                <c:formatCode>0.0000000</c:formatCode>
                <c:ptCount val="7"/>
                <c:pt idx="0">
                  <c:v>4.3590870436666675E-5</c:v>
                </c:pt>
                <c:pt idx="1">
                  <c:v>8.4184957333333313E-5</c:v>
                </c:pt>
                <c:pt idx="2">
                  <c:v>1.8520458066666664E-4</c:v>
                </c:pt>
                <c:pt idx="3">
                  <c:v>1.3680835840000002E-5</c:v>
                </c:pt>
                <c:pt idx="4">
                  <c:v>3.8504958753333346E-5</c:v>
                </c:pt>
                <c:pt idx="5">
                  <c:v>6.1610335033333326E-5</c:v>
                </c:pt>
                <c:pt idx="6">
                  <c:v>3.8025482599999996E-4</c:v>
                </c:pt>
              </c:numCache>
            </c:numRef>
          </c:yVal>
          <c:smooth val="0"/>
        </c:ser>
        <c:ser>
          <c:idx val="1"/>
          <c:order val="1"/>
          <c:tx>
            <c:v>minor isotopes (corrected)</c:v>
          </c:tx>
          <c:spPr>
            <a:ln w="28575">
              <a:noFill/>
            </a:ln>
          </c:spPr>
          <c:xVal>
            <c:numRef>
              <c:f>'IC A'!$Q$11:$S$11</c:f>
              <c:numCache>
                <c:formatCode>General</c:formatCode>
                <c:ptCount val="3"/>
                <c:pt idx="0">
                  <c:v>234.041</c:v>
                </c:pt>
                <c:pt idx="1">
                  <c:v>233.041</c:v>
                </c:pt>
                <c:pt idx="2">
                  <c:v>236.041</c:v>
                </c:pt>
              </c:numCache>
            </c:numRef>
          </c:xVal>
          <c:yVal>
            <c:numRef>
              <c:f>'IC A'!$Q$12:$S$12</c:f>
              <c:numCache>
                <c:formatCode>0.00000</c:formatCode>
                <c:ptCount val="3"/>
                <c:pt idx="0" formatCode="0.0000">
                  <c:v>3.3368510477333336E-4</c:v>
                </c:pt>
                <c:pt idx="1">
                  <c:v>-6.5886295453333319E-6</c:v>
                </c:pt>
                <c:pt idx="2" formatCode="0.0000">
                  <c:v>1.3533682040000002E-3</c:v>
                </c:pt>
              </c:numCache>
            </c:numRef>
          </c:yVal>
          <c:smooth val="0"/>
        </c:ser>
        <c:ser>
          <c:idx val="2"/>
          <c:order val="2"/>
          <c:tx>
            <c:v>minor isotopes (non-corrected)</c:v>
          </c:tx>
          <c:spPr>
            <a:ln w="28575">
              <a:noFill/>
            </a:ln>
          </c:spPr>
          <c:xVal>
            <c:numRef>
              <c:f>'IC A'!$I$11:$K$11</c:f>
              <c:numCache>
                <c:formatCode>General</c:formatCode>
                <c:ptCount val="3"/>
                <c:pt idx="0">
                  <c:v>234.041</c:v>
                </c:pt>
                <c:pt idx="1">
                  <c:v>233.041</c:v>
                </c:pt>
                <c:pt idx="2">
                  <c:v>236.041</c:v>
                </c:pt>
              </c:numCache>
            </c:numRef>
          </c:xVal>
          <c:yVal>
            <c:numRef>
              <c:f>'IC A'!$I$12:$K$12</c:f>
              <c:numCache>
                <c:formatCode>0.0000000</c:formatCode>
                <c:ptCount val="3"/>
                <c:pt idx="0">
                  <c:v>3.8374275166666669E-4</c:v>
                </c:pt>
                <c:pt idx="1">
                  <c:v>1.9504267751333331E-5</c:v>
                </c:pt>
                <c:pt idx="2">
                  <c:v>1.5806652633333332E-3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29312"/>
        <c:axId val="193229888"/>
      </c:scatterChart>
      <c:valAx>
        <c:axId val="193229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3229888"/>
        <c:crosses val="autoZero"/>
        <c:crossBetween val="midCat"/>
      </c:valAx>
      <c:valAx>
        <c:axId val="193229888"/>
        <c:scaling>
          <c:orientation val="minMax"/>
        </c:scaling>
        <c:delete val="0"/>
        <c:axPos val="l"/>
        <c:majorGridlines/>
        <c:numFmt formatCode="0.0000" sourceLinked="0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3229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83641696857501"/>
          <c:y val="2.9850746268656699E-2"/>
          <c:w val="0.84659074484315699"/>
          <c:h val="0.7846973792455049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'IC A'!$Z$16:$Z$45</c:f>
              <c:numCache>
                <c:formatCode>General</c:formatCode>
                <c:ptCount val="30"/>
                <c:pt idx="0">
                  <c:v>1.4597409898788629E-2</c:v>
                </c:pt>
                <c:pt idx="1">
                  <c:v>1.4165260511699003E-2</c:v>
                </c:pt>
                <c:pt idx="2">
                  <c:v>1.4386115759068733E-2</c:v>
                </c:pt>
                <c:pt idx="3">
                  <c:v>1.4421158457327754E-2</c:v>
                </c:pt>
                <c:pt idx="4">
                  <c:v>1.4303209423368629E-2</c:v>
                </c:pt>
                <c:pt idx="5">
                  <c:v>1.45671075404915E-2</c:v>
                </c:pt>
                <c:pt idx="6">
                  <c:v>1.4282373111074675E-2</c:v>
                </c:pt>
                <c:pt idx="7">
                  <c:v>1.4192908059949166E-2</c:v>
                </c:pt>
                <c:pt idx="8">
                  <c:v>1.4282062607917246E-2</c:v>
                </c:pt>
                <c:pt idx="9">
                  <c:v>1.4527161027465018E-2</c:v>
                </c:pt>
                <c:pt idx="10">
                  <c:v>1.4534282084305988E-2</c:v>
                </c:pt>
                <c:pt idx="11">
                  <c:v>1.4630500639499064E-2</c:v>
                </c:pt>
                <c:pt idx="12">
                  <c:v>1.488903688478933E-2</c:v>
                </c:pt>
                <c:pt idx="13">
                  <c:v>1.4628354983034152E-2</c:v>
                </c:pt>
                <c:pt idx="14">
                  <c:v>1.4664537153623135E-2</c:v>
                </c:pt>
                <c:pt idx="15">
                  <c:v>1.4924715732497587E-2</c:v>
                </c:pt>
                <c:pt idx="16">
                  <c:v>1.5329849309725575E-2</c:v>
                </c:pt>
                <c:pt idx="17">
                  <c:v>1.4963841160382222E-2</c:v>
                </c:pt>
                <c:pt idx="18">
                  <c:v>1.4911573710136563E-2</c:v>
                </c:pt>
                <c:pt idx="19">
                  <c:v>1.5191518017876635E-2</c:v>
                </c:pt>
                <c:pt idx="20">
                  <c:v>1.5095268913611111E-2</c:v>
                </c:pt>
                <c:pt idx="21">
                  <c:v>1.4805409591151484E-2</c:v>
                </c:pt>
                <c:pt idx="22">
                  <c:v>1.5023496301942864E-2</c:v>
                </c:pt>
                <c:pt idx="23">
                  <c:v>1.4759064968804038E-2</c:v>
                </c:pt>
                <c:pt idx="24">
                  <c:v>1.5101733291534565E-2</c:v>
                </c:pt>
                <c:pt idx="25">
                  <c:v>1.4998583696023204E-2</c:v>
                </c:pt>
                <c:pt idx="26">
                  <c:v>1.4911768617886895E-2</c:v>
                </c:pt>
                <c:pt idx="27">
                  <c:v>1.4656604703076847E-2</c:v>
                </c:pt>
                <c:pt idx="28">
                  <c:v>1.4968798911502476E-2</c:v>
                </c:pt>
                <c:pt idx="29">
                  <c:v>1.4922610778014865E-2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32192"/>
        <c:axId val="193257472"/>
      </c:scatterChart>
      <c:valAx>
        <c:axId val="1932321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3257472"/>
        <c:crosses val="autoZero"/>
        <c:crossBetween val="midCat"/>
      </c:valAx>
      <c:valAx>
        <c:axId val="19325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3232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'IC A'!$P$16:$P$45</c:f>
              <c:numCache>
                <c:formatCode>0.0</c:formatCode>
                <c:ptCount val="30"/>
                <c:pt idx="0">
                  <c:v>11.682033338773429</c:v>
                </c:pt>
                <c:pt idx="1">
                  <c:v>11.132430906615454</c:v>
                </c:pt>
                <c:pt idx="2">
                  <c:v>11.055149820462857</c:v>
                </c:pt>
                <c:pt idx="3">
                  <c:v>10.635794677507041</c:v>
                </c:pt>
                <c:pt idx="4">
                  <c:v>10.940639614906617</c:v>
                </c:pt>
                <c:pt idx="5">
                  <c:v>9.7933228893326358</c:v>
                </c:pt>
                <c:pt idx="6">
                  <c:v>10.134558211094332</c:v>
                </c:pt>
                <c:pt idx="7">
                  <c:v>10.089064065219441</c:v>
                </c:pt>
                <c:pt idx="8">
                  <c:v>9.6847582900739653</c:v>
                </c:pt>
                <c:pt idx="9">
                  <c:v>9.3591358809630769</c:v>
                </c:pt>
                <c:pt idx="10">
                  <c:v>8.4890999852072664</c:v>
                </c:pt>
                <c:pt idx="11">
                  <c:v>8.1998103735706547</c:v>
                </c:pt>
                <c:pt idx="12">
                  <c:v>8.1849619635900268</c:v>
                </c:pt>
                <c:pt idx="13">
                  <c:v>7.9875957532311324</c:v>
                </c:pt>
                <c:pt idx="14">
                  <c:v>7.655071261113422</c:v>
                </c:pt>
                <c:pt idx="15">
                  <c:v>6.5890000267786046</c:v>
                </c:pt>
                <c:pt idx="16">
                  <c:v>7.5887624920002086</c:v>
                </c:pt>
                <c:pt idx="17">
                  <c:v>7.1671259839281305</c:v>
                </c:pt>
                <c:pt idx="18">
                  <c:v>7.6292966287325221</c:v>
                </c:pt>
                <c:pt idx="19">
                  <c:v>7.1592075735122398</c:v>
                </c:pt>
                <c:pt idx="20">
                  <c:v>7.9501549601069783</c:v>
                </c:pt>
                <c:pt idx="21">
                  <c:v>7.5920737968739385</c:v>
                </c:pt>
                <c:pt idx="22">
                  <c:v>7.4537918247191</c:v>
                </c:pt>
                <c:pt idx="23">
                  <c:v>7.2224522442515582</c:v>
                </c:pt>
                <c:pt idx="24">
                  <c:v>6.9113141674478289</c:v>
                </c:pt>
                <c:pt idx="25">
                  <c:v>5.5505336946708574</c:v>
                </c:pt>
                <c:pt idx="26">
                  <c:v>6.6110427943502463</c:v>
                </c:pt>
                <c:pt idx="27">
                  <c:v>6.8761494945880424</c:v>
                </c:pt>
                <c:pt idx="28">
                  <c:v>6.5075827123325958</c:v>
                </c:pt>
                <c:pt idx="29">
                  <c:v>6.5849167695193422</c:v>
                </c:pt>
              </c:numCache>
            </c:numRef>
          </c:xVal>
          <c:yVal>
            <c:numRef>
              <c:f>'IC A'!$Z$16:$Z$45</c:f>
              <c:numCache>
                <c:formatCode>General</c:formatCode>
                <c:ptCount val="30"/>
                <c:pt idx="0">
                  <c:v>1.4597409898788629E-2</c:v>
                </c:pt>
                <c:pt idx="1">
                  <c:v>1.4165260511699003E-2</c:v>
                </c:pt>
                <c:pt idx="2">
                  <c:v>1.4386115759068733E-2</c:v>
                </c:pt>
                <c:pt idx="3">
                  <c:v>1.4421158457327754E-2</c:v>
                </c:pt>
                <c:pt idx="4">
                  <c:v>1.4303209423368629E-2</c:v>
                </c:pt>
                <c:pt idx="5">
                  <c:v>1.45671075404915E-2</c:v>
                </c:pt>
                <c:pt idx="6">
                  <c:v>1.4282373111074675E-2</c:v>
                </c:pt>
                <c:pt idx="7">
                  <c:v>1.4192908059949166E-2</c:v>
                </c:pt>
                <c:pt idx="8">
                  <c:v>1.4282062607917246E-2</c:v>
                </c:pt>
                <c:pt idx="9">
                  <c:v>1.4527161027465018E-2</c:v>
                </c:pt>
                <c:pt idx="10">
                  <c:v>1.4534282084305988E-2</c:v>
                </c:pt>
                <c:pt idx="11">
                  <c:v>1.4630500639499064E-2</c:v>
                </c:pt>
                <c:pt idx="12">
                  <c:v>1.488903688478933E-2</c:v>
                </c:pt>
                <c:pt idx="13">
                  <c:v>1.4628354983034152E-2</c:v>
                </c:pt>
                <c:pt idx="14">
                  <c:v>1.4664537153623135E-2</c:v>
                </c:pt>
                <c:pt idx="15">
                  <c:v>1.4924715732497587E-2</c:v>
                </c:pt>
                <c:pt idx="16">
                  <c:v>1.5329849309725575E-2</c:v>
                </c:pt>
                <c:pt idx="17">
                  <c:v>1.4963841160382222E-2</c:v>
                </c:pt>
                <c:pt idx="18">
                  <c:v>1.4911573710136563E-2</c:v>
                </c:pt>
                <c:pt idx="19">
                  <c:v>1.5191518017876635E-2</c:v>
                </c:pt>
                <c:pt idx="20">
                  <c:v>1.5095268913611111E-2</c:v>
                </c:pt>
                <c:pt idx="21">
                  <c:v>1.4805409591151484E-2</c:v>
                </c:pt>
                <c:pt idx="22">
                  <c:v>1.5023496301942864E-2</c:v>
                </c:pt>
                <c:pt idx="23">
                  <c:v>1.4759064968804038E-2</c:v>
                </c:pt>
                <c:pt idx="24">
                  <c:v>1.5101733291534565E-2</c:v>
                </c:pt>
                <c:pt idx="25">
                  <c:v>1.4998583696023204E-2</c:v>
                </c:pt>
                <c:pt idx="26">
                  <c:v>1.4911768617886895E-2</c:v>
                </c:pt>
                <c:pt idx="27">
                  <c:v>1.4656604703076847E-2</c:v>
                </c:pt>
                <c:pt idx="28">
                  <c:v>1.4968798911502476E-2</c:v>
                </c:pt>
                <c:pt idx="29">
                  <c:v>1.4922610778014865E-2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59200"/>
        <c:axId val="193259776"/>
      </c:scatterChart>
      <c:valAx>
        <c:axId val="193259200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3259776"/>
        <c:crosses val="autoZero"/>
        <c:crossBetween val="midCat"/>
      </c:valAx>
      <c:valAx>
        <c:axId val="19325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3259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'IC A'!$Z$16:$Z$45</c:f>
              <c:numCache>
                <c:formatCode>General</c:formatCode>
                <c:ptCount val="30"/>
                <c:pt idx="0">
                  <c:v>1.4597409898788629E-2</c:v>
                </c:pt>
                <c:pt idx="1">
                  <c:v>1.4165260511699003E-2</c:v>
                </c:pt>
                <c:pt idx="2">
                  <c:v>1.4386115759068733E-2</c:v>
                </c:pt>
                <c:pt idx="3">
                  <c:v>1.4421158457327754E-2</c:v>
                </c:pt>
                <c:pt idx="4">
                  <c:v>1.4303209423368629E-2</c:v>
                </c:pt>
                <c:pt idx="5">
                  <c:v>1.45671075404915E-2</c:v>
                </c:pt>
                <c:pt idx="6">
                  <c:v>1.4282373111074675E-2</c:v>
                </c:pt>
                <c:pt idx="7">
                  <c:v>1.4192908059949166E-2</c:v>
                </c:pt>
                <c:pt idx="8">
                  <c:v>1.4282062607917246E-2</c:v>
                </c:pt>
                <c:pt idx="9">
                  <c:v>1.4527161027465018E-2</c:v>
                </c:pt>
                <c:pt idx="10">
                  <c:v>1.4534282084305988E-2</c:v>
                </c:pt>
                <c:pt idx="11">
                  <c:v>1.4630500639499064E-2</c:v>
                </c:pt>
                <c:pt idx="12">
                  <c:v>1.488903688478933E-2</c:v>
                </c:pt>
                <c:pt idx="13">
                  <c:v>1.4628354983034152E-2</c:v>
                </c:pt>
                <c:pt idx="14">
                  <c:v>1.4664537153623135E-2</c:v>
                </c:pt>
                <c:pt idx="15">
                  <c:v>1.4924715732497587E-2</c:v>
                </c:pt>
                <c:pt idx="16">
                  <c:v>1.5329849309725575E-2</c:v>
                </c:pt>
                <c:pt idx="17">
                  <c:v>1.4963841160382222E-2</c:v>
                </c:pt>
                <c:pt idx="18">
                  <c:v>1.4911573710136563E-2</c:v>
                </c:pt>
                <c:pt idx="19">
                  <c:v>1.5191518017876635E-2</c:v>
                </c:pt>
                <c:pt idx="20">
                  <c:v>1.5095268913611111E-2</c:v>
                </c:pt>
                <c:pt idx="21">
                  <c:v>1.4805409591151484E-2</c:v>
                </c:pt>
                <c:pt idx="22">
                  <c:v>1.5023496301942864E-2</c:v>
                </c:pt>
                <c:pt idx="23">
                  <c:v>1.4759064968804038E-2</c:v>
                </c:pt>
                <c:pt idx="24">
                  <c:v>1.5101733291534565E-2</c:v>
                </c:pt>
                <c:pt idx="25">
                  <c:v>1.4998583696023204E-2</c:v>
                </c:pt>
                <c:pt idx="26">
                  <c:v>1.4911768617886895E-2</c:v>
                </c:pt>
                <c:pt idx="27">
                  <c:v>1.4656604703076847E-2</c:v>
                </c:pt>
                <c:pt idx="28">
                  <c:v>1.4968798911502476E-2</c:v>
                </c:pt>
                <c:pt idx="29">
                  <c:v>1.4922610778014865E-2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61504"/>
        <c:axId val="193262080"/>
      </c:scatterChart>
      <c:valAx>
        <c:axId val="193261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3262080"/>
        <c:crosses val="autoZero"/>
        <c:crossBetween val="midCat"/>
      </c:valAx>
      <c:valAx>
        <c:axId val="19326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261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'IC A'!$AA$16:$AA$45</c:f>
              <c:numCache>
                <c:formatCode>General</c:formatCode>
                <c:ptCount val="30"/>
                <c:pt idx="0">
                  <c:v>3.6326853704645242E-3</c:v>
                </c:pt>
                <c:pt idx="1">
                  <c:v>3.6758399874961519E-3</c:v>
                </c:pt>
                <c:pt idx="2">
                  <c:v>3.5821597369599051E-3</c:v>
                </c:pt>
                <c:pt idx="3">
                  <c:v>3.6347865618596817E-3</c:v>
                </c:pt>
                <c:pt idx="4">
                  <c:v>3.7573573000452211E-3</c:v>
                </c:pt>
                <c:pt idx="5">
                  <c:v>3.5278342585826493E-3</c:v>
                </c:pt>
                <c:pt idx="6">
                  <c:v>3.6281734916106664E-3</c:v>
                </c:pt>
                <c:pt idx="7">
                  <c:v>3.7357863717281895E-3</c:v>
                </c:pt>
                <c:pt idx="8">
                  <c:v>3.756229763870635E-3</c:v>
                </c:pt>
                <c:pt idx="9">
                  <c:v>3.5614003554886261E-3</c:v>
                </c:pt>
                <c:pt idx="10">
                  <c:v>3.5917122674012105E-3</c:v>
                </c:pt>
                <c:pt idx="11">
                  <c:v>3.820120262270358E-3</c:v>
                </c:pt>
                <c:pt idx="12">
                  <c:v>3.7094056207456661E-3</c:v>
                </c:pt>
                <c:pt idx="13">
                  <c:v>3.5055249297962217E-3</c:v>
                </c:pt>
                <c:pt idx="14">
                  <c:v>3.5045834953430543E-3</c:v>
                </c:pt>
                <c:pt idx="15">
                  <c:v>3.5631324645795724E-3</c:v>
                </c:pt>
                <c:pt idx="16">
                  <c:v>3.5229926525087714E-3</c:v>
                </c:pt>
                <c:pt idx="17">
                  <c:v>3.5402507061818894E-3</c:v>
                </c:pt>
                <c:pt idx="18">
                  <c:v>3.5149304149360698E-3</c:v>
                </c:pt>
                <c:pt idx="19">
                  <c:v>3.6027025788713195E-3</c:v>
                </c:pt>
                <c:pt idx="20">
                  <c:v>3.6384788285795397E-3</c:v>
                </c:pt>
                <c:pt idx="21">
                  <c:v>3.6567869151690885E-3</c:v>
                </c:pt>
                <c:pt idx="22">
                  <c:v>3.6677295319870046E-3</c:v>
                </c:pt>
                <c:pt idx="23">
                  <c:v>3.738451676979582E-3</c:v>
                </c:pt>
                <c:pt idx="24">
                  <c:v>3.720097095305738E-3</c:v>
                </c:pt>
                <c:pt idx="25">
                  <c:v>3.5893395929520997E-3</c:v>
                </c:pt>
                <c:pt idx="26">
                  <c:v>3.51033935467866E-3</c:v>
                </c:pt>
                <c:pt idx="27">
                  <c:v>3.6285687687835134E-3</c:v>
                </c:pt>
                <c:pt idx="28">
                  <c:v>3.5648663686183284E-3</c:v>
                </c:pt>
                <c:pt idx="29">
                  <c:v>3.4990871659903206E-3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63808"/>
        <c:axId val="193264384"/>
      </c:scatterChart>
      <c:valAx>
        <c:axId val="193263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3264384"/>
        <c:crosses val="autoZero"/>
        <c:crossBetween val="midCat"/>
      </c:valAx>
      <c:valAx>
        <c:axId val="193264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263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half masses</c:v>
          </c:tx>
          <c:spPr>
            <a:ln w="28575">
              <a:noFill/>
            </a:ln>
          </c:spPr>
          <c:xVal>
            <c:numRef>
              <c:f>'IC B'!$B$11:$H$11</c:f>
              <c:numCache>
                <c:formatCode>General</c:formatCode>
                <c:ptCount val="7"/>
                <c:pt idx="0">
                  <c:v>234.54</c:v>
                </c:pt>
                <c:pt idx="1">
                  <c:v>235.54</c:v>
                </c:pt>
                <c:pt idx="2">
                  <c:v>236.54</c:v>
                </c:pt>
                <c:pt idx="3">
                  <c:v>232.54</c:v>
                </c:pt>
                <c:pt idx="4">
                  <c:v>233.54</c:v>
                </c:pt>
                <c:pt idx="5">
                  <c:v>234.54</c:v>
                </c:pt>
                <c:pt idx="6">
                  <c:v>237.041</c:v>
                </c:pt>
              </c:numCache>
            </c:numRef>
          </c:xVal>
          <c:yVal>
            <c:numRef>
              <c:f>'IC B'!$B$12:$H$12</c:f>
              <c:numCache>
                <c:formatCode>0.0000000</c:formatCode>
                <c:ptCount val="7"/>
                <c:pt idx="0">
                  <c:v>5.3299325900000006E-5</c:v>
                </c:pt>
                <c:pt idx="1">
                  <c:v>1.0201685085185185E-4</c:v>
                </c:pt>
                <c:pt idx="2">
                  <c:v>2.1194291840740745E-4</c:v>
                </c:pt>
                <c:pt idx="3">
                  <c:v>1.2248252894814812E-5</c:v>
                </c:pt>
                <c:pt idx="4">
                  <c:v>4.7210348222222227E-5</c:v>
                </c:pt>
                <c:pt idx="5">
                  <c:v>7.0154392814814821E-5</c:v>
                </c:pt>
                <c:pt idx="6">
                  <c:v>4.1260108407407411E-4</c:v>
                </c:pt>
              </c:numCache>
            </c:numRef>
          </c:yVal>
          <c:smooth val="0"/>
        </c:ser>
        <c:ser>
          <c:idx val="1"/>
          <c:order val="1"/>
          <c:tx>
            <c:v>minor isotopes (corrected)</c:v>
          </c:tx>
          <c:spPr>
            <a:ln w="28575">
              <a:noFill/>
            </a:ln>
          </c:spPr>
          <c:xVal>
            <c:numRef>
              <c:f>'IC B'!$Q$11:$S$11</c:f>
              <c:numCache>
                <c:formatCode>General</c:formatCode>
                <c:ptCount val="3"/>
                <c:pt idx="0">
                  <c:v>234.041</c:v>
                </c:pt>
                <c:pt idx="1">
                  <c:v>233.041</c:v>
                </c:pt>
                <c:pt idx="2">
                  <c:v>236.041</c:v>
                </c:pt>
              </c:numCache>
            </c:numRef>
          </c:xVal>
          <c:yVal>
            <c:numRef>
              <c:f>'IC B'!$Q$12:$S$12</c:f>
              <c:numCache>
                <c:formatCode>0.00000</c:formatCode>
                <c:ptCount val="3"/>
                <c:pt idx="0" formatCode="0.0000">
                  <c:v>2.8769954688888892E-4</c:v>
                </c:pt>
                <c:pt idx="1">
                  <c:v>-1.0365562604074075E-5</c:v>
                </c:pt>
                <c:pt idx="2" formatCode="0.0000">
                  <c:v>1.1355607420925928E-3</c:v>
                </c:pt>
              </c:numCache>
            </c:numRef>
          </c:yVal>
          <c:smooth val="0"/>
        </c:ser>
        <c:ser>
          <c:idx val="2"/>
          <c:order val="2"/>
          <c:tx>
            <c:v>minor isotopes (non-corrected)</c:v>
          </c:tx>
          <c:spPr>
            <a:ln w="28575">
              <a:noFill/>
            </a:ln>
          </c:spPr>
          <c:xVal>
            <c:numRef>
              <c:f>'IC B'!$I$11:$K$11</c:f>
              <c:numCache>
                <c:formatCode>General</c:formatCode>
                <c:ptCount val="3"/>
                <c:pt idx="0">
                  <c:v>234.041</c:v>
                </c:pt>
                <c:pt idx="1">
                  <c:v>233.041</c:v>
                </c:pt>
                <c:pt idx="2">
                  <c:v>236.041</c:v>
                </c:pt>
              </c:numCache>
            </c:numRef>
          </c:xVal>
          <c:yVal>
            <c:numRef>
              <c:f>'IC B'!$I$12:$K$12</c:f>
              <c:numCache>
                <c:formatCode>0.0000000</c:formatCode>
                <c:ptCount val="3"/>
                <c:pt idx="0">
                  <c:v>3.4638191740740741E-4</c:v>
                </c:pt>
                <c:pt idx="1">
                  <c:v>1.936373795444444E-5</c:v>
                </c:pt>
                <c:pt idx="2">
                  <c:v>1.3985120859259261E-3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73856"/>
        <c:axId val="194274432"/>
      </c:scatterChart>
      <c:valAx>
        <c:axId val="19427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274432"/>
        <c:crosses val="autoZero"/>
        <c:crossBetween val="midCat"/>
      </c:valAx>
      <c:valAx>
        <c:axId val="194274432"/>
        <c:scaling>
          <c:orientation val="minMax"/>
        </c:scaling>
        <c:delete val="0"/>
        <c:axPos val="l"/>
        <c:majorGridlines/>
        <c:numFmt formatCode="0.0000" sourceLinked="0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273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xVal>
            <c:numRef>
              <c:f>'IC B'!$P$17:$P$44</c:f>
              <c:numCache>
                <c:formatCode>0.0</c:formatCode>
                <c:ptCount val="28"/>
                <c:pt idx="0">
                  <c:v>16.106291662609845</c:v>
                </c:pt>
                <c:pt idx="1">
                  <c:v>14.838139389593165</c:v>
                </c:pt>
                <c:pt idx="2">
                  <c:v>14.004607697823173</c:v>
                </c:pt>
                <c:pt idx="3">
                  <c:v>13.907118057559629</c:v>
                </c:pt>
                <c:pt idx="4">
                  <c:v>12.301369594901404</c:v>
                </c:pt>
                <c:pt idx="5">
                  <c:v>12.252348837392237</c:v>
                </c:pt>
                <c:pt idx="6">
                  <c:v>11.829452347429575</c:v>
                </c:pt>
                <c:pt idx="7">
                  <c:v>11.775834219034291</c:v>
                </c:pt>
                <c:pt idx="8">
                  <c:v>11.287297282378947</c:v>
                </c:pt>
                <c:pt idx="9">
                  <c:v>10.058274434789366</c:v>
                </c:pt>
                <c:pt idx="10">
                  <c:v>9.4457523548891409</c:v>
                </c:pt>
                <c:pt idx="11">
                  <c:v>9.0285020542264647</c:v>
                </c:pt>
                <c:pt idx="12">
                  <c:v>8.5621999086611442</c:v>
                </c:pt>
                <c:pt idx="13">
                  <c:v>8.5434899237330768</c:v>
                </c:pt>
                <c:pt idx="14">
                  <c:v>7.6341467789888897</c:v>
                </c:pt>
                <c:pt idx="15">
                  <c:v>8.4115214644910008</c:v>
                </c:pt>
                <c:pt idx="16">
                  <c:v>7.9400303458356198</c:v>
                </c:pt>
                <c:pt idx="17">
                  <c:v>8.010764445274507</c:v>
                </c:pt>
                <c:pt idx="18">
                  <c:v>8.1161653893386063</c:v>
                </c:pt>
                <c:pt idx="19">
                  <c:v>8.6494757733949683</c:v>
                </c:pt>
                <c:pt idx="20">
                  <c:v>8.3802160839854984</c:v>
                </c:pt>
                <c:pt idx="21">
                  <c:v>8.1227824215922446</c:v>
                </c:pt>
                <c:pt idx="22">
                  <c:v>7.7361833005304348</c:v>
                </c:pt>
                <c:pt idx="23">
                  <c:v>8.3721659173593892</c:v>
                </c:pt>
                <c:pt idx="24">
                  <c:v>6.0169946250620905</c:v>
                </c:pt>
                <c:pt idx="25">
                  <c:v>7.2299212901303553</c:v>
                </c:pt>
              </c:numCache>
            </c:numRef>
          </c:xVal>
          <c:yVal>
            <c:numRef>
              <c:f>'IC B'!$Z$17:$Z$44</c:f>
              <c:numCache>
                <c:formatCode>General</c:formatCode>
                <c:ptCount val="28"/>
                <c:pt idx="0">
                  <c:v>1.3229290599635842E-2</c:v>
                </c:pt>
                <c:pt idx="1">
                  <c:v>1.3636303072623224E-2</c:v>
                </c:pt>
                <c:pt idx="2">
                  <c:v>1.3590810064389985E-2</c:v>
                </c:pt>
                <c:pt idx="3">
                  <c:v>1.3918858457293518E-2</c:v>
                </c:pt>
                <c:pt idx="4">
                  <c:v>1.3826774011691835E-2</c:v>
                </c:pt>
                <c:pt idx="5">
                  <c:v>1.4224425481572552E-2</c:v>
                </c:pt>
                <c:pt idx="6">
                  <c:v>1.4133743067681189E-2</c:v>
                </c:pt>
                <c:pt idx="7">
                  <c:v>1.3811970661621258E-2</c:v>
                </c:pt>
                <c:pt idx="8">
                  <c:v>1.4163105978511436E-2</c:v>
                </c:pt>
                <c:pt idx="9">
                  <c:v>1.3865587821111179E-2</c:v>
                </c:pt>
                <c:pt idx="10">
                  <c:v>1.4495757910331079E-2</c:v>
                </c:pt>
                <c:pt idx="11">
                  <c:v>1.4209718390672612E-2</c:v>
                </c:pt>
                <c:pt idx="12">
                  <c:v>1.4283558821752357E-2</c:v>
                </c:pt>
                <c:pt idx="13">
                  <c:v>1.4719785987749865E-2</c:v>
                </c:pt>
                <c:pt idx="14">
                  <c:v>1.4735793382428735E-2</c:v>
                </c:pt>
                <c:pt idx="15">
                  <c:v>1.4860598566096658E-2</c:v>
                </c:pt>
                <c:pt idx="16">
                  <c:v>1.4856172685580017E-2</c:v>
                </c:pt>
                <c:pt idx="17">
                  <c:v>1.4752243918148005E-2</c:v>
                </c:pt>
                <c:pt idx="18">
                  <c:v>1.5037307826797216E-2</c:v>
                </c:pt>
                <c:pt idx="19">
                  <c:v>1.4764918079658159E-2</c:v>
                </c:pt>
                <c:pt idx="20">
                  <c:v>1.4767851047677905E-2</c:v>
                </c:pt>
                <c:pt idx="21">
                  <c:v>1.4523158688570273E-2</c:v>
                </c:pt>
                <c:pt idx="22">
                  <c:v>1.443883957169588E-2</c:v>
                </c:pt>
                <c:pt idx="23">
                  <c:v>1.4851297412390881E-2</c:v>
                </c:pt>
                <c:pt idx="24">
                  <c:v>1.543204157254857E-2</c:v>
                </c:pt>
                <c:pt idx="25">
                  <c:v>1.4979728769825474E-2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76736"/>
        <c:axId val="194277312"/>
      </c:scatterChart>
      <c:valAx>
        <c:axId val="19427673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277312"/>
        <c:crosses val="autoZero"/>
        <c:crossBetween val="midCat"/>
      </c:valAx>
      <c:valAx>
        <c:axId val="19427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276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 paperSize="9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'IC B'!$Z$16:$Z$42</c:f>
              <c:numCache>
                <c:formatCode>General</c:formatCode>
                <c:ptCount val="27"/>
                <c:pt idx="0">
                  <c:v>0</c:v>
                </c:pt>
                <c:pt idx="1">
                  <c:v>1.3229290599635842E-2</c:v>
                </c:pt>
                <c:pt idx="2">
                  <c:v>1.3636303072623224E-2</c:v>
                </c:pt>
                <c:pt idx="3">
                  <c:v>1.3590810064389985E-2</c:v>
                </c:pt>
                <c:pt idx="4">
                  <c:v>1.3918858457293518E-2</c:v>
                </c:pt>
                <c:pt idx="5">
                  <c:v>1.3826774011691835E-2</c:v>
                </c:pt>
                <c:pt idx="6">
                  <c:v>1.4224425481572552E-2</c:v>
                </c:pt>
                <c:pt idx="7">
                  <c:v>1.4133743067681189E-2</c:v>
                </c:pt>
                <c:pt idx="8">
                  <c:v>1.3811970661621258E-2</c:v>
                </c:pt>
                <c:pt idx="9">
                  <c:v>1.4163105978511436E-2</c:v>
                </c:pt>
                <c:pt idx="10">
                  <c:v>1.3865587821111179E-2</c:v>
                </c:pt>
                <c:pt idx="11">
                  <c:v>1.4495757910331079E-2</c:v>
                </c:pt>
                <c:pt idx="12">
                  <c:v>1.4209718390672612E-2</c:v>
                </c:pt>
                <c:pt idx="13">
                  <c:v>1.4283558821752357E-2</c:v>
                </c:pt>
                <c:pt idx="14">
                  <c:v>1.4719785987749865E-2</c:v>
                </c:pt>
                <c:pt idx="15">
                  <c:v>1.4735793382428735E-2</c:v>
                </c:pt>
                <c:pt idx="16">
                  <c:v>1.4860598566096658E-2</c:v>
                </c:pt>
                <c:pt idx="17">
                  <c:v>1.4856172685580017E-2</c:v>
                </c:pt>
                <c:pt idx="18">
                  <c:v>1.4752243918148005E-2</c:v>
                </c:pt>
                <c:pt idx="19">
                  <c:v>1.5037307826797216E-2</c:v>
                </c:pt>
                <c:pt idx="20">
                  <c:v>1.4764918079658159E-2</c:v>
                </c:pt>
                <c:pt idx="21">
                  <c:v>1.4767851047677905E-2</c:v>
                </c:pt>
                <c:pt idx="22">
                  <c:v>1.4523158688570273E-2</c:v>
                </c:pt>
                <c:pt idx="23">
                  <c:v>1.443883957169588E-2</c:v>
                </c:pt>
                <c:pt idx="24">
                  <c:v>1.4851297412390881E-2</c:v>
                </c:pt>
                <c:pt idx="25">
                  <c:v>1.543204157254857E-2</c:v>
                </c:pt>
                <c:pt idx="26">
                  <c:v>1.4979728769825474E-2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79040"/>
        <c:axId val="194279616"/>
      </c:scatterChart>
      <c:valAx>
        <c:axId val="194279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94279616"/>
        <c:crosses val="autoZero"/>
        <c:crossBetween val="midCat"/>
      </c:valAx>
      <c:valAx>
        <c:axId val="194279616"/>
        <c:scaling>
          <c:orientation val="minMax"/>
          <c:min val="1.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279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'IC B'!$AA$16:$AA$42</c:f>
              <c:numCache>
                <c:formatCode>General</c:formatCode>
                <c:ptCount val="27"/>
                <c:pt idx="0">
                  <c:v>0</c:v>
                </c:pt>
                <c:pt idx="1">
                  <c:v>3.6573586558752477E-3</c:v>
                </c:pt>
                <c:pt idx="2">
                  <c:v>3.7129329054935633E-3</c:v>
                </c:pt>
                <c:pt idx="3">
                  <c:v>3.6893748574532278E-3</c:v>
                </c:pt>
                <c:pt idx="4">
                  <c:v>3.6175338843752133E-3</c:v>
                </c:pt>
                <c:pt idx="5">
                  <c:v>3.4918776371173636E-3</c:v>
                </c:pt>
                <c:pt idx="6">
                  <c:v>3.6730261833859581E-3</c:v>
                </c:pt>
                <c:pt idx="7">
                  <c:v>3.5859232438351604E-3</c:v>
                </c:pt>
                <c:pt idx="8">
                  <c:v>3.503906535612718E-3</c:v>
                </c:pt>
                <c:pt idx="9">
                  <c:v>3.5914015294599253E-3</c:v>
                </c:pt>
                <c:pt idx="10">
                  <c:v>3.7427733961446713E-3</c:v>
                </c:pt>
                <c:pt idx="11">
                  <c:v>3.8491409787683789E-3</c:v>
                </c:pt>
                <c:pt idx="12">
                  <c:v>3.6491992575685287E-3</c:v>
                </c:pt>
                <c:pt idx="13">
                  <c:v>3.8232224592328347E-3</c:v>
                </c:pt>
                <c:pt idx="14">
                  <c:v>3.6841565345457645E-3</c:v>
                </c:pt>
                <c:pt idx="15">
                  <c:v>3.4591350162496187E-3</c:v>
                </c:pt>
                <c:pt idx="16">
                  <c:v>3.2541290701283846E-3</c:v>
                </c:pt>
                <c:pt idx="17">
                  <c:v>3.514025158198725E-3</c:v>
                </c:pt>
                <c:pt idx="18">
                  <c:v>3.2692039894230401E-3</c:v>
                </c:pt>
                <c:pt idx="19">
                  <c:v>3.4251292830386284E-3</c:v>
                </c:pt>
                <c:pt idx="20">
                  <c:v>3.453086701249533E-3</c:v>
                </c:pt>
                <c:pt idx="21">
                  <c:v>3.8625876924359179E-3</c:v>
                </c:pt>
                <c:pt idx="22">
                  <c:v>3.5182327020143005E-3</c:v>
                </c:pt>
                <c:pt idx="23">
                  <c:v>3.8634375182891208E-3</c:v>
                </c:pt>
                <c:pt idx="24">
                  <c:v>3.6820352549675381E-3</c:v>
                </c:pt>
                <c:pt idx="25">
                  <c:v>3.4601987197267728E-3</c:v>
                </c:pt>
                <c:pt idx="26">
                  <c:v>3.1605827299129815E-3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85984"/>
        <c:axId val="194986560"/>
      </c:scatterChart>
      <c:valAx>
        <c:axId val="194985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94986560"/>
        <c:crosses val="autoZero"/>
        <c:crossBetween val="midCat"/>
      </c:valAx>
      <c:valAx>
        <c:axId val="194986560"/>
        <c:scaling>
          <c:orientation val="minMax"/>
          <c:min val="2.5000000000000001E-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985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'IC B'!$V$17:$V$42</c:f>
              <c:numCache>
                <c:formatCode>0.00000000</c:formatCode>
                <c:ptCount val="26"/>
                <c:pt idx="0">
                  <c:v>491.54043262582195</c:v>
                </c:pt>
                <c:pt idx="1">
                  <c:v>491.54639476565728</c:v>
                </c:pt>
                <c:pt idx="2">
                  <c:v>491.57448285382941</c:v>
                </c:pt>
                <c:pt idx="3">
                  <c:v>491.56418494103383</c:v>
                </c:pt>
                <c:pt idx="4">
                  <c:v>491.71905399066935</c:v>
                </c:pt>
                <c:pt idx="5">
                  <c:v>491.68943442335126</c:v>
                </c:pt>
                <c:pt idx="6">
                  <c:v>491.78576018011051</c:v>
                </c:pt>
                <c:pt idx="7">
                  <c:v>491.64770860116647</c:v>
                </c:pt>
                <c:pt idx="8">
                  <c:v>491.59100738374872</c:v>
                </c:pt>
                <c:pt idx="9">
                  <c:v>492.00318211164409</c:v>
                </c:pt>
                <c:pt idx="10">
                  <c:v>491.95560133043875</c:v>
                </c:pt>
                <c:pt idx="11">
                  <c:v>491.81878819091901</c:v>
                </c:pt>
                <c:pt idx="12">
                  <c:v>491.83948912334807</c:v>
                </c:pt>
                <c:pt idx="13">
                  <c:v>491.996529466308</c:v>
                </c:pt>
                <c:pt idx="14">
                  <c:v>492.29003235887006</c:v>
                </c:pt>
                <c:pt idx="15">
                  <c:v>491.96439905395601</c:v>
                </c:pt>
                <c:pt idx="16">
                  <c:v>492.08804526362076</c:v>
                </c:pt>
                <c:pt idx="17">
                  <c:v>492.18505904049653</c:v>
                </c:pt>
                <c:pt idx="18">
                  <c:v>492.23329688274595</c:v>
                </c:pt>
                <c:pt idx="19">
                  <c:v>492.16380687623536</c:v>
                </c:pt>
                <c:pt idx="20">
                  <c:v>491.97182633840464</c:v>
                </c:pt>
                <c:pt idx="21">
                  <c:v>491.99896130976703</c:v>
                </c:pt>
                <c:pt idx="22">
                  <c:v>492.04551453460084</c:v>
                </c:pt>
                <c:pt idx="23">
                  <c:v>492.21423028714133</c:v>
                </c:pt>
                <c:pt idx="24">
                  <c:v>492.41256723003886</c:v>
                </c:pt>
                <c:pt idx="25">
                  <c:v>492.2281675973133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88288"/>
        <c:axId val="194988864"/>
      </c:scatterChart>
      <c:valAx>
        <c:axId val="194988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94988864"/>
        <c:crosses val="autoZero"/>
        <c:crossBetween val="midCat"/>
      </c:valAx>
      <c:valAx>
        <c:axId val="194988864"/>
        <c:scaling>
          <c:orientation val="minMax"/>
        </c:scaling>
        <c:delete val="0"/>
        <c:axPos val="l"/>
        <c:majorGridlines/>
        <c:numFmt formatCode="0.00000000" sourceLinked="1"/>
        <c:majorTickMark val="out"/>
        <c:minorTickMark val="none"/>
        <c:tickLblPos val="nextTo"/>
        <c:crossAx val="194988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half masses</c:v>
          </c:tx>
          <c:spPr>
            <a:ln w="28575">
              <a:noFill/>
            </a:ln>
          </c:spPr>
          <c:xVal>
            <c:numRef>
              <c:f>'IC D'!$B$11:$H$11</c:f>
              <c:numCache>
                <c:formatCode>General</c:formatCode>
                <c:ptCount val="7"/>
                <c:pt idx="0">
                  <c:v>234.54</c:v>
                </c:pt>
                <c:pt idx="1">
                  <c:v>235.54</c:v>
                </c:pt>
                <c:pt idx="2">
                  <c:v>236.54</c:v>
                </c:pt>
                <c:pt idx="3">
                  <c:v>232.54</c:v>
                </c:pt>
                <c:pt idx="4">
                  <c:v>233.54</c:v>
                </c:pt>
                <c:pt idx="5">
                  <c:v>234.54</c:v>
                </c:pt>
                <c:pt idx="6">
                  <c:v>237.041</c:v>
                </c:pt>
              </c:numCache>
            </c:numRef>
          </c:xVal>
          <c:yVal>
            <c:numRef>
              <c:f>'IC D'!$B$12:$H$12</c:f>
              <c:numCache>
                <c:formatCode>0.0000000</c:formatCode>
                <c:ptCount val="7"/>
                <c:pt idx="0">
                  <c:v>3.3020776600000005E-5</c:v>
                </c:pt>
                <c:pt idx="1">
                  <c:v>6.9183954700000009E-5</c:v>
                </c:pt>
                <c:pt idx="2">
                  <c:v>1.4831445299999998E-4</c:v>
                </c:pt>
                <c:pt idx="3">
                  <c:v>6.0396564000000002E-6</c:v>
                </c:pt>
                <c:pt idx="4">
                  <c:v>3.6351393999999996E-5</c:v>
                </c:pt>
                <c:pt idx="5">
                  <c:v>5.1761522599999999E-5</c:v>
                </c:pt>
                <c:pt idx="6">
                  <c:v>3.1997409200000001E-4</c:v>
                </c:pt>
              </c:numCache>
            </c:numRef>
          </c:yVal>
          <c:smooth val="0"/>
        </c:ser>
        <c:ser>
          <c:idx val="1"/>
          <c:order val="1"/>
          <c:tx>
            <c:v>minor isotopes (corrected)</c:v>
          </c:tx>
          <c:spPr>
            <a:ln w="28575">
              <a:noFill/>
            </a:ln>
          </c:spPr>
          <c:xVal>
            <c:numRef>
              <c:f>'IC D'!$Q$11:$S$11</c:f>
              <c:numCache>
                <c:formatCode>General</c:formatCode>
                <c:ptCount val="3"/>
                <c:pt idx="0">
                  <c:v>234.041</c:v>
                </c:pt>
                <c:pt idx="1">
                  <c:v>233.041</c:v>
                </c:pt>
                <c:pt idx="2">
                  <c:v>236.041</c:v>
                </c:pt>
              </c:numCache>
            </c:numRef>
          </c:xVal>
          <c:yVal>
            <c:numRef>
              <c:f>'IC D'!$Q$12:$S$12</c:f>
              <c:numCache>
                <c:formatCode>0.00000</c:formatCode>
                <c:ptCount val="3"/>
                <c:pt idx="0" formatCode="0.0000">
                  <c:v>2.8296341670000003E-4</c:v>
                </c:pt>
                <c:pt idx="1">
                  <c:v>-1.1156551620000003E-5</c:v>
                </c:pt>
                <c:pt idx="2" formatCode="0.0000">
                  <c:v>1.16103590965E-3</c:v>
                </c:pt>
              </c:numCache>
            </c:numRef>
          </c:yVal>
          <c:smooth val="0"/>
        </c:ser>
        <c:ser>
          <c:idx val="2"/>
          <c:order val="2"/>
          <c:tx>
            <c:v>minor isotopes (non-corrected)</c:v>
          </c:tx>
          <c:spPr>
            <a:ln w="28575">
              <a:noFill/>
            </a:ln>
          </c:spPr>
          <c:xVal>
            <c:numRef>
              <c:f>'IC D'!$I$11:$K$11</c:f>
              <c:numCache>
                <c:formatCode>General</c:formatCode>
                <c:ptCount val="3"/>
                <c:pt idx="0">
                  <c:v>234.041</c:v>
                </c:pt>
                <c:pt idx="1">
                  <c:v>233.041</c:v>
                </c:pt>
                <c:pt idx="2">
                  <c:v>236.041</c:v>
                </c:pt>
              </c:numCache>
            </c:numRef>
          </c:xVal>
          <c:yVal>
            <c:numRef>
              <c:f>'IC D'!$I$12:$K$12</c:f>
              <c:numCache>
                <c:formatCode>0.0000000</c:formatCode>
                <c:ptCount val="3"/>
                <c:pt idx="0">
                  <c:v>3.2701987500000003E-4</c:v>
                </c:pt>
                <c:pt idx="1">
                  <c:v>1.0038973580000001E-5</c:v>
                </c:pt>
                <c:pt idx="2">
                  <c:v>1.3439423399999998E-3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90592"/>
        <c:axId val="194991168"/>
      </c:scatterChart>
      <c:valAx>
        <c:axId val="19499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991168"/>
        <c:crosses val="autoZero"/>
        <c:crossBetween val="midCat"/>
      </c:valAx>
      <c:valAx>
        <c:axId val="194991168"/>
        <c:scaling>
          <c:orientation val="minMax"/>
        </c:scaling>
        <c:delete val="0"/>
        <c:axPos val="l"/>
        <c:majorGridlines/>
        <c:numFmt formatCode="0.0000" sourceLinked="0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990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'IC D'!$Z$16:$Z$35</c:f>
              <c:numCache>
                <c:formatCode>General</c:formatCode>
                <c:ptCount val="20"/>
                <c:pt idx="0">
                  <c:v>1.489890867462995E-2</c:v>
                </c:pt>
                <c:pt idx="1">
                  <c:v>1.470136400451866E-2</c:v>
                </c:pt>
                <c:pt idx="2">
                  <c:v>1.4500830156677625E-2</c:v>
                </c:pt>
                <c:pt idx="3">
                  <c:v>1.4500474061286442E-2</c:v>
                </c:pt>
                <c:pt idx="4">
                  <c:v>1.4763730483084972E-2</c:v>
                </c:pt>
                <c:pt idx="5">
                  <c:v>1.4888664225740136E-2</c:v>
                </c:pt>
                <c:pt idx="6">
                  <c:v>1.4793062796129073E-2</c:v>
                </c:pt>
                <c:pt idx="7">
                  <c:v>1.4732470466169045E-2</c:v>
                </c:pt>
                <c:pt idx="8">
                  <c:v>1.4849587077435077E-2</c:v>
                </c:pt>
                <c:pt idx="9">
                  <c:v>1.5203355011855886E-2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93472"/>
        <c:axId val="194412544"/>
      </c:scatterChart>
      <c:valAx>
        <c:axId val="19499347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412544"/>
        <c:crosses val="autoZero"/>
        <c:crossBetween val="midCat"/>
      </c:valAx>
      <c:valAx>
        <c:axId val="19441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993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xVal>
            <c:numRef>
              <c:f>'IC D'!$P$16:$P$34</c:f>
              <c:numCache>
                <c:formatCode>0.0</c:formatCode>
                <c:ptCount val="19"/>
                <c:pt idx="0">
                  <c:v>8.8728483550471271</c:v>
                </c:pt>
                <c:pt idx="1">
                  <c:v>8.8559844932864475</c:v>
                </c:pt>
                <c:pt idx="2">
                  <c:v>9.4404496262428186</c:v>
                </c:pt>
                <c:pt idx="3">
                  <c:v>8.0418059185570883</c:v>
                </c:pt>
                <c:pt idx="4">
                  <c:v>8.8395455256056223</c:v>
                </c:pt>
                <c:pt idx="5">
                  <c:v>7.7855293542447939</c:v>
                </c:pt>
                <c:pt idx="6">
                  <c:v>7.7848572893959123</c:v>
                </c:pt>
                <c:pt idx="7">
                  <c:v>7.953216216740274</c:v>
                </c:pt>
                <c:pt idx="8">
                  <c:v>7.9595849571200343</c:v>
                </c:pt>
                <c:pt idx="9">
                  <c:v>7.8161976983745181</c:v>
                </c:pt>
              </c:numCache>
            </c:numRef>
          </c:xVal>
          <c:yVal>
            <c:numRef>
              <c:f>'IC D'!$Z$16:$Z$34</c:f>
              <c:numCache>
                <c:formatCode>General</c:formatCode>
                <c:ptCount val="19"/>
                <c:pt idx="0">
                  <c:v>1.489890867462995E-2</c:v>
                </c:pt>
                <c:pt idx="1">
                  <c:v>1.470136400451866E-2</c:v>
                </c:pt>
                <c:pt idx="2">
                  <c:v>1.4500830156677625E-2</c:v>
                </c:pt>
                <c:pt idx="3">
                  <c:v>1.4500474061286442E-2</c:v>
                </c:pt>
                <c:pt idx="4">
                  <c:v>1.4763730483084972E-2</c:v>
                </c:pt>
                <c:pt idx="5">
                  <c:v>1.4888664225740136E-2</c:v>
                </c:pt>
                <c:pt idx="6">
                  <c:v>1.4793062796129073E-2</c:v>
                </c:pt>
                <c:pt idx="7">
                  <c:v>1.4732470466169045E-2</c:v>
                </c:pt>
                <c:pt idx="8">
                  <c:v>1.4849587077435077E-2</c:v>
                </c:pt>
                <c:pt idx="9">
                  <c:v>1.5203355011855886E-2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14272"/>
        <c:axId val="194414848"/>
      </c:scatterChart>
      <c:valAx>
        <c:axId val="19441427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414848"/>
        <c:crosses val="autoZero"/>
        <c:crossBetween val="midCat"/>
      </c:valAx>
      <c:valAx>
        <c:axId val="194414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414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 paperSize="9" orientation="landscape" horizontalDpi="300" verticalDpi="30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half masses</c:v>
          </c:tx>
          <c:spPr>
            <a:ln w="28575">
              <a:noFill/>
            </a:ln>
          </c:spPr>
          <c:xVal>
            <c:numRef>
              <c:f>'IC E'!$B$11:$H$11</c:f>
              <c:numCache>
                <c:formatCode>General</c:formatCode>
                <c:ptCount val="7"/>
                <c:pt idx="0">
                  <c:v>234.54</c:v>
                </c:pt>
                <c:pt idx="1">
                  <c:v>235.54</c:v>
                </c:pt>
                <c:pt idx="2">
                  <c:v>236.54</c:v>
                </c:pt>
                <c:pt idx="3">
                  <c:v>232.54</c:v>
                </c:pt>
                <c:pt idx="4">
                  <c:v>233.54</c:v>
                </c:pt>
                <c:pt idx="5">
                  <c:v>234.54</c:v>
                </c:pt>
                <c:pt idx="6">
                  <c:v>237.041</c:v>
                </c:pt>
              </c:numCache>
            </c:numRef>
          </c:xVal>
          <c:yVal>
            <c:numRef>
              <c:f>'IC E'!$B$12:$H$12</c:f>
              <c:numCache>
                <c:formatCode>0.0000000</c:formatCode>
                <c:ptCount val="7"/>
                <c:pt idx="0">
                  <c:v>7.3223996342857132E-6</c:v>
                </c:pt>
                <c:pt idx="1">
                  <c:v>3.0956702874857133E-5</c:v>
                </c:pt>
                <c:pt idx="2">
                  <c:v>9.4801510442857134E-5</c:v>
                </c:pt>
                <c:pt idx="3">
                  <c:v>-9.6459752971428599E-6</c:v>
                </c:pt>
                <c:pt idx="4">
                  <c:v>-4.1837863085714316E-7</c:v>
                </c:pt>
                <c:pt idx="5">
                  <c:v>2.6064941004285713E-5</c:v>
                </c:pt>
                <c:pt idx="6">
                  <c:v>2.1368291985714291E-4</c:v>
                </c:pt>
              </c:numCache>
            </c:numRef>
          </c:yVal>
          <c:smooth val="0"/>
        </c:ser>
        <c:ser>
          <c:idx val="1"/>
          <c:order val="1"/>
          <c:tx>
            <c:v>minor isotopes (corrected)</c:v>
          </c:tx>
          <c:spPr>
            <a:ln w="28575">
              <a:noFill/>
            </a:ln>
          </c:spPr>
          <c:xVal>
            <c:numRef>
              <c:f>'IC E'!$Q$11:$S$11</c:f>
              <c:numCache>
                <c:formatCode>General</c:formatCode>
                <c:ptCount val="3"/>
                <c:pt idx="0">
                  <c:v>234.041</c:v>
                </c:pt>
                <c:pt idx="1">
                  <c:v>233.041</c:v>
                </c:pt>
                <c:pt idx="2">
                  <c:v>236.041</c:v>
                </c:pt>
              </c:numCache>
            </c:numRef>
          </c:xVal>
          <c:yVal>
            <c:numRef>
              <c:f>'IC E'!$Q$12:$S$12</c:f>
              <c:numCache>
                <c:formatCode>0.00000</c:formatCode>
                <c:ptCount val="3"/>
                <c:pt idx="0" formatCode="0.0000">
                  <c:v>3.0041579967042846E-4</c:v>
                </c:pt>
                <c:pt idx="1">
                  <c:v>-3.812212208142858E-6</c:v>
                </c:pt>
                <c:pt idx="2" formatCode="0.0000">
                  <c:v>1.2762450652625719E-3</c:v>
                </c:pt>
              </c:numCache>
            </c:numRef>
          </c:yVal>
          <c:smooth val="0"/>
        </c:ser>
        <c:ser>
          <c:idx val="2"/>
          <c:order val="2"/>
          <c:tx>
            <c:v>minor isotopes (non-corrected)</c:v>
          </c:tx>
          <c:spPr>
            <a:ln w="28575">
              <a:noFill/>
            </a:ln>
          </c:spPr>
          <c:xVal>
            <c:numRef>
              <c:f>'IC E'!$I$11:$K$11</c:f>
              <c:numCache>
                <c:formatCode>General</c:formatCode>
                <c:ptCount val="3"/>
                <c:pt idx="0">
                  <c:v>234.041</c:v>
                </c:pt>
                <c:pt idx="1">
                  <c:v>233.041</c:v>
                </c:pt>
                <c:pt idx="2">
                  <c:v>236.041</c:v>
                </c:pt>
              </c:numCache>
            </c:numRef>
          </c:xVal>
          <c:yVal>
            <c:numRef>
              <c:f>'IC E'!$I$12:$K$12</c:f>
              <c:numCache>
                <c:formatCode>0.0000000</c:formatCode>
                <c:ptCount val="3"/>
                <c:pt idx="0">
                  <c:v>3.132390808571428E-4</c:v>
                </c:pt>
                <c:pt idx="1">
                  <c:v>-8.844389172142856E-6</c:v>
                </c:pt>
                <c:pt idx="2">
                  <c:v>1.3865249271428574E-3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16576"/>
        <c:axId val="194417152"/>
      </c:scatterChart>
      <c:valAx>
        <c:axId val="19441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417152"/>
        <c:crosses val="autoZero"/>
        <c:crossBetween val="midCat"/>
      </c:valAx>
      <c:valAx>
        <c:axId val="194417152"/>
        <c:scaling>
          <c:orientation val="minMax"/>
        </c:scaling>
        <c:delete val="0"/>
        <c:axPos val="l"/>
        <c:majorGridlines/>
        <c:numFmt formatCode="0.0000" sourceLinked="0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41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'IC E'!$Z$16:$Z$85</c:f>
              <c:numCache>
                <c:formatCode>General</c:formatCode>
                <c:ptCount val="70"/>
                <c:pt idx="0">
                  <c:v>1.5057186636798699E-2</c:v>
                </c:pt>
                <c:pt idx="1">
                  <c:v>1.5015057711967371E-2</c:v>
                </c:pt>
                <c:pt idx="2">
                  <c:v>1.5087358197672223E-2</c:v>
                </c:pt>
                <c:pt idx="3">
                  <c:v>1.510933630405171E-2</c:v>
                </c:pt>
                <c:pt idx="4">
                  <c:v>1.5081450315198842E-2</c:v>
                </c:pt>
                <c:pt idx="5">
                  <c:v>1.4908681645379835E-2</c:v>
                </c:pt>
                <c:pt idx="6">
                  <c:v>1.4885651737332081E-2</c:v>
                </c:pt>
                <c:pt idx="7">
                  <c:v>1.5034989548794344E-2</c:v>
                </c:pt>
                <c:pt idx="8">
                  <c:v>1.5079293269864444E-2</c:v>
                </c:pt>
                <c:pt idx="9">
                  <c:v>1.4958395943297502E-2</c:v>
                </c:pt>
                <c:pt idx="10">
                  <c:v>1.52013053486866E-2</c:v>
                </c:pt>
                <c:pt idx="11">
                  <c:v>1.5108166288608347E-2</c:v>
                </c:pt>
                <c:pt idx="12">
                  <c:v>1.519751141748669E-2</c:v>
                </c:pt>
                <c:pt idx="13">
                  <c:v>1.5073243905596853E-2</c:v>
                </c:pt>
                <c:pt idx="14">
                  <c:v>1.5363242440594158E-2</c:v>
                </c:pt>
                <c:pt idx="15">
                  <c:v>1.5202888697828881E-2</c:v>
                </c:pt>
                <c:pt idx="16">
                  <c:v>1.5361359838213148E-2</c:v>
                </c:pt>
                <c:pt idx="17">
                  <c:v>1.5219302593672395E-2</c:v>
                </c:pt>
                <c:pt idx="18">
                  <c:v>1.5265641440647942E-2</c:v>
                </c:pt>
                <c:pt idx="19">
                  <c:v>1.5415967238274469E-2</c:v>
                </c:pt>
                <c:pt idx="20">
                  <c:v>1.5211213130954734E-2</c:v>
                </c:pt>
                <c:pt idx="21">
                  <c:v>1.50940007905678E-2</c:v>
                </c:pt>
                <c:pt idx="22">
                  <c:v>1.5033436683269232E-2</c:v>
                </c:pt>
                <c:pt idx="23">
                  <c:v>1.5147884520303282E-2</c:v>
                </c:pt>
                <c:pt idx="24">
                  <c:v>1.5208972212051081E-2</c:v>
                </c:pt>
                <c:pt idx="25">
                  <c:v>1.4795685882217639E-2</c:v>
                </c:pt>
                <c:pt idx="26">
                  <c:v>1.5456295418395518E-2</c:v>
                </c:pt>
                <c:pt idx="27">
                  <c:v>1.5171520103133728E-2</c:v>
                </c:pt>
                <c:pt idx="28">
                  <c:v>1.5482091434929575E-2</c:v>
                </c:pt>
                <c:pt idx="29">
                  <c:v>1.5370139798614528E-2</c:v>
                </c:pt>
                <c:pt idx="30">
                  <c:v>1.5048331504648136E-2</c:v>
                </c:pt>
                <c:pt idx="31">
                  <c:v>1.5277229518117472E-2</c:v>
                </c:pt>
                <c:pt idx="32">
                  <c:v>1.5029033299875053E-2</c:v>
                </c:pt>
                <c:pt idx="33">
                  <c:v>1.5142799346754322E-2</c:v>
                </c:pt>
                <c:pt idx="34">
                  <c:v>1.4814852613891927E-2</c:v>
                </c:pt>
                <c:pt idx="35">
                  <c:v>1.5399718475435848E-2</c:v>
                </c:pt>
                <c:pt idx="36">
                  <c:v>1.5380253442604769E-2</c:v>
                </c:pt>
                <c:pt idx="37">
                  <c:v>1.5233590246002222E-2</c:v>
                </c:pt>
                <c:pt idx="38">
                  <c:v>1.5633210942485105E-2</c:v>
                </c:pt>
                <c:pt idx="39">
                  <c:v>1.5601578434311316E-2</c:v>
                </c:pt>
                <c:pt idx="40">
                  <c:v>1.5112681179727942E-2</c:v>
                </c:pt>
                <c:pt idx="41">
                  <c:v>1.5240771742875884E-2</c:v>
                </c:pt>
                <c:pt idx="42">
                  <c:v>1.5260126824831192E-2</c:v>
                </c:pt>
                <c:pt idx="43">
                  <c:v>1.5258705560310374E-2</c:v>
                </c:pt>
                <c:pt idx="44">
                  <c:v>1.5474269283069027E-2</c:v>
                </c:pt>
                <c:pt idx="45">
                  <c:v>1.54274499734225E-2</c:v>
                </c:pt>
                <c:pt idx="46">
                  <c:v>1.544983948403089E-2</c:v>
                </c:pt>
                <c:pt idx="47">
                  <c:v>1.542998005228184E-2</c:v>
                </c:pt>
                <c:pt idx="48">
                  <c:v>1.5450306220368594E-2</c:v>
                </c:pt>
                <c:pt idx="49">
                  <c:v>1.5340896623995532E-2</c:v>
                </c:pt>
                <c:pt idx="50">
                  <c:v>1.5508934641404886E-2</c:v>
                </c:pt>
                <c:pt idx="51">
                  <c:v>1.4998176730956159E-2</c:v>
                </c:pt>
                <c:pt idx="52">
                  <c:v>1.5164889546322913E-2</c:v>
                </c:pt>
                <c:pt idx="53">
                  <c:v>1.5062894533198886E-2</c:v>
                </c:pt>
                <c:pt idx="54">
                  <c:v>1.5100657641012295E-2</c:v>
                </c:pt>
                <c:pt idx="55">
                  <c:v>1.5192494789361756E-2</c:v>
                </c:pt>
                <c:pt idx="56">
                  <c:v>1.5492498667753577E-2</c:v>
                </c:pt>
                <c:pt idx="57">
                  <c:v>1.5493596485140109E-2</c:v>
                </c:pt>
                <c:pt idx="58">
                  <c:v>1.5466243423593031E-2</c:v>
                </c:pt>
                <c:pt idx="59">
                  <c:v>1.5477380023454508E-2</c:v>
                </c:pt>
                <c:pt idx="60">
                  <c:v>1.5570937706718925E-2</c:v>
                </c:pt>
                <c:pt idx="61">
                  <c:v>1.5368533829641304E-2</c:v>
                </c:pt>
                <c:pt idx="62">
                  <c:v>1.5184950327848388E-2</c:v>
                </c:pt>
                <c:pt idx="63">
                  <c:v>1.5459695997553858E-2</c:v>
                </c:pt>
                <c:pt idx="64">
                  <c:v>1.5213275468615181E-2</c:v>
                </c:pt>
                <c:pt idx="65">
                  <c:v>1.5523975703191414E-2</c:v>
                </c:pt>
                <c:pt idx="66">
                  <c:v>1.5566521415683765E-2</c:v>
                </c:pt>
                <c:pt idx="67">
                  <c:v>1.5353659361474157E-2</c:v>
                </c:pt>
                <c:pt idx="68">
                  <c:v>1.5530056811824502E-2</c:v>
                </c:pt>
                <c:pt idx="69">
                  <c:v>1.5705704783474703E-2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20032"/>
        <c:axId val="195387392"/>
      </c:scatterChart>
      <c:valAx>
        <c:axId val="19442003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387392"/>
        <c:crosses val="autoZero"/>
        <c:crossBetween val="midCat"/>
      </c:valAx>
      <c:valAx>
        <c:axId val="19538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4420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xVal>
            <c:numRef>
              <c:f>'IC E'!$P$17:$P$85</c:f>
              <c:numCache>
                <c:formatCode>0.0</c:formatCode>
                <c:ptCount val="69"/>
                <c:pt idx="0">
                  <c:v>5.458228611804917</c:v>
                </c:pt>
                <c:pt idx="1">
                  <c:v>6.2300806686735637</c:v>
                </c:pt>
                <c:pt idx="2">
                  <c:v>5.7807010069002969</c:v>
                </c:pt>
                <c:pt idx="3">
                  <c:v>5.6683900650074612</c:v>
                </c:pt>
                <c:pt idx="4">
                  <c:v>4.9401611922994526</c:v>
                </c:pt>
                <c:pt idx="5">
                  <c:v>5.5545151934519206</c:v>
                </c:pt>
                <c:pt idx="6">
                  <c:v>5.855188728476783</c:v>
                </c:pt>
                <c:pt idx="7">
                  <c:v>6.209125987036817</c:v>
                </c:pt>
                <c:pt idx="8">
                  <c:v>5.9745373947290821</c:v>
                </c:pt>
                <c:pt idx="9">
                  <c:v>5.5485957244054607</c:v>
                </c:pt>
                <c:pt idx="10">
                  <c:v>5.476553347140249</c:v>
                </c:pt>
                <c:pt idx="11">
                  <c:v>5.7302486376886375</c:v>
                </c:pt>
                <c:pt idx="12">
                  <c:v>5.2476715202910924</c:v>
                </c:pt>
                <c:pt idx="13">
                  <c:v>5.5488957905759042</c:v>
                </c:pt>
                <c:pt idx="14">
                  <c:v>4.7435385375939196</c:v>
                </c:pt>
                <c:pt idx="15">
                  <c:v>5.210759373881098</c:v>
                </c:pt>
                <c:pt idx="16">
                  <c:v>5.2637560392651048</c:v>
                </c:pt>
                <c:pt idx="17">
                  <c:v>5.3460544356963586</c:v>
                </c:pt>
                <c:pt idx="18">
                  <c:v>6.0317594978017244</c:v>
                </c:pt>
                <c:pt idx="19">
                  <c:v>6.5602822190635379</c:v>
                </c:pt>
                <c:pt idx="20">
                  <c:v>5.9616041935378554</c:v>
                </c:pt>
                <c:pt idx="21">
                  <c:v>6.0274590358156743</c:v>
                </c:pt>
                <c:pt idx="22">
                  <c:v>6.024396434994018</c:v>
                </c:pt>
                <c:pt idx="23">
                  <c:v>6.156574732922099</c:v>
                </c:pt>
                <c:pt idx="24">
                  <c:v>4.8542392115488164</c:v>
                </c:pt>
                <c:pt idx="25">
                  <c:v>4.8492873446987845</c:v>
                </c:pt>
                <c:pt idx="26">
                  <c:v>5.3675717358833932</c:v>
                </c:pt>
                <c:pt idx="27">
                  <c:v>5.0331679738624056</c:v>
                </c:pt>
                <c:pt idx="28">
                  <c:v>5.1613943363377031</c:v>
                </c:pt>
                <c:pt idx="29">
                  <c:v>5.4718196583314809</c:v>
                </c:pt>
                <c:pt idx="30">
                  <c:v>5.5452824811314514</c:v>
                </c:pt>
                <c:pt idx="31">
                  <c:v>5.4334354605842021</c:v>
                </c:pt>
                <c:pt idx="32">
                  <c:v>5.2361519630214532</c:v>
                </c:pt>
                <c:pt idx="33">
                  <c:v>5.416276348677858</c:v>
                </c:pt>
                <c:pt idx="34">
                  <c:v>4.1206766728024107</c:v>
                </c:pt>
                <c:pt idx="35">
                  <c:v>4.3305337579687224</c:v>
                </c:pt>
                <c:pt idx="36">
                  <c:v>4.7815696929928819</c:v>
                </c:pt>
                <c:pt idx="37">
                  <c:v>4.6602244141348166</c:v>
                </c:pt>
                <c:pt idx="38">
                  <c:v>4.9608795133020855</c:v>
                </c:pt>
                <c:pt idx="39">
                  <c:v>6.0355009528458794</c:v>
                </c:pt>
                <c:pt idx="40">
                  <c:v>5.4282332109427749</c:v>
                </c:pt>
                <c:pt idx="41">
                  <c:v>4.9968995807575549</c:v>
                </c:pt>
                <c:pt idx="42">
                  <c:v>5.2205900380730474</c:v>
                </c:pt>
                <c:pt idx="43">
                  <c:v>5.0616436335901351</c:v>
                </c:pt>
                <c:pt idx="44">
                  <c:v>4.0591190023098029</c:v>
                </c:pt>
                <c:pt idx="45">
                  <c:v>4.6484396797083525</c:v>
                </c:pt>
                <c:pt idx="46">
                  <c:v>4.9846506509383168</c:v>
                </c:pt>
                <c:pt idx="47">
                  <c:v>4.9784839128647898</c:v>
                </c:pt>
                <c:pt idx="48">
                  <c:v>4.833308408144136</c:v>
                </c:pt>
                <c:pt idx="49">
                  <c:v>5.0050013692184567</c:v>
                </c:pt>
                <c:pt idx="50">
                  <c:v>4.6201183969457231</c:v>
                </c:pt>
                <c:pt idx="51">
                  <c:v>5.2240817948285398</c:v>
                </c:pt>
                <c:pt idx="52">
                  <c:v>5.1517783475209136</c:v>
                </c:pt>
                <c:pt idx="53">
                  <c:v>5.0189168817508163</c:v>
                </c:pt>
                <c:pt idx="54">
                  <c:v>4.3860955391230085</c:v>
                </c:pt>
                <c:pt idx="55">
                  <c:v>4.5630535247227142</c:v>
                </c:pt>
                <c:pt idx="56">
                  <c:v>5.0789169200587629</c:v>
                </c:pt>
                <c:pt idx="57">
                  <c:v>5.1976489104246726</c:v>
                </c:pt>
                <c:pt idx="58">
                  <c:v>4.9435680428612345</c:v>
                </c:pt>
                <c:pt idx="59">
                  <c:v>4.6866561965093201</c:v>
                </c:pt>
                <c:pt idx="60">
                  <c:v>4.3957601885641138</c:v>
                </c:pt>
                <c:pt idx="61">
                  <c:v>4.2461382359554491</c:v>
                </c:pt>
                <c:pt idx="62">
                  <c:v>4.3098340908144435</c:v>
                </c:pt>
                <c:pt idx="63">
                  <c:v>4.3532914705862158</c:v>
                </c:pt>
                <c:pt idx="64">
                  <c:v>3.6458477251360115</c:v>
                </c:pt>
                <c:pt idx="65">
                  <c:v>4.2510205001468915</c:v>
                </c:pt>
                <c:pt idx="66">
                  <c:v>3.8816276345741496</c:v>
                </c:pt>
                <c:pt idx="67">
                  <c:v>4.6560265248276034</c:v>
                </c:pt>
                <c:pt idx="68">
                  <c:v>4.6178283701654443</c:v>
                </c:pt>
              </c:numCache>
            </c:numRef>
          </c:xVal>
          <c:yVal>
            <c:numRef>
              <c:f>'IC E'!$Z$17:$Z$85</c:f>
              <c:numCache>
                <c:formatCode>General</c:formatCode>
                <c:ptCount val="69"/>
                <c:pt idx="0">
                  <c:v>1.5015057711967371E-2</c:v>
                </c:pt>
                <c:pt idx="1">
                  <c:v>1.5087358197672223E-2</c:v>
                </c:pt>
                <c:pt idx="2">
                  <c:v>1.510933630405171E-2</c:v>
                </c:pt>
                <c:pt idx="3">
                  <c:v>1.5081450315198842E-2</c:v>
                </c:pt>
                <c:pt idx="4">
                  <c:v>1.4908681645379835E-2</c:v>
                </c:pt>
                <c:pt idx="5">
                  <c:v>1.4885651737332081E-2</c:v>
                </c:pt>
                <c:pt idx="6">
                  <c:v>1.5034989548794344E-2</c:v>
                </c:pt>
                <c:pt idx="7">
                  <c:v>1.5079293269864444E-2</c:v>
                </c:pt>
                <c:pt idx="8">
                  <c:v>1.4958395943297502E-2</c:v>
                </c:pt>
                <c:pt idx="9">
                  <c:v>1.52013053486866E-2</c:v>
                </c:pt>
                <c:pt idx="10">
                  <c:v>1.5108166288608347E-2</c:v>
                </c:pt>
                <c:pt idx="11">
                  <c:v>1.519751141748669E-2</c:v>
                </c:pt>
                <c:pt idx="12">
                  <c:v>1.5073243905596853E-2</c:v>
                </c:pt>
                <c:pt idx="13">
                  <c:v>1.5363242440594158E-2</c:v>
                </c:pt>
                <c:pt idx="14">
                  <c:v>1.5202888697828881E-2</c:v>
                </c:pt>
                <c:pt idx="15">
                  <c:v>1.5361359838213148E-2</c:v>
                </c:pt>
                <c:pt idx="16">
                  <c:v>1.5219302593672395E-2</c:v>
                </c:pt>
                <c:pt idx="17">
                  <c:v>1.5265641440647942E-2</c:v>
                </c:pt>
                <c:pt idx="18">
                  <c:v>1.5415967238274469E-2</c:v>
                </c:pt>
                <c:pt idx="19">
                  <c:v>1.5211213130954734E-2</c:v>
                </c:pt>
                <c:pt idx="20">
                  <c:v>1.50940007905678E-2</c:v>
                </c:pt>
                <c:pt idx="21">
                  <c:v>1.5033436683269232E-2</c:v>
                </c:pt>
                <c:pt idx="22">
                  <c:v>1.5147884520303282E-2</c:v>
                </c:pt>
                <c:pt idx="23">
                  <c:v>1.5208972212051081E-2</c:v>
                </c:pt>
                <c:pt idx="24">
                  <c:v>1.4795685882217639E-2</c:v>
                </c:pt>
                <c:pt idx="25">
                  <c:v>1.5456295418395518E-2</c:v>
                </c:pt>
                <c:pt idx="26">
                  <c:v>1.5171520103133728E-2</c:v>
                </c:pt>
                <c:pt idx="27">
                  <c:v>1.5482091434929575E-2</c:v>
                </c:pt>
                <c:pt idx="28">
                  <c:v>1.5370139798614528E-2</c:v>
                </c:pt>
                <c:pt idx="29">
                  <c:v>1.5048331504648136E-2</c:v>
                </c:pt>
                <c:pt idx="30">
                  <c:v>1.5277229518117472E-2</c:v>
                </c:pt>
                <c:pt idx="31">
                  <c:v>1.5029033299875053E-2</c:v>
                </c:pt>
                <c:pt idx="32">
                  <c:v>1.5142799346754322E-2</c:v>
                </c:pt>
                <c:pt idx="33">
                  <c:v>1.4814852613891927E-2</c:v>
                </c:pt>
                <c:pt idx="34">
                  <c:v>1.5399718475435848E-2</c:v>
                </c:pt>
                <c:pt idx="35">
                  <c:v>1.5380253442604769E-2</c:v>
                </c:pt>
                <c:pt idx="36">
                  <c:v>1.5233590246002222E-2</c:v>
                </c:pt>
                <c:pt idx="37">
                  <c:v>1.5633210942485105E-2</c:v>
                </c:pt>
                <c:pt idx="38">
                  <c:v>1.5601578434311316E-2</c:v>
                </c:pt>
                <c:pt idx="39">
                  <c:v>1.5112681179727942E-2</c:v>
                </c:pt>
                <c:pt idx="40">
                  <c:v>1.5240771742875884E-2</c:v>
                </c:pt>
                <c:pt idx="41">
                  <c:v>1.5260126824831192E-2</c:v>
                </c:pt>
                <c:pt idx="42">
                  <c:v>1.5258705560310374E-2</c:v>
                </c:pt>
                <c:pt idx="43">
                  <c:v>1.5474269283069027E-2</c:v>
                </c:pt>
                <c:pt idx="44">
                  <c:v>1.54274499734225E-2</c:v>
                </c:pt>
                <c:pt idx="45">
                  <c:v>1.544983948403089E-2</c:v>
                </c:pt>
                <c:pt idx="46">
                  <c:v>1.542998005228184E-2</c:v>
                </c:pt>
                <c:pt idx="47">
                  <c:v>1.5450306220368594E-2</c:v>
                </c:pt>
                <c:pt idx="48">
                  <c:v>1.5340896623995532E-2</c:v>
                </c:pt>
                <c:pt idx="49">
                  <c:v>1.5508934641404886E-2</c:v>
                </c:pt>
                <c:pt idx="50">
                  <c:v>1.4998176730956159E-2</c:v>
                </c:pt>
                <c:pt idx="51">
                  <c:v>1.5164889546322913E-2</c:v>
                </c:pt>
                <c:pt idx="52">
                  <c:v>1.5062894533198886E-2</c:v>
                </c:pt>
                <c:pt idx="53">
                  <c:v>1.5100657641012295E-2</c:v>
                </c:pt>
                <c:pt idx="54">
                  <c:v>1.5192494789361756E-2</c:v>
                </c:pt>
                <c:pt idx="55">
                  <c:v>1.5492498667753577E-2</c:v>
                </c:pt>
                <c:pt idx="56">
                  <c:v>1.5493596485140109E-2</c:v>
                </c:pt>
                <c:pt idx="57">
                  <c:v>1.5466243423593031E-2</c:v>
                </c:pt>
                <c:pt idx="58">
                  <c:v>1.5477380023454508E-2</c:v>
                </c:pt>
                <c:pt idx="59">
                  <c:v>1.5570937706718925E-2</c:v>
                </c:pt>
                <c:pt idx="60">
                  <c:v>1.5368533829641304E-2</c:v>
                </c:pt>
                <c:pt idx="61">
                  <c:v>1.5184950327848388E-2</c:v>
                </c:pt>
                <c:pt idx="62">
                  <c:v>1.5459695997553858E-2</c:v>
                </c:pt>
                <c:pt idx="63">
                  <c:v>1.5213275468615181E-2</c:v>
                </c:pt>
                <c:pt idx="64">
                  <c:v>1.5523975703191414E-2</c:v>
                </c:pt>
                <c:pt idx="65">
                  <c:v>1.5566521415683765E-2</c:v>
                </c:pt>
                <c:pt idx="66">
                  <c:v>1.5353659361474157E-2</c:v>
                </c:pt>
                <c:pt idx="67">
                  <c:v>1.5530056811824502E-2</c:v>
                </c:pt>
                <c:pt idx="68">
                  <c:v>1.5705704783474703E-2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90272"/>
        <c:axId val="195390848"/>
      </c:scatterChart>
      <c:valAx>
        <c:axId val="19539027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390848"/>
        <c:crosses val="autoZero"/>
        <c:crossBetween val="midCat"/>
      </c:valAx>
      <c:valAx>
        <c:axId val="195390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390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 paperSize="9" orientation="landscape" horizontalDpi="300" verticalDpi="300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half masses</c:v>
          </c:tx>
          <c:spPr>
            <a:ln w="28575">
              <a:noFill/>
            </a:ln>
          </c:spPr>
          <c:xVal>
            <c:numRef>
              <c:f>'IC F'!$B$11:$H$11</c:f>
              <c:numCache>
                <c:formatCode>General</c:formatCode>
                <c:ptCount val="7"/>
                <c:pt idx="0">
                  <c:v>234.54</c:v>
                </c:pt>
                <c:pt idx="1">
                  <c:v>235.54</c:v>
                </c:pt>
                <c:pt idx="2">
                  <c:v>236.54</c:v>
                </c:pt>
                <c:pt idx="3">
                  <c:v>232.54</c:v>
                </c:pt>
                <c:pt idx="4">
                  <c:v>233.54</c:v>
                </c:pt>
                <c:pt idx="5">
                  <c:v>234.54</c:v>
                </c:pt>
                <c:pt idx="6">
                  <c:v>237.041</c:v>
                </c:pt>
              </c:numCache>
            </c:numRef>
          </c:xVal>
          <c:yVal>
            <c:numRef>
              <c:f>'IC F'!$B$12:$H$12</c:f>
              <c:numCache>
                <c:formatCode>0.0000000</c:formatCode>
                <c:ptCount val="7"/>
                <c:pt idx="0">
                  <c:v>4.1573994087500011E-7</c:v>
                </c:pt>
                <c:pt idx="1">
                  <c:v>2.2706379856124995E-5</c:v>
                </c:pt>
                <c:pt idx="2">
                  <c:v>7.8874566562500004E-5</c:v>
                </c:pt>
                <c:pt idx="3">
                  <c:v>-1.275284288255E-5</c:v>
                </c:pt>
                <c:pt idx="4">
                  <c:v>7.4952124712500033E-7</c:v>
                </c:pt>
                <c:pt idx="5">
                  <c:v>2.582301111500002E-5</c:v>
                </c:pt>
                <c:pt idx="6">
                  <c:v>1.8836940199999999E-4</c:v>
                </c:pt>
              </c:numCache>
            </c:numRef>
          </c:yVal>
          <c:smooth val="0"/>
        </c:ser>
        <c:ser>
          <c:idx val="1"/>
          <c:order val="1"/>
          <c:tx>
            <c:v>minor isotopes (corrected)</c:v>
          </c:tx>
          <c:spPr>
            <a:ln w="28575">
              <a:noFill/>
            </a:ln>
          </c:spPr>
          <c:xVal>
            <c:numRef>
              <c:f>'IC F'!$Q$11:$S$11</c:f>
              <c:numCache>
                <c:formatCode>General</c:formatCode>
                <c:ptCount val="3"/>
                <c:pt idx="0">
                  <c:v>234.041</c:v>
                </c:pt>
                <c:pt idx="1">
                  <c:v>233.041</c:v>
                </c:pt>
                <c:pt idx="2">
                  <c:v>236.041</c:v>
                </c:pt>
              </c:numCache>
            </c:numRef>
          </c:xVal>
          <c:yVal>
            <c:numRef>
              <c:f>'IC F'!$Q$12:$S$12</c:f>
              <c:numCache>
                <c:formatCode>0.00000</c:formatCode>
                <c:ptCount val="3"/>
                <c:pt idx="0" formatCode="0.0000">
                  <c:v>3.1910007319393751E-4</c:v>
                </c:pt>
                <c:pt idx="1">
                  <c:v>-5.6800551435375005E-6</c:v>
                </c:pt>
                <c:pt idx="2" formatCode="0.0000">
                  <c:v>1.3713422897594372E-3</c:v>
                </c:pt>
              </c:numCache>
            </c:numRef>
          </c:yVal>
          <c:smooth val="0"/>
        </c:ser>
        <c:ser>
          <c:idx val="2"/>
          <c:order val="2"/>
          <c:tx>
            <c:v>minor isotopes (non-corrected)</c:v>
          </c:tx>
          <c:spPr>
            <a:ln w="28575">
              <a:noFill/>
            </a:ln>
          </c:spPr>
          <c:xVal>
            <c:numRef>
              <c:f>'IC F'!$I$11:$K$11</c:f>
              <c:numCache>
                <c:formatCode>General</c:formatCode>
                <c:ptCount val="3"/>
                <c:pt idx="0">
                  <c:v>234.041</c:v>
                </c:pt>
                <c:pt idx="1">
                  <c:v>233.041</c:v>
                </c:pt>
                <c:pt idx="2">
                  <c:v>236.041</c:v>
                </c:pt>
              </c:numCache>
            </c:numRef>
          </c:xVal>
          <c:yVal>
            <c:numRef>
              <c:f>'IC F'!$I$12:$K$12</c:f>
              <c:numCache>
                <c:formatCode>0.0000000</c:formatCode>
                <c:ptCount val="3"/>
                <c:pt idx="0">
                  <c:v>3.3238633937500005E-4</c:v>
                </c:pt>
                <c:pt idx="1">
                  <c:v>-1.1681715961250002E-5</c:v>
                </c:pt>
                <c:pt idx="2">
                  <c:v>1.4615700462499996E-3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92576"/>
        <c:axId val="195393152"/>
      </c:scatterChart>
      <c:valAx>
        <c:axId val="19539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393152"/>
        <c:crosses val="autoZero"/>
        <c:crossBetween val="midCat"/>
      </c:valAx>
      <c:valAx>
        <c:axId val="195393152"/>
        <c:scaling>
          <c:orientation val="minMax"/>
        </c:scaling>
        <c:delete val="0"/>
        <c:axPos val="l"/>
        <c:majorGridlines/>
        <c:numFmt formatCode="0.0000" sourceLinked="0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392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" l="0.70000000000000095" r="0.70000000000000095" t="0.750000000000002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'IC F'!$Z$16:$Z$97</c:f>
              <c:numCache>
                <c:formatCode>General</c:formatCode>
                <c:ptCount val="82"/>
                <c:pt idx="0">
                  <c:v>1.5022942896941931E-2</c:v>
                </c:pt>
                <c:pt idx="1">
                  <c:v>1.552039992771558E-2</c:v>
                </c:pt>
                <c:pt idx="2">
                  <c:v>1.4962304964980019E-2</c:v>
                </c:pt>
                <c:pt idx="3">
                  <c:v>1.5596061200103831E-2</c:v>
                </c:pt>
                <c:pt idx="4">
                  <c:v>1.5568442146610429E-2</c:v>
                </c:pt>
                <c:pt idx="5">
                  <c:v>1.5410371279077135E-2</c:v>
                </c:pt>
                <c:pt idx="6">
                  <c:v>1.5184032966469061E-2</c:v>
                </c:pt>
                <c:pt idx="7">
                  <c:v>1.558331361379659E-2</c:v>
                </c:pt>
                <c:pt idx="8">
                  <c:v>1.559681973149361E-2</c:v>
                </c:pt>
                <c:pt idx="9">
                  <c:v>1.5178437709461597E-2</c:v>
                </c:pt>
                <c:pt idx="10">
                  <c:v>1.5456043355229161E-2</c:v>
                </c:pt>
                <c:pt idx="11">
                  <c:v>1.514965823691509E-2</c:v>
                </c:pt>
                <c:pt idx="12">
                  <c:v>1.5172860726710551E-2</c:v>
                </c:pt>
                <c:pt idx="13">
                  <c:v>1.4982765895955178E-2</c:v>
                </c:pt>
                <c:pt idx="14">
                  <c:v>1.5556368283851364E-2</c:v>
                </c:pt>
                <c:pt idx="15">
                  <c:v>1.5666961668614209E-2</c:v>
                </c:pt>
                <c:pt idx="16">
                  <c:v>1.542672651903375E-2</c:v>
                </c:pt>
                <c:pt idx="17">
                  <c:v>1.5608431381049122E-2</c:v>
                </c:pt>
                <c:pt idx="18">
                  <c:v>1.5636316468837459E-2</c:v>
                </c:pt>
                <c:pt idx="19">
                  <c:v>1.5606055690151496E-2</c:v>
                </c:pt>
                <c:pt idx="20">
                  <c:v>1.564389594038967E-2</c:v>
                </c:pt>
                <c:pt idx="21">
                  <c:v>1.5497960683486869E-2</c:v>
                </c:pt>
                <c:pt idx="22">
                  <c:v>1.5329439283691584E-2</c:v>
                </c:pt>
                <c:pt idx="23">
                  <c:v>1.5427911981512773E-2</c:v>
                </c:pt>
                <c:pt idx="24">
                  <c:v>1.5470909212944903E-2</c:v>
                </c:pt>
                <c:pt idx="25">
                  <c:v>1.5381822488436898E-2</c:v>
                </c:pt>
                <c:pt idx="26">
                  <c:v>1.5468320500423486E-2</c:v>
                </c:pt>
                <c:pt idx="27">
                  <c:v>1.5505855180891835E-2</c:v>
                </c:pt>
                <c:pt idx="28">
                  <c:v>1.5264488326591753E-2</c:v>
                </c:pt>
                <c:pt idx="29">
                  <c:v>1.5430156956063559E-2</c:v>
                </c:pt>
                <c:pt idx="30">
                  <c:v>1.5452037228536775E-2</c:v>
                </c:pt>
                <c:pt idx="31">
                  <c:v>1.5373875834284291E-2</c:v>
                </c:pt>
                <c:pt idx="32">
                  <c:v>1.5331226105314118E-2</c:v>
                </c:pt>
                <c:pt idx="33">
                  <c:v>1.508718958169232E-2</c:v>
                </c:pt>
                <c:pt idx="34">
                  <c:v>1.5206940946401135E-2</c:v>
                </c:pt>
                <c:pt idx="35">
                  <c:v>1.5571426409484768E-2</c:v>
                </c:pt>
                <c:pt idx="36">
                  <c:v>1.5511542913558145E-2</c:v>
                </c:pt>
                <c:pt idx="37">
                  <c:v>1.5317292826549393E-2</c:v>
                </c:pt>
                <c:pt idx="38">
                  <c:v>1.5523332802218622E-2</c:v>
                </c:pt>
                <c:pt idx="39">
                  <c:v>1.5483233729257242E-2</c:v>
                </c:pt>
                <c:pt idx="40">
                  <c:v>1.5424250108404225E-2</c:v>
                </c:pt>
                <c:pt idx="41">
                  <c:v>1.5294805873751351E-2</c:v>
                </c:pt>
                <c:pt idx="42">
                  <c:v>1.5359693517010636E-2</c:v>
                </c:pt>
                <c:pt idx="43">
                  <c:v>1.5380328459116027E-2</c:v>
                </c:pt>
                <c:pt idx="44">
                  <c:v>1.5152836211700426E-2</c:v>
                </c:pt>
                <c:pt idx="45">
                  <c:v>1.5582859416193981E-2</c:v>
                </c:pt>
                <c:pt idx="46">
                  <c:v>1.5863426847014375E-2</c:v>
                </c:pt>
                <c:pt idx="47">
                  <c:v>1.5525052010745888E-2</c:v>
                </c:pt>
                <c:pt idx="48">
                  <c:v>1.5723082837147181E-2</c:v>
                </c:pt>
                <c:pt idx="49">
                  <c:v>1.5534497475573807E-2</c:v>
                </c:pt>
                <c:pt idx="50">
                  <c:v>1.5539751437524984E-2</c:v>
                </c:pt>
                <c:pt idx="51">
                  <c:v>1.5330078060211538E-2</c:v>
                </c:pt>
                <c:pt idx="52">
                  <c:v>1.5177063000496554E-2</c:v>
                </c:pt>
                <c:pt idx="53">
                  <c:v>1.5394378069472164E-2</c:v>
                </c:pt>
                <c:pt idx="54">
                  <c:v>1.5353351799047357E-2</c:v>
                </c:pt>
                <c:pt idx="55">
                  <c:v>1.5410637239985042E-2</c:v>
                </c:pt>
                <c:pt idx="56">
                  <c:v>1.537025310998408E-2</c:v>
                </c:pt>
                <c:pt idx="57">
                  <c:v>1.5332000206506128E-2</c:v>
                </c:pt>
                <c:pt idx="58">
                  <c:v>1.5451341539650039E-2</c:v>
                </c:pt>
                <c:pt idx="59">
                  <c:v>1.5894591209428485E-2</c:v>
                </c:pt>
                <c:pt idx="60">
                  <c:v>1.5200771413826126E-2</c:v>
                </c:pt>
                <c:pt idx="61">
                  <c:v>1.5441921913920542E-2</c:v>
                </c:pt>
                <c:pt idx="62">
                  <c:v>1.5297409924745169E-2</c:v>
                </c:pt>
                <c:pt idx="63">
                  <c:v>1.5432390987665757E-2</c:v>
                </c:pt>
                <c:pt idx="64">
                  <c:v>1.5401268113779091E-2</c:v>
                </c:pt>
                <c:pt idx="65">
                  <c:v>1.5382783190824065E-2</c:v>
                </c:pt>
                <c:pt idx="66">
                  <c:v>1.5356423043632342E-2</c:v>
                </c:pt>
                <c:pt idx="67">
                  <c:v>1.5307323386783653E-2</c:v>
                </c:pt>
                <c:pt idx="68">
                  <c:v>1.5810025572329953E-2</c:v>
                </c:pt>
                <c:pt idx="69">
                  <c:v>1.5382267086975494E-2</c:v>
                </c:pt>
                <c:pt idx="70">
                  <c:v>1.5452288470503841E-2</c:v>
                </c:pt>
                <c:pt idx="71">
                  <c:v>1.5438374441578275E-2</c:v>
                </c:pt>
                <c:pt idx="72">
                  <c:v>1.5379786125585207E-2</c:v>
                </c:pt>
                <c:pt idx="73">
                  <c:v>1.5132013950368344E-2</c:v>
                </c:pt>
                <c:pt idx="74">
                  <c:v>1.5467563412236674E-2</c:v>
                </c:pt>
                <c:pt idx="75">
                  <c:v>1.5313123492031231E-2</c:v>
                </c:pt>
                <c:pt idx="76">
                  <c:v>1.5679170937053344E-2</c:v>
                </c:pt>
                <c:pt idx="77">
                  <c:v>1.5623973805509955E-2</c:v>
                </c:pt>
                <c:pt idx="78">
                  <c:v>1.5205265742216114E-2</c:v>
                </c:pt>
                <c:pt idx="79">
                  <c:v>1.5562806929286433E-2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15072"/>
        <c:axId val="195715648"/>
      </c:scatterChart>
      <c:valAx>
        <c:axId val="19571507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715648"/>
        <c:crosses val="autoZero"/>
        <c:crossBetween val="midCat"/>
      </c:valAx>
      <c:valAx>
        <c:axId val="195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715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" l="0.70000000000000095" r="0.70000000000000095" t="0.750000000000002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xVal>
            <c:numRef>
              <c:f>'IC F'!$P$17:$P$97</c:f>
              <c:numCache>
                <c:formatCode>0.0</c:formatCode>
                <c:ptCount val="81"/>
                <c:pt idx="0">
                  <c:v>4.7408849139750311</c:v>
                </c:pt>
                <c:pt idx="1">
                  <c:v>4.3637675344037534</c:v>
                </c:pt>
                <c:pt idx="2">
                  <c:v>4.5728552405887752</c:v>
                </c:pt>
                <c:pt idx="3">
                  <c:v>4.9173421103342294</c:v>
                </c:pt>
                <c:pt idx="4">
                  <c:v>3.410347039859198</c:v>
                </c:pt>
                <c:pt idx="5">
                  <c:v>4.2431145126537961</c:v>
                </c:pt>
                <c:pt idx="6">
                  <c:v>4.2629932951336311</c:v>
                </c:pt>
                <c:pt idx="7">
                  <c:v>4.0174221173572686</c:v>
                </c:pt>
                <c:pt idx="8">
                  <c:v>4.3973474996546305</c:v>
                </c:pt>
                <c:pt idx="9">
                  <c:v>4.4731917805916455</c:v>
                </c:pt>
                <c:pt idx="10">
                  <c:v>4.206655240775099</c:v>
                </c:pt>
                <c:pt idx="11">
                  <c:v>4.3724210153053908</c:v>
                </c:pt>
                <c:pt idx="12">
                  <c:v>4.7058032281782349</c:v>
                </c:pt>
                <c:pt idx="13">
                  <c:v>4.148184279542777</c:v>
                </c:pt>
                <c:pt idx="14">
                  <c:v>3.4229480067121143</c:v>
                </c:pt>
                <c:pt idx="15">
                  <c:v>3.7234348346773567</c:v>
                </c:pt>
                <c:pt idx="16">
                  <c:v>4.7180910072558069</c:v>
                </c:pt>
                <c:pt idx="17">
                  <c:v>4.633605970413976</c:v>
                </c:pt>
                <c:pt idx="18">
                  <c:v>4.539660878043045</c:v>
                </c:pt>
                <c:pt idx="19">
                  <c:v>5.0419912378621339</c:v>
                </c:pt>
                <c:pt idx="20">
                  <c:v>4.8667610807718811</c:v>
                </c:pt>
                <c:pt idx="21">
                  <c:v>4.8929231655281491</c:v>
                </c:pt>
                <c:pt idx="22">
                  <c:v>4.5124385425824958</c:v>
                </c:pt>
                <c:pt idx="23">
                  <c:v>4.841315601045725</c:v>
                </c:pt>
                <c:pt idx="24">
                  <c:v>3.6529912358694268</c:v>
                </c:pt>
                <c:pt idx="25">
                  <c:v>4.048369116155988</c:v>
                </c:pt>
                <c:pt idx="26">
                  <c:v>4.6921706478444314</c:v>
                </c:pt>
                <c:pt idx="27">
                  <c:v>4.8047641407507102</c:v>
                </c:pt>
                <c:pt idx="28">
                  <c:v>4.7907026174913527</c:v>
                </c:pt>
                <c:pt idx="29">
                  <c:v>4.6604159281477893</c:v>
                </c:pt>
                <c:pt idx="30">
                  <c:v>4.8065633541377482</c:v>
                </c:pt>
                <c:pt idx="31">
                  <c:v>4.4537175801204318</c:v>
                </c:pt>
                <c:pt idx="32">
                  <c:v>4.5906754933679652</c:v>
                </c:pt>
                <c:pt idx="33">
                  <c:v>4.4982518078594866</c:v>
                </c:pt>
                <c:pt idx="34">
                  <c:v>3.6614858396980789</c:v>
                </c:pt>
                <c:pt idx="35">
                  <c:v>3.829027657796638</c:v>
                </c:pt>
                <c:pt idx="36">
                  <c:v>3.9814196441672598</c:v>
                </c:pt>
                <c:pt idx="37">
                  <c:v>3.9298180363133368</c:v>
                </c:pt>
                <c:pt idx="38">
                  <c:v>4.2744313398861866</c:v>
                </c:pt>
                <c:pt idx="39">
                  <c:v>5.037639239145344</c:v>
                </c:pt>
                <c:pt idx="40">
                  <c:v>4.5572907660444537</c:v>
                </c:pt>
                <c:pt idx="41">
                  <c:v>4.6105236690759295</c:v>
                </c:pt>
                <c:pt idx="42">
                  <c:v>4.6535524386186449</c:v>
                </c:pt>
                <c:pt idx="43">
                  <c:v>4.3780407241965023</c:v>
                </c:pt>
                <c:pt idx="44">
                  <c:v>3.2532116379119027</c:v>
                </c:pt>
                <c:pt idx="45">
                  <c:v>4.5741333599716905</c:v>
                </c:pt>
                <c:pt idx="46">
                  <c:v>4.078373562721727</c:v>
                </c:pt>
                <c:pt idx="47">
                  <c:v>4.5480797388700429</c:v>
                </c:pt>
                <c:pt idx="48">
                  <c:v>4.6599326730921913</c:v>
                </c:pt>
                <c:pt idx="49">
                  <c:v>4.695415696914381</c:v>
                </c:pt>
                <c:pt idx="50">
                  <c:v>4.1216920415001974</c:v>
                </c:pt>
                <c:pt idx="51">
                  <c:v>4.428555354856976</c:v>
                </c:pt>
                <c:pt idx="52">
                  <c:v>4.3181093826692125</c:v>
                </c:pt>
                <c:pt idx="53">
                  <c:v>4.2933007644298735</c:v>
                </c:pt>
                <c:pt idx="54">
                  <c:v>3.5900046044257614</c:v>
                </c:pt>
                <c:pt idx="55">
                  <c:v>4.0101132906912058</c:v>
                </c:pt>
                <c:pt idx="56">
                  <c:v>4.1316896060338353</c:v>
                </c:pt>
                <c:pt idx="57">
                  <c:v>4.3150962008797151</c:v>
                </c:pt>
                <c:pt idx="58">
                  <c:v>4.3338089914910762</c:v>
                </c:pt>
                <c:pt idx="59">
                  <c:v>4.3854611365070397</c:v>
                </c:pt>
                <c:pt idx="60">
                  <c:v>4.1955288000042197</c:v>
                </c:pt>
                <c:pt idx="61">
                  <c:v>4.1457738930323851</c:v>
                </c:pt>
                <c:pt idx="62">
                  <c:v>3.892610555008627</c:v>
                </c:pt>
                <c:pt idx="63">
                  <c:v>4.2476918648221274</c:v>
                </c:pt>
                <c:pt idx="64">
                  <c:v>3.6604016951476788</c:v>
                </c:pt>
                <c:pt idx="65">
                  <c:v>4.0640834962026009</c:v>
                </c:pt>
                <c:pt idx="66">
                  <c:v>4.0302095738734014</c:v>
                </c:pt>
                <c:pt idx="67">
                  <c:v>4.1595100176340019</c:v>
                </c:pt>
                <c:pt idx="68">
                  <c:v>4.0752999629161266</c:v>
                </c:pt>
                <c:pt idx="69">
                  <c:v>4.2412341013351744</c:v>
                </c:pt>
                <c:pt idx="70">
                  <c:v>4.4135427965585814</c:v>
                </c:pt>
                <c:pt idx="71">
                  <c:v>4.5184701781366305</c:v>
                </c:pt>
                <c:pt idx="72">
                  <c:v>4.2616187365732117</c:v>
                </c:pt>
                <c:pt idx="73">
                  <c:v>4.5840176133160817</c:v>
                </c:pt>
                <c:pt idx="74">
                  <c:v>3.1419493776443761</c:v>
                </c:pt>
                <c:pt idx="75">
                  <c:v>4.1766396823062504</c:v>
                </c:pt>
                <c:pt idx="76">
                  <c:v>4.0271768954456659</c:v>
                </c:pt>
                <c:pt idx="77">
                  <c:v>4.1957827133097316</c:v>
                </c:pt>
                <c:pt idx="78">
                  <c:v>4.4727498853012557</c:v>
                </c:pt>
              </c:numCache>
            </c:numRef>
          </c:xVal>
          <c:yVal>
            <c:numRef>
              <c:f>'IC F'!$Z$16:$Z$97</c:f>
              <c:numCache>
                <c:formatCode>General</c:formatCode>
                <c:ptCount val="82"/>
                <c:pt idx="0">
                  <c:v>1.5022942896941931E-2</c:v>
                </c:pt>
                <c:pt idx="1">
                  <c:v>1.552039992771558E-2</c:v>
                </c:pt>
                <c:pt idx="2">
                  <c:v>1.4962304964980019E-2</c:v>
                </c:pt>
                <c:pt idx="3">
                  <c:v>1.5596061200103831E-2</c:v>
                </c:pt>
                <c:pt idx="4">
                  <c:v>1.5568442146610429E-2</c:v>
                </c:pt>
                <c:pt idx="5">
                  <c:v>1.5410371279077135E-2</c:v>
                </c:pt>
                <c:pt idx="6">
                  <c:v>1.5184032966469061E-2</c:v>
                </c:pt>
                <c:pt idx="7">
                  <c:v>1.558331361379659E-2</c:v>
                </c:pt>
                <c:pt idx="8">
                  <c:v>1.559681973149361E-2</c:v>
                </c:pt>
                <c:pt idx="9">
                  <c:v>1.5178437709461597E-2</c:v>
                </c:pt>
                <c:pt idx="10">
                  <c:v>1.5456043355229161E-2</c:v>
                </c:pt>
                <c:pt idx="11">
                  <c:v>1.514965823691509E-2</c:v>
                </c:pt>
                <c:pt idx="12">
                  <c:v>1.5172860726710551E-2</c:v>
                </c:pt>
                <c:pt idx="13">
                  <c:v>1.4982765895955178E-2</c:v>
                </c:pt>
                <c:pt idx="14">
                  <c:v>1.5556368283851364E-2</c:v>
                </c:pt>
                <c:pt idx="15">
                  <c:v>1.5666961668614209E-2</c:v>
                </c:pt>
                <c:pt idx="16">
                  <c:v>1.542672651903375E-2</c:v>
                </c:pt>
                <c:pt idx="17">
                  <c:v>1.5608431381049122E-2</c:v>
                </c:pt>
                <c:pt idx="18">
                  <c:v>1.5636316468837459E-2</c:v>
                </c:pt>
                <c:pt idx="19">
                  <c:v>1.5606055690151496E-2</c:v>
                </c:pt>
                <c:pt idx="20">
                  <c:v>1.564389594038967E-2</c:v>
                </c:pt>
                <c:pt idx="21">
                  <c:v>1.5497960683486869E-2</c:v>
                </c:pt>
                <c:pt idx="22">
                  <c:v>1.5329439283691584E-2</c:v>
                </c:pt>
                <c:pt idx="23">
                  <c:v>1.5427911981512773E-2</c:v>
                </c:pt>
                <c:pt idx="24">
                  <c:v>1.5470909212944903E-2</c:v>
                </c:pt>
                <c:pt idx="25">
                  <c:v>1.5381822488436898E-2</c:v>
                </c:pt>
                <c:pt idx="26">
                  <c:v>1.5468320500423486E-2</c:v>
                </c:pt>
                <c:pt idx="27">
                  <c:v>1.5505855180891835E-2</c:v>
                </c:pt>
                <c:pt idx="28">
                  <c:v>1.5264488326591753E-2</c:v>
                </c:pt>
                <c:pt idx="29">
                  <c:v>1.5430156956063559E-2</c:v>
                </c:pt>
                <c:pt idx="30">
                  <c:v>1.5452037228536775E-2</c:v>
                </c:pt>
                <c:pt idx="31">
                  <c:v>1.5373875834284291E-2</c:v>
                </c:pt>
                <c:pt idx="32">
                  <c:v>1.5331226105314118E-2</c:v>
                </c:pt>
                <c:pt idx="33">
                  <c:v>1.508718958169232E-2</c:v>
                </c:pt>
                <c:pt idx="34">
                  <c:v>1.5206940946401135E-2</c:v>
                </c:pt>
                <c:pt idx="35">
                  <c:v>1.5571426409484768E-2</c:v>
                </c:pt>
                <c:pt idx="36">
                  <c:v>1.5511542913558145E-2</c:v>
                </c:pt>
                <c:pt idx="37">
                  <c:v>1.5317292826549393E-2</c:v>
                </c:pt>
                <c:pt idx="38">
                  <c:v>1.5523332802218622E-2</c:v>
                </c:pt>
                <c:pt idx="39">
                  <c:v>1.5483233729257242E-2</c:v>
                </c:pt>
                <c:pt idx="40">
                  <c:v>1.5424250108404225E-2</c:v>
                </c:pt>
                <c:pt idx="41">
                  <c:v>1.5294805873751351E-2</c:v>
                </c:pt>
                <c:pt idx="42">
                  <c:v>1.5359693517010636E-2</c:v>
                </c:pt>
                <c:pt idx="43">
                  <c:v>1.5380328459116027E-2</c:v>
                </c:pt>
                <c:pt idx="44">
                  <c:v>1.5152836211700426E-2</c:v>
                </c:pt>
                <c:pt idx="45">
                  <c:v>1.5582859416193981E-2</c:v>
                </c:pt>
                <c:pt idx="46">
                  <c:v>1.5863426847014375E-2</c:v>
                </c:pt>
                <c:pt idx="47">
                  <c:v>1.5525052010745888E-2</c:v>
                </c:pt>
                <c:pt idx="48">
                  <c:v>1.5723082837147181E-2</c:v>
                </c:pt>
                <c:pt idx="49">
                  <c:v>1.5534497475573807E-2</c:v>
                </c:pt>
                <c:pt idx="50">
                  <c:v>1.5539751437524984E-2</c:v>
                </c:pt>
                <c:pt idx="51">
                  <c:v>1.5330078060211538E-2</c:v>
                </c:pt>
                <c:pt idx="52">
                  <c:v>1.5177063000496554E-2</c:v>
                </c:pt>
                <c:pt idx="53">
                  <c:v>1.5394378069472164E-2</c:v>
                </c:pt>
                <c:pt idx="54">
                  <c:v>1.5353351799047357E-2</c:v>
                </c:pt>
                <c:pt idx="55">
                  <c:v>1.5410637239985042E-2</c:v>
                </c:pt>
                <c:pt idx="56">
                  <c:v>1.537025310998408E-2</c:v>
                </c:pt>
                <c:pt idx="57">
                  <c:v>1.5332000206506128E-2</c:v>
                </c:pt>
                <c:pt idx="58">
                  <c:v>1.5451341539650039E-2</c:v>
                </c:pt>
                <c:pt idx="59">
                  <c:v>1.5894591209428485E-2</c:v>
                </c:pt>
                <c:pt idx="60">
                  <c:v>1.5200771413826126E-2</c:v>
                </c:pt>
                <c:pt idx="61">
                  <c:v>1.5441921913920542E-2</c:v>
                </c:pt>
                <c:pt idx="62">
                  <c:v>1.5297409924745169E-2</c:v>
                </c:pt>
                <c:pt idx="63">
                  <c:v>1.5432390987665757E-2</c:v>
                </c:pt>
                <c:pt idx="64">
                  <c:v>1.5401268113779091E-2</c:v>
                </c:pt>
                <c:pt idx="65">
                  <c:v>1.5382783190824065E-2</c:v>
                </c:pt>
                <c:pt idx="66">
                  <c:v>1.5356423043632342E-2</c:v>
                </c:pt>
                <c:pt idx="67">
                  <c:v>1.5307323386783653E-2</c:v>
                </c:pt>
                <c:pt idx="68">
                  <c:v>1.5810025572329953E-2</c:v>
                </c:pt>
                <c:pt idx="69">
                  <c:v>1.5382267086975494E-2</c:v>
                </c:pt>
                <c:pt idx="70">
                  <c:v>1.5452288470503841E-2</c:v>
                </c:pt>
                <c:pt idx="71">
                  <c:v>1.5438374441578275E-2</c:v>
                </c:pt>
                <c:pt idx="72">
                  <c:v>1.5379786125585207E-2</c:v>
                </c:pt>
                <c:pt idx="73">
                  <c:v>1.5132013950368344E-2</c:v>
                </c:pt>
                <c:pt idx="74">
                  <c:v>1.5467563412236674E-2</c:v>
                </c:pt>
                <c:pt idx="75">
                  <c:v>1.5313123492031231E-2</c:v>
                </c:pt>
                <c:pt idx="76">
                  <c:v>1.5679170937053344E-2</c:v>
                </c:pt>
                <c:pt idx="77">
                  <c:v>1.5623973805509955E-2</c:v>
                </c:pt>
                <c:pt idx="78">
                  <c:v>1.5205265742216114E-2</c:v>
                </c:pt>
                <c:pt idx="79">
                  <c:v>1.5562806929286433E-2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17376"/>
        <c:axId val="195717952"/>
      </c:scatterChart>
      <c:valAx>
        <c:axId val="195717376"/>
        <c:scaling>
          <c:orientation val="minMax"/>
          <c:min val="3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717952"/>
        <c:crosses val="autoZero"/>
        <c:crossBetween val="midCat"/>
      </c:valAx>
      <c:valAx>
        <c:axId val="19571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717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 paperSize="9" orientation="landscape" horizontalDpi="300" verticalDpi="30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'ID 1'!$AA$16:$AA$97</c:f>
              <c:numCache>
                <c:formatCode>0.000000</c:formatCode>
                <c:ptCount val="82"/>
                <c:pt idx="0">
                  <c:v>491.72124020873508</c:v>
                </c:pt>
                <c:pt idx="1">
                  <c:v>491.52343423266035</c:v>
                </c:pt>
                <c:pt idx="2">
                  <c:v>491.61768900693357</c:v>
                </c:pt>
                <c:pt idx="3">
                  <c:v>491.57838924189264</c:v>
                </c:pt>
                <c:pt idx="4">
                  <c:v>491.76052560376144</c:v>
                </c:pt>
                <c:pt idx="5">
                  <c:v>491.49891283260388</c:v>
                </c:pt>
                <c:pt idx="6">
                  <c:v>491.54595941300983</c:v>
                </c:pt>
                <c:pt idx="7">
                  <c:v>491.48456780722051</c:v>
                </c:pt>
                <c:pt idx="8">
                  <c:v>491.4281864669008</c:v>
                </c:pt>
                <c:pt idx="9">
                  <c:v>491.50885784897849</c:v>
                </c:pt>
                <c:pt idx="10">
                  <c:v>491.59880436486429</c:v>
                </c:pt>
                <c:pt idx="11">
                  <c:v>491.61326394082693</c:v>
                </c:pt>
                <c:pt idx="12">
                  <c:v>491.49751470520567</c:v>
                </c:pt>
                <c:pt idx="13">
                  <c:v>491.41639384427071</c:v>
                </c:pt>
                <c:pt idx="14">
                  <c:v>491.31330103438677</c:v>
                </c:pt>
                <c:pt idx="15">
                  <c:v>491.32940536870268</c:v>
                </c:pt>
                <c:pt idx="16">
                  <c:v>491.67863473792136</c:v>
                </c:pt>
                <c:pt idx="17">
                  <c:v>491.54000518857958</c:v>
                </c:pt>
                <c:pt idx="18">
                  <c:v>491.54324425384891</c:v>
                </c:pt>
                <c:pt idx="19">
                  <c:v>491.42338080835316</c:v>
                </c:pt>
                <c:pt idx="20">
                  <c:v>491.42497265456842</c:v>
                </c:pt>
                <c:pt idx="21">
                  <c:v>491.56583743375967</c:v>
                </c:pt>
                <c:pt idx="22">
                  <c:v>491.5631826510126</c:v>
                </c:pt>
                <c:pt idx="23">
                  <c:v>491.50041311050768</c:v>
                </c:pt>
                <c:pt idx="24">
                  <c:v>491.49847036726788</c:v>
                </c:pt>
                <c:pt idx="25">
                  <c:v>491.50085183609832</c:v>
                </c:pt>
                <c:pt idx="26">
                  <c:v>491.49916295347271</c:v>
                </c:pt>
                <c:pt idx="27">
                  <c:v>491.49327729903735</c:v>
                </c:pt>
                <c:pt idx="28">
                  <c:v>491.56594517453436</c:v>
                </c:pt>
                <c:pt idx="29">
                  <c:v>491.639659331438</c:v>
                </c:pt>
                <c:pt idx="30">
                  <c:v>491.46646857541504</c:v>
                </c:pt>
                <c:pt idx="31">
                  <c:v>491.46064741729788</c:v>
                </c:pt>
                <c:pt idx="32">
                  <c:v>491.65494922737776</c:v>
                </c:pt>
                <c:pt idx="33">
                  <c:v>491.48703239988481</c:v>
                </c:pt>
                <c:pt idx="34">
                  <c:v>491.50961467702439</c:v>
                </c:pt>
                <c:pt idx="35">
                  <c:v>491.52507307471359</c:v>
                </c:pt>
                <c:pt idx="36">
                  <c:v>491.45187710795005</c:v>
                </c:pt>
                <c:pt idx="37">
                  <c:v>491.5041546945364</c:v>
                </c:pt>
                <c:pt idx="38">
                  <c:v>491.69088345720826</c:v>
                </c:pt>
                <c:pt idx="39">
                  <c:v>491.39698571032113</c:v>
                </c:pt>
                <c:pt idx="41">
                  <c:v>491.55408764742987</c:v>
                </c:pt>
                <c:pt idx="42">
                  <c:v>491.5580983892246</c:v>
                </c:pt>
                <c:pt idx="43">
                  <c:v>491.6853383823148</c:v>
                </c:pt>
                <c:pt idx="44">
                  <c:v>491.62741693403763</c:v>
                </c:pt>
                <c:pt idx="45">
                  <c:v>491.67243535273866</c:v>
                </c:pt>
                <c:pt idx="46">
                  <c:v>491.47299991101414</c:v>
                </c:pt>
                <c:pt idx="47">
                  <c:v>491.44807465446689</c:v>
                </c:pt>
                <c:pt idx="48">
                  <c:v>491.60711045557679</c:v>
                </c:pt>
                <c:pt idx="49">
                  <c:v>491.55109950365505</c:v>
                </c:pt>
                <c:pt idx="51">
                  <c:v>491.58606967539248</c:v>
                </c:pt>
                <c:pt idx="52">
                  <c:v>491.66265693268218</c:v>
                </c:pt>
                <c:pt idx="53">
                  <c:v>491.54338634482326</c:v>
                </c:pt>
                <c:pt idx="54">
                  <c:v>491.54436374164987</c:v>
                </c:pt>
                <c:pt idx="55">
                  <c:v>491.81650721159281</c:v>
                </c:pt>
                <c:pt idx="56">
                  <c:v>491.54340846951811</c:v>
                </c:pt>
                <c:pt idx="57">
                  <c:v>491.39461204910924</c:v>
                </c:pt>
                <c:pt idx="58">
                  <c:v>491.53661584876841</c:v>
                </c:pt>
                <c:pt idx="59">
                  <c:v>491.49346842964252</c:v>
                </c:pt>
                <c:pt idx="60">
                  <c:v>491.65766293304608</c:v>
                </c:pt>
                <c:pt idx="62">
                  <c:v>491.58606967539248</c:v>
                </c:pt>
                <c:pt idx="63">
                  <c:v>491.66265693268218</c:v>
                </c:pt>
                <c:pt idx="64">
                  <c:v>491.54338634482326</c:v>
                </c:pt>
                <c:pt idx="65">
                  <c:v>491.54436374164987</c:v>
                </c:pt>
                <c:pt idx="66">
                  <c:v>491.81650721159281</c:v>
                </c:pt>
                <c:pt idx="67">
                  <c:v>491.54340846951811</c:v>
                </c:pt>
                <c:pt idx="68">
                  <c:v>491.39461204910924</c:v>
                </c:pt>
                <c:pt idx="69">
                  <c:v>491.53661584876841</c:v>
                </c:pt>
                <c:pt idx="70">
                  <c:v>491.49346842964252</c:v>
                </c:pt>
                <c:pt idx="71">
                  <c:v>491.65766293304608</c:v>
                </c:pt>
                <c:pt idx="72">
                  <c:v>491.58006710828568</c:v>
                </c:pt>
                <c:pt idx="73">
                  <c:v>491.47953731918761</c:v>
                </c:pt>
                <c:pt idx="74">
                  <c:v>491.38533210080953</c:v>
                </c:pt>
                <c:pt idx="75">
                  <c:v>491.34744932810025</c:v>
                </c:pt>
                <c:pt idx="76">
                  <c:v>491.61464875627746</c:v>
                </c:pt>
                <c:pt idx="77">
                  <c:v>491.61304801203426</c:v>
                </c:pt>
                <c:pt idx="78">
                  <c:v>491.46509709043306</c:v>
                </c:pt>
                <c:pt idx="79">
                  <c:v>491.44817615934545</c:v>
                </c:pt>
                <c:pt idx="80">
                  <c:v>491.79902192009439</c:v>
                </c:pt>
                <c:pt idx="8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19680"/>
        <c:axId val="195720256"/>
      </c:scatterChart>
      <c:valAx>
        <c:axId val="195719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95720256"/>
        <c:crosses val="autoZero"/>
        <c:crossBetween val="midCat"/>
      </c:valAx>
      <c:valAx>
        <c:axId val="195720256"/>
        <c:scaling>
          <c:orientation val="minMax"/>
          <c:min val="491.2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95719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'ID 2'!$AA$16:$AA$65</c:f>
              <c:numCache>
                <c:formatCode>0.000000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491.67510315533832</c:v>
                </c:pt>
                <c:pt idx="11">
                  <c:v>491.45993950388242</c:v>
                </c:pt>
                <c:pt idx="12">
                  <c:v>491.38910512830159</c:v>
                </c:pt>
                <c:pt idx="13">
                  <c:v>491.65197177493354</c:v>
                </c:pt>
                <c:pt idx="14">
                  <c:v>491.62676404189642</c:v>
                </c:pt>
                <c:pt idx="15">
                  <c:v>491.52069705666838</c:v>
                </c:pt>
                <c:pt idx="16">
                  <c:v>491.47754353851991</c:v>
                </c:pt>
                <c:pt idx="17">
                  <c:v>491.52167731401278</c:v>
                </c:pt>
                <c:pt idx="18">
                  <c:v>491.40570016020064</c:v>
                </c:pt>
                <c:pt idx="19">
                  <c:v>491.55525010752604</c:v>
                </c:pt>
                <c:pt idx="20">
                  <c:v>491.62908143157256</c:v>
                </c:pt>
                <c:pt idx="21">
                  <c:v>491.81638202161292</c:v>
                </c:pt>
                <c:pt idx="22">
                  <c:v>491.60328133981051</c:v>
                </c:pt>
                <c:pt idx="23">
                  <c:v>491.47099466341683</c:v>
                </c:pt>
                <c:pt idx="24">
                  <c:v>491.72300723010318</c:v>
                </c:pt>
                <c:pt idx="25">
                  <c:v>491.63100442785577</c:v>
                </c:pt>
                <c:pt idx="26">
                  <c:v>491.63031098968662</c:v>
                </c:pt>
                <c:pt idx="27">
                  <c:v>491.53607168644373</c:v>
                </c:pt>
                <c:pt idx="28">
                  <c:v>491.54269215404196</c:v>
                </c:pt>
                <c:pt idx="29">
                  <c:v>491.51294206190573</c:v>
                </c:pt>
                <c:pt idx="30">
                  <c:v>491.65018062034693</c:v>
                </c:pt>
                <c:pt idx="31">
                  <c:v>491.57874125852334</c:v>
                </c:pt>
                <c:pt idx="32">
                  <c:v>491.5959792249933</c:v>
                </c:pt>
                <c:pt idx="33">
                  <c:v>491.6195636570348</c:v>
                </c:pt>
                <c:pt idx="34">
                  <c:v>491.42808878057843</c:v>
                </c:pt>
                <c:pt idx="35">
                  <c:v>491.6661405356287</c:v>
                </c:pt>
                <c:pt idx="36">
                  <c:v>491.59177378400256</c:v>
                </c:pt>
                <c:pt idx="37">
                  <c:v>491.43447261996408</c:v>
                </c:pt>
                <c:pt idx="38">
                  <c:v>491.60519748768183</c:v>
                </c:pt>
                <c:pt idx="39">
                  <c:v>491.56691516543322</c:v>
                </c:pt>
                <c:pt idx="40">
                  <c:v>491.40083689067387</c:v>
                </c:pt>
                <c:pt idx="41">
                  <c:v>491.49934483173166</c:v>
                </c:pt>
                <c:pt idx="42">
                  <c:v>491.53503197104817</c:v>
                </c:pt>
                <c:pt idx="44">
                  <c:v>491.3653986308928</c:v>
                </c:pt>
                <c:pt idx="45">
                  <c:v>491.56085479841204</c:v>
                </c:pt>
                <c:pt idx="46">
                  <c:v>491.66717719527924</c:v>
                </c:pt>
                <c:pt idx="47">
                  <c:v>491.55987724733717</c:v>
                </c:pt>
                <c:pt idx="48">
                  <c:v>0</c:v>
                </c:pt>
                <c:pt idx="49">
                  <c:v>491.44093172282385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21984"/>
        <c:axId val="195722560"/>
      </c:scatterChart>
      <c:valAx>
        <c:axId val="195721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95722560"/>
        <c:crosses val="autoZero"/>
        <c:crossBetween val="midCat"/>
      </c:valAx>
      <c:valAx>
        <c:axId val="195722560"/>
        <c:scaling>
          <c:orientation val="minMax"/>
          <c:min val="491.3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95721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'ID 3'!$AA$16:$AA$99</c:f>
              <c:numCache>
                <c:formatCode>0.000000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491.59455708345411</c:v>
                </c:pt>
                <c:pt idx="11">
                  <c:v>491.41134644158586</c:v>
                </c:pt>
                <c:pt idx="12">
                  <c:v>491.32404272499906</c:v>
                </c:pt>
                <c:pt idx="13">
                  <c:v>491.48964174137336</c:v>
                </c:pt>
                <c:pt idx="14">
                  <c:v>491.70272705138643</c:v>
                </c:pt>
                <c:pt idx="15">
                  <c:v>491.84245356310095</c:v>
                </c:pt>
                <c:pt idx="16">
                  <c:v>491.40321263891201</c:v>
                </c:pt>
                <c:pt idx="17">
                  <c:v>491.39234030544117</c:v>
                </c:pt>
                <c:pt idx="18">
                  <c:v>491.61348230949545</c:v>
                </c:pt>
                <c:pt idx="19">
                  <c:v>491.35204500457286</c:v>
                </c:pt>
                <c:pt idx="20">
                  <c:v>491.73603709903131</c:v>
                </c:pt>
                <c:pt idx="21">
                  <c:v>491.83667632049668</c:v>
                </c:pt>
                <c:pt idx="22">
                  <c:v>491.67405701297781</c:v>
                </c:pt>
                <c:pt idx="23">
                  <c:v>491.45473727238539</c:v>
                </c:pt>
                <c:pt idx="24">
                  <c:v>491.62324280423053</c:v>
                </c:pt>
                <c:pt idx="25">
                  <c:v>491.5223036839858</c:v>
                </c:pt>
                <c:pt idx="26">
                  <c:v>491.50149749846202</c:v>
                </c:pt>
                <c:pt idx="27">
                  <c:v>491.82922219955236</c:v>
                </c:pt>
                <c:pt idx="28">
                  <c:v>491.61711501981671</c:v>
                </c:pt>
                <c:pt idx="29">
                  <c:v>491.59737121584538</c:v>
                </c:pt>
                <c:pt idx="30">
                  <c:v>491.46404668192434</c:v>
                </c:pt>
                <c:pt idx="31">
                  <c:v>491.50050396981874</c:v>
                </c:pt>
                <c:pt idx="32">
                  <c:v>491.40074491142616</c:v>
                </c:pt>
                <c:pt idx="33">
                  <c:v>491.58222123899623</c:v>
                </c:pt>
                <c:pt idx="34">
                  <c:v>491.62805984051903</c:v>
                </c:pt>
                <c:pt idx="35">
                  <c:v>491.64670167321333</c:v>
                </c:pt>
                <c:pt idx="36">
                  <c:v>491.75162638982476</c:v>
                </c:pt>
                <c:pt idx="37">
                  <c:v>491.68547736381532</c:v>
                </c:pt>
                <c:pt idx="38">
                  <c:v>491.64047878460258</c:v>
                </c:pt>
                <c:pt idx="39">
                  <c:v>491.48485331679092</c:v>
                </c:pt>
                <c:pt idx="40">
                  <c:v>491.44384784520179</c:v>
                </c:pt>
                <c:pt idx="41">
                  <c:v>491.40316517724</c:v>
                </c:pt>
                <c:pt idx="42">
                  <c:v>491.39344604904693</c:v>
                </c:pt>
                <c:pt idx="43">
                  <c:v>491.37143722696356</c:v>
                </c:pt>
                <c:pt idx="44">
                  <c:v>491.54981335495086</c:v>
                </c:pt>
                <c:pt idx="45">
                  <c:v>491.81503757923457</c:v>
                </c:pt>
                <c:pt idx="47">
                  <c:v>491.76858195512438</c:v>
                </c:pt>
                <c:pt idx="48">
                  <c:v>491.5127466280619</c:v>
                </c:pt>
                <c:pt idx="49">
                  <c:v>491.92063178368295</c:v>
                </c:pt>
                <c:pt idx="50">
                  <c:v>491.57256818509472</c:v>
                </c:pt>
                <c:pt idx="51">
                  <c:v>491.62214641522343</c:v>
                </c:pt>
                <c:pt idx="52">
                  <c:v>491.62947823116423</c:v>
                </c:pt>
                <c:pt idx="53">
                  <c:v>491.40044659391714</c:v>
                </c:pt>
                <c:pt idx="54">
                  <c:v>491.54006268354186</c:v>
                </c:pt>
                <c:pt idx="55">
                  <c:v>491.57262491196599</c:v>
                </c:pt>
                <c:pt idx="56">
                  <c:v>491.5228580760006</c:v>
                </c:pt>
                <c:pt idx="57">
                  <c:v>491.43463824489254</c:v>
                </c:pt>
                <c:pt idx="58">
                  <c:v>491.38022367359684</c:v>
                </c:pt>
                <c:pt idx="59">
                  <c:v>491.50215503678697</c:v>
                </c:pt>
                <c:pt idx="60">
                  <c:v>491.3881084447508</c:v>
                </c:pt>
                <c:pt idx="61">
                  <c:v>491.57653923777224</c:v>
                </c:pt>
                <c:pt idx="62">
                  <c:v>491.64090255243406</c:v>
                </c:pt>
                <c:pt idx="63">
                  <c:v>491.67400109673224</c:v>
                </c:pt>
                <c:pt idx="64">
                  <c:v>491.41862799338628</c:v>
                </c:pt>
                <c:pt idx="65">
                  <c:v>491.52132709286417</c:v>
                </c:pt>
                <c:pt idx="66">
                  <c:v>491.64859923941594</c:v>
                </c:pt>
                <c:pt idx="67">
                  <c:v>491.6266834302549</c:v>
                </c:pt>
                <c:pt idx="68">
                  <c:v>491.41918577146976</c:v>
                </c:pt>
                <c:pt idx="69">
                  <c:v>491.42453841977516</c:v>
                </c:pt>
                <c:pt idx="70">
                  <c:v>491.5907745508128</c:v>
                </c:pt>
                <c:pt idx="71">
                  <c:v>491.44668917092656</c:v>
                </c:pt>
                <c:pt idx="72">
                  <c:v>491.63648967438252</c:v>
                </c:pt>
                <c:pt idx="73">
                  <c:v>491.60670268585199</c:v>
                </c:pt>
                <c:pt idx="74">
                  <c:v>491.68247191295882</c:v>
                </c:pt>
                <c:pt idx="75">
                  <c:v>491.59573733286516</c:v>
                </c:pt>
                <c:pt idx="76">
                  <c:v>491.54903918517408</c:v>
                </c:pt>
                <c:pt idx="77">
                  <c:v>491.55145878418028</c:v>
                </c:pt>
                <c:pt idx="78">
                  <c:v>491.5400250269895</c:v>
                </c:pt>
                <c:pt idx="79">
                  <c:v>491.46337541396088</c:v>
                </c:pt>
                <c:pt idx="80">
                  <c:v>491.55817949634417</c:v>
                </c:pt>
                <c:pt idx="81">
                  <c:v>491.63012093909532</c:v>
                </c:pt>
                <c:pt idx="82">
                  <c:v>491.47180585957653</c:v>
                </c:pt>
                <c:pt idx="83">
                  <c:v>491.67211319598925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04640"/>
        <c:axId val="195905216"/>
      </c:scatterChart>
      <c:valAx>
        <c:axId val="1959046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905216"/>
        <c:crosses val="autoZero"/>
        <c:crossBetween val="midCat"/>
      </c:valAx>
      <c:valAx>
        <c:axId val="195905216"/>
        <c:scaling>
          <c:orientation val="minMax"/>
          <c:min val="491.2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904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'ID 4'!$AA$16:$AA$47</c:f>
              <c:numCache>
                <c:formatCode>0.000000</c:formatCode>
                <c:ptCount val="32"/>
                <c:pt idx="0">
                  <c:v>491.62399612882166</c:v>
                </c:pt>
                <c:pt idx="1">
                  <c:v>491.69662199639481</c:v>
                </c:pt>
                <c:pt idx="2">
                  <c:v>491.6144024496931</c:v>
                </c:pt>
                <c:pt idx="3">
                  <c:v>491.70145772816966</c:v>
                </c:pt>
                <c:pt idx="4">
                  <c:v>491.66181314362103</c:v>
                </c:pt>
                <c:pt idx="5">
                  <c:v>491.59132846088835</c:v>
                </c:pt>
                <c:pt idx="6">
                  <c:v>491.5445132871875</c:v>
                </c:pt>
                <c:pt idx="7">
                  <c:v>491.38483489108012</c:v>
                </c:pt>
                <c:pt idx="8">
                  <c:v>491.48081964674128</c:v>
                </c:pt>
                <c:pt idx="9">
                  <c:v>491.33484063337545</c:v>
                </c:pt>
                <c:pt idx="10">
                  <c:v>491.57114533800501</c:v>
                </c:pt>
                <c:pt idx="11">
                  <c:v>491.57247854545778</c:v>
                </c:pt>
                <c:pt idx="12">
                  <c:v>491.50932782869518</c:v>
                </c:pt>
                <c:pt idx="13">
                  <c:v>491.54646654245539</c:v>
                </c:pt>
                <c:pt idx="14">
                  <c:v>491.44581481490593</c:v>
                </c:pt>
                <c:pt idx="15">
                  <c:v>491.70192625947385</c:v>
                </c:pt>
                <c:pt idx="16">
                  <c:v>491.5002575454514</c:v>
                </c:pt>
                <c:pt idx="17">
                  <c:v>491.48224707488731</c:v>
                </c:pt>
                <c:pt idx="18">
                  <c:v>491.46746408710646</c:v>
                </c:pt>
                <c:pt idx="19">
                  <c:v>491.42424057692369</c:v>
                </c:pt>
                <c:pt idx="20">
                  <c:v>491.66267509073157</c:v>
                </c:pt>
                <c:pt idx="21">
                  <c:v>491.639882720922</c:v>
                </c:pt>
                <c:pt idx="22">
                  <c:v>491.56077350152759</c:v>
                </c:pt>
                <c:pt idx="23">
                  <c:v>491.48202072335357</c:v>
                </c:pt>
                <c:pt idx="24">
                  <c:v>491.4656038577379</c:v>
                </c:pt>
                <c:pt idx="25">
                  <c:v>491.51539839293031</c:v>
                </c:pt>
                <c:pt idx="26">
                  <c:v>491.41703191589204</c:v>
                </c:pt>
                <c:pt idx="27">
                  <c:v>491.36894326336983</c:v>
                </c:pt>
                <c:pt idx="28">
                  <c:v>491.45809613706348</c:v>
                </c:pt>
                <c:pt idx="29">
                  <c:v>491.44919876509135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06944"/>
        <c:axId val="195907520"/>
      </c:scatterChart>
      <c:valAx>
        <c:axId val="1959069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907520"/>
        <c:crosses val="autoZero"/>
        <c:crossBetween val="midCat"/>
      </c:valAx>
      <c:valAx>
        <c:axId val="195907520"/>
        <c:scaling>
          <c:orientation val="minMax"/>
          <c:min val="491.2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95906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'ID 4'!$M$16:$M$45</c:f>
              <c:numCache>
                <c:formatCode>0.00E+00</c:formatCode>
                <c:ptCount val="30"/>
                <c:pt idx="0">
                  <c:v>46.028782999999997</c:v>
                </c:pt>
                <c:pt idx="1">
                  <c:v>46.141196999999998</c:v>
                </c:pt>
                <c:pt idx="2">
                  <c:v>46.154041999999997</c:v>
                </c:pt>
                <c:pt idx="3">
                  <c:v>46.396889000000002</c:v>
                </c:pt>
                <c:pt idx="4">
                  <c:v>46.528668000000003</c:v>
                </c:pt>
                <c:pt idx="5">
                  <c:v>46.748066000000001</c:v>
                </c:pt>
                <c:pt idx="6">
                  <c:v>46.906587000000002</c:v>
                </c:pt>
                <c:pt idx="7">
                  <c:v>47.133960999999999</c:v>
                </c:pt>
                <c:pt idx="8">
                  <c:v>47.394261</c:v>
                </c:pt>
                <c:pt idx="9">
                  <c:v>47.490493000000001</c:v>
                </c:pt>
                <c:pt idx="10">
                  <c:v>49.169449999999998</c:v>
                </c:pt>
                <c:pt idx="11">
                  <c:v>48.991844</c:v>
                </c:pt>
                <c:pt idx="12">
                  <c:v>48.611485000000002</c:v>
                </c:pt>
                <c:pt idx="13">
                  <c:v>48.316994999999999</c:v>
                </c:pt>
                <c:pt idx="14">
                  <c:v>48.014009000000001</c:v>
                </c:pt>
                <c:pt idx="15">
                  <c:v>47.907626999999998</c:v>
                </c:pt>
                <c:pt idx="16">
                  <c:v>47.684936999999998</c:v>
                </c:pt>
                <c:pt idx="17">
                  <c:v>47.511284000000003</c:v>
                </c:pt>
                <c:pt idx="18">
                  <c:v>47.584091000000001</c:v>
                </c:pt>
                <c:pt idx="19">
                  <c:v>48.125072000000003</c:v>
                </c:pt>
                <c:pt idx="20">
                  <c:v>49.812705000000001</c:v>
                </c:pt>
                <c:pt idx="21">
                  <c:v>49.479393999999999</c:v>
                </c:pt>
                <c:pt idx="22">
                  <c:v>49.190182</c:v>
                </c:pt>
                <c:pt idx="23">
                  <c:v>48.796399000000001</c:v>
                </c:pt>
                <c:pt idx="24">
                  <c:v>48.419722</c:v>
                </c:pt>
                <c:pt idx="25">
                  <c:v>47.983801</c:v>
                </c:pt>
                <c:pt idx="26">
                  <c:v>47.583275999999998</c:v>
                </c:pt>
                <c:pt idx="27">
                  <c:v>47.183086000000003</c:v>
                </c:pt>
                <c:pt idx="28">
                  <c:v>46.824764999999999</c:v>
                </c:pt>
                <c:pt idx="29">
                  <c:v>46.451864999999998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09248"/>
        <c:axId val="195909824"/>
      </c:scatterChart>
      <c:valAx>
        <c:axId val="19590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95909824"/>
        <c:crosses val="autoZero"/>
        <c:crossBetween val="midCat"/>
      </c:valAx>
      <c:valAx>
        <c:axId val="19590982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95909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errBars>
            <c:errDir val="y"/>
            <c:errBarType val="both"/>
            <c:errValType val="cust"/>
            <c:noEndCap val="1"/>
            <c:plus>
              <c:numRef>
                <c:f>SampleStats!$D$12:$D$16</c:f>
                <c:numCache>
                  <c:formatCode>General</c:formatCode>
                  <c:ptCount val="5"/>
                  <c:pt idx="0">
                    <c:v>5.7162298721933683E-5</c:v>
                  </c:pt>
                  <c:pt idx="1">
                    <c:v>1.0428654361539074E-4</c:v>
                  </c:pt>
                  <c:pt idx="2">
                    <c:v>6.4539115501007331E-5</c:v>
                  </c:pt>
                  <c:pt idx="3">
                    <c:v>3.2014658161841795E-5</c:v>
                  </c:pt>
                  <c:pt idx="4">
                    <c:v>2.0737636506697892E-5</c:v>
                  </c:pt>
                </c:numCache>
              </c:numRef>
            </c:plus>
            <c:minus>
              <c:numRef>
                <c:f>SampleStats!$D$12:$D$16</c:f>
                <c:numCache>
                  <c:formatCode>General</c:formatCode>
                  <c:ptCount val="5"/>
                  <c:pt idx="0">
                    <c:v>5.7162298721933683E-5</c:v>
                  </c:pt>
                  <c:pt idx="1">
                    <c:v>1.0428654361539074E-4</c:v>
                  </c:pt>
                  <c:pt idx="2">
                    <c:v>6.4539115501007331E-5</c:v>
                  </c:pt>
                  <c:pt idx="3">
                    <c:v>3.2014658161841795E-5</c:v>
                  </c:pt>
                  <c:pt idx="4">
                    <c:v>2.0737636506697892E-5</c:v>
                  </c:pt>
                </c:numCache>
              </c:numRef>
            </c:minus>
          </c:errBars>
          <c:yVal>
            <c:numRef>
              <c:f>SampleStats!$B$12:$B$16</c:f>
              <c:numCache>
                <c:formatCode>0.00000000</c:formatCode>
                <c:ptCount val="5"/>
                <c:pt idx="0">
                  <c:v>1.472121052821897E-2</c:v>
                </c:pt>
                <c:pt idx="1">
                  <c:v>1.4388832378771376E-2</c:v>
                </c:pt>
                <c:pt idx="2">
                  <c:v>1.4783244695752684E-2</c:v>
                </c:pt>
                <c:pt idx="3">
                  <c:v>1.5378590444060454E-2</c:v>
                </c:pt>
                <c:pt idx="4">
                  <c:v>1.5419067549556787E-2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35072"/>
        <c:axId val="200835648"/>
      </c:scatterChart>
      <c:valAx>
        <c:axId val="200835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0835648"/>
        <c:crosses val="autoZero"/>
        <c:crossBetween val="midCat"/>
      </c:valAx>
      <c:valAx>
        <c:axId val="200835648"/>
        <c:scaling>
          <c:orientation val="minMax"/>
          <c:min val="1.5299999999999999E-2"/>
        </c:scaling>
        <c:delete val="0"/>
        <c:axPos val="l"/>
        <c:majorGridlines/>
        <c:numFmt formatCode="0.00000000" sourceLinked="1"/>
        <c:majorTickMark val="out"/>
        <c:minorTickMark val="none"/>
        <c:tickLblPos val="nextTo"/>
        <c:crossAx val="200835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SampleStats!$C$49:$C$52</c:f>
                <c:numCache>
                  <c:formatCode>General</c:formatCode>
                  <c:ptCount val="4"/>
                  <c:pt idx="0">
                    <c:v>1.1962601729709949E-2</c:v>
                  </c:pt>
                  <c:pt idx="1">
                    <c:v>1.6395595349914489E-2</c:v>
                  </c:pt>
                  <c:pt idx="2">
                    <c:v>1.5360984182879138E-2</c:v>
                  </c:pt>
                  <c:pt idx="3">
                    <c:v>1.8656410135904661E-2</c:v>
                  </c:pt>
                </c:numCache>
              </c:numRef>
            </c:plus>
            <c:minus>
              <c:numRef>
                <c:f>SampleStats!$C$49:$C$52</c:f>
                <c:numCache>
                  <c:formatCode>General</c:formatCode>
                  <c:ptCount val="4"/>
                  <c:pt idx="0">
                    <c:v>1.1962601729709949E-2</c:v>
                  </c:pt>
                  <c:pt idx="1">
                    <c:v>1.6395595349914489E-2</c:v>
                  </c:pt>
                  <c:pt idx="2">
                    <c:v>1.5360984182879138E-2</c:v>
                  </c:pt>
                  <c:pt idx="3">
                    <c:v>1.8656410135904661E-2</c:v>
                  </c:pt>
                </c:numCache>
              </c:numRef>
            </c:minus>
          </c:errBars>
          <c:yVal>
            <c:numRef>
              <c:f>SampleStats!$B$49:$B$52</c:f>
              <c:numCache>
                <c:formatCode>0.0000000</c:formatCode>
                <c:ptCount val="4"/>
                <c:pt idx="0">
                  <c:v>491.54471426103282</c:v>
                </c:pt>
                <c:pt idx="1">
                  <c:v>491.55326819066966</c:v>
                </c:pt>
                <c:pt idx="2">
                  <c:v>491.5615373879682</c:v>
                </c:pt>
                <c:pt idx="3">
                  <c:v>491.52918737826514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37376"/>
        <c:axId val="200837952"/>
      </c:scatterChart>
      <c:valAx>
        <c:axId val="200837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0837952"/>
        <c:crosses val="autoZero"/>
        <c:crossBetween val="midCat"/>
      </c:valAx>
      <c:valAx>
        <c:axId val="200837952"/>
        <c:scaling>
          <c:orientation val="minMax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crossAx val="200837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48</xdr:row>
      <xdr:rowOff>66675</xdr:rowOff>
    </xdr:from>
    <xdr:to>
      <xdr:col>8</xdr:col>
      <xdr:colOff>333375</xdr:colOff>
      <xdr:row>63</xdr:row>
      <xdr:rowOff>79375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79375</xdr:colOff>
      <xdr:row>48</xdr:row>
      <xdr:rowOff>9525</xdr:rowOff>
    </xdr:from>
    <xdr:to>
      <xdr:col>16</xdr:col>
      <xdr:colOff>190500</xdr:colOff>
      <xdr:row>63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63500</xdr:colOff>
      <xdr:row>48</xdr:row>
      <xdr:rowOff>9525</xdr:rowOff>
    </xdr:from>
    <xdr:to>
      <xdr:col>23</xdr:col>
      <xdr:colOff>206375</xdr:colOff>
      <xdr:row>63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508000</xdr:colOff>
      <xdr:row>47</xdr:row>
      <xdr:rowOff>25400</xdr:rowOff>
    </xdr:from>
    <xdr:to>
      <xdr:col>27</xdr:col>
      <xdr:colOff>800100</xdr:colOff>
      <xdr:row>63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927100</xdr:colOff>
      <xdr:row>47</xdr:row>
      <xdr:rowOff>38100</xdr:rowOff>
    </xdr:from>
    <xdr:to>
      <xdr:col>32</xdr:col>
      <xdr:colOff>355600</xdr:colOff>
      <xdr:row>63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17</xdr:row>
      <xdr:rowOff>66675</xdr:rowOff>
    </xdr:from>
    <xdr:to>
      <xdr:col>8</xdr:col>
      <xdr:colOff>28575</xdr:colOff>
      <xdr:row>31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133350</xdr:colOff>
      <xdr:row>44</xdr:row>
      <xdr:rowOff>171450</xdr:rowOff>
    </xdr:from>
    <xdr:to>
      <xdr:col>22</xdr:col>
      <xdr:colOff>1095375</xdr:colOff>
      <xdr:row>60</xdr:row>
      <xdr:rowOff>82550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381000</xdr:colOff>
      <xdr:row>44</xdr:row>
      <xdr:rowOff>152400</xdr:rowOff>
    </xdr:from>
    <xdr:to>
      <xdr:col>27</xdr:col>
      <xdr:colOff>673100</xdr:colOff>
      <xdr:row>61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952500</xdr:colOff>
      <xdr:row>44</xdr:row>
      <xdr:rowOff>101600</xdr:rowOff>
    </xdr:from>
    <xdr:to>
      <xdr:col>32</xdr:col>
      <xdr:colOff>381000</xdr:colOff>
      <xdr:row>61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342900</xdr:colOff>
      <xdr:row>44</xdr:row>
      <xdr:rowOff>139700</xdr:rowOff>
    </xdr:from>
    <xdr:to>
      <xdr:col>16</xdr:col>
      <xdr:colOff>571500</xdr:colOff>
      <xdr:row>61</xdr:row>
      <xdr:rowOff>63500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793750</xdr:colOff>
      <xdr:row>30</xdr:row>
      <xdr:rowOff>168275</xdr:rowOff>
    </xdr:from>
    <xdr:to>
      <xdr:col>11</xdr:col>
      <xdr:colOff>231775</xdr:colOff>
      <xdr:row>46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219075</xdr:colOff>
      <xdr:row>31</xdr:row>
      <xdr:rowOff>73025</xdr:rowOff>
    </xdr:from>
    <xdr:to>
      <xdr:col>19</xdr:col>
      <xdr:colOff>508000</xdr:colOff>
      <xdr:row>46</xdr:row>
      <xdr:rowOff>98425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133350</xdr:colOff>
      <xdr:row>31</xdr:row>
      <xdr:rowOff>57150</xdr:rowOff>
    </xdr:from>
    <xdr:to>
      <xdr:col>25</xdr:col>
      <xdr:colOff>79375</xdr:colOff>
      <xdr:row>46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17</xdr:row>
      <xdr:rowOff>66675</xdr:rowOff>
    </xdr:from>
    <xdr:to>
      <xdr:col>8</xdr:col>
      <xdr:colOff>28575</xdr:colOff>
      <xdr:row>31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168275</xdr:colOff>
      <xdr:row>17</xdr:row>
      <xdr:rowOff>149225</xdr:rowOff>
    </xdr:from>
    <xdr:to>
      <xdr:col>34</xdr:col>
      <xdr:colOff>609600</xdr:colOff>
      <xdr:row>32</xdr:row>
      <xdr:rowOff>34925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209550</xdr:colOff>
      <xdr:row>1</xdr:row>
      <xdr:rowOff>57150</xdr:rowOff>
    </xdr:from>
    <xdr:to>
      <xdr:col>34</xdr:col>
      <xdr:colOff>295275</xdr:colOff>
      <xdr:row>16</xdr:row>
      <xdr:rowOff>82550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17</xdr:row>
      <xdr:rowOff>66675</xdr:rowOff>
    </xdr:from>
    <xdr:to>
      <xdr:col>8</xdr:col>
      <xdr:colOff>28575</xdr:colOff>
      <xdr:row>31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257175</xdr:colOff>
      <xdr:row>17</xdr:row>
      <xdr:rowOff>123825</xdr:rowOff>
    </xdr:from>
    <xdr:to>
      <xdr:col>22</xdr:col>
      <xdr:colOff>495300</xdr:colOff>
      <xdr:row>32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209550</xdr:colOff>
      <xdr:row>17</xdr:row>
      <xdr:rowOff>19050</xdr:rowOff>
    </xdr:from>
    <xdr:to>
      <xdr:col>27</xdr:col>
      <xdr:colOff>904875</xdr:colOff>
      <xdr:row>31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15</xdr:row>
      <xdr:rowOff>0</xdr:rowOff>
    </xdr:from>
    <xdr:to>
      <xdr:col>41</xdr:col>
      <xdr:colOff>508000</xdr:colOff>
      <xdr:row>44</xdr:row>
      <xdr:rowOff>36285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457200</xdr:colOff>
      <xdr:row>14</xdr:row>
      <xdr:rowOff>127000</xdr:rowOff>
    </xdr:from>
    <xdr:to>
      <xdr:col>38</xdr:col>
      <xdr:colOff>139700</xdr:colOff>
      <xdr:row>30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15</xdr:row>
      <xdr:rowOff>0</xdr:rowOff>
    </xdr:from>
    <xdr:to>
      <xdr:col>41</xdr:col>
      <xdr:colOff>454025</xdr:colOff>
      <xdr:row>29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15</xdr:row>
      <xdr:rowOff>0</xdr:rowOff>
    </xdr:from>
    <xdr:to>
      <xdr:col>39</xdr:col>
      <xdr:colOff>939800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0</xdr:colOff>
      <xdr:row>30</xdr:row>
      <xdr:rowOff>0</xdr:rowOff>
    </xdr:from>
    <xdr:to>
      <xdr:col>39</xdr:col>
      <xdr:colOff>931333</xdr:colOff>
      <xdr:row>45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568960</xdr:colOff>
      <xdr:row>2</xdr:row>
      <xdr:rowOff>142240</xdr:rowOff>
    </xdr:from>
    <xdr:to>
      <xdr:col>16</xdr:col>
      <xdr:colOff>10160</xdr:colOff>
      <xdr:row>18</xdr:row>
      <xdr:rowOff>121920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274320</xdr:colOff>
      <xdr:row>55</xdr:row>
      <xdr:rowOff>142240</xdr:rowOff>
    </xdr:from>
    <xdr:to>
      <xdr:col>10</xdr:col>
      <xdr:colOff>396240</xdr:colOff>
      <xdr:row>72</xdr:row>
      <xdr:rowOff>121920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ahmclean/Library/Mail%20Downloads/137point88%20manuscript/137point88%20submitted%20files/April%202010/Submitted%20Files%2011th%20April%202010/Re-submitted%20version/Stats_950a_February%2022nd%2020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ahmclean/Library/Mail%20Downloads/137point88%20manuscript/137point88%20submitted%20files/April%202010/Submitted%20Files%2011th%20April%202010/Re-submitted%20version/Stats_IRMM%20184_February%2022nd%20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0a A"/>
      <sheetName val="950a B"/>
      <sheetName val="950a C"/>
      <sheetName val="950a E"/>
      <sheetName val="950a G"/>
      <sheetName val="950a H"/>
      <sheetName val="SampleStats"/>
      <sheetName val="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B9">
            <v>137.84828346877467</v>
          </cell>
        </row>
        <row r="10">
          <cell r="B10">
            <v>137.85126246615167</v>
          </cell>
        </row>
        <row r="11">
          <cell r="B11">
            <v>137.84416077862403</v>
          </cell>
        </row>
        <row r="12">
          <cell r="B12">
            <v>137.85048004286131</v>
          </cell>
        </row>
        <row r="13">
          <cell r="B13">
            <v>137.84787116265304</v>
          </cell>
        </row>
        <row r="14">
          <cell r="B14">
            <v>137.84359717988093</v>
          </cell>
        </row>
        <row r="19">
          <cell r="B19">
            <v>1.2452677659066335E-4</v>
          </cell>
          <cell r="C19">
            <v>1.172769255667875E-4</v>
          </cell>
          <cell r="D19">
            <v>1.1725968655583368E-4</v>
          </cell>
          <cell r="E19">
            <v>1.1727110307405042E-4</v>
          </cell>
          <cell r="F19">
            <v>1.1724074286355012E-4</v>
          </cell>
          <cell r="G19">
            <v>1.1728017472829036E-4</v>
          </cell>
        </row>
        <row r="20">
          <cell r="B20">
            <v>1.172769255667875E-4</v>
          </cell>
          <cell r="C20">
            <v>1.3204025755796133E-4</v>
          </cell>
          <cell r="D20">
            <v>1.1731168418553851E-4</v>
          </cell>
          <cell r="E20">
            <v>1.1732310753601017E-4</v>
          </cell>
          <cell r="F20">
            <v>1.1729273160696577E-4</v>
          </cell>
          <cell r="G20">
            <v>1.1733218318724002E-4</v>
          </cell>
        </row>
        <row r="21">
          <cell r="B21">
            <v>1.1725968655583368E-4</v>
          </cell>
          <cell r="C21">
            <v>1.1731168418553851E-4</v>
          </cell>
          <cell r="D21">
            <v>1.3323734067640676E-4</v>
          </cell>
          <cell r="E21">
            <v>1.173058651960977E-4</v>
          </cell>
          <cell r="F21">
            <v>1.1727549162175583E-4</v>
          </cell>
          <cell r="G21">
            <v>1.1731493948931926E-4</v>
          </cell>
        </row>
        <row r="22">
          <cell r="B22">
            <v>1.1727110307405042E-4</v>
          </cell>
          <cell r="C22">
            <v>1.1732310753601017E-4</v>
          </cell>
          <cell r="D22">
            <v>1.173058651960977E-4</v>
          </cell>
          <cell r="E22">
            <v>1.3986702060688041E-4</v>
          </cell>
          <cell r="F22">
            <v>1.1728691224016016E-4</v>
          </cell>
          <cell r="G22">
            <v>1.1732636790958873E-4</v>
          </cell>
        </row>
        <row r="23">
          <cell r="B23">
            <v>1.1724074286355012E-4</v>
          </cell>
          <cell r="C23">
            <v>1.1729273160696577E-4</v>
          </cell>
          <cell r="D23">
            <v>1.1727549162175583E-4</v>
          </cell>
          <cell r="E23">
            <v>1.1728691224016016E-4</v>
          </cell>
          <cell r="F23">
            <v>1.2081287979455551E-4</v>
          </cell>
          <cell r="G23">
            <v>1.1729598507987946E-4</v>
          </cell>
        </row>
        <row r="24">
          <cell r="B24">
            <v>1.1728017472829036E-4</v>
          </cell>
          <cell r="C24">
            <v>1.1733218318724002E-4</v>
          </cell>
          <cell r="D24">
            <v>1.1731493948931926E-4</v>
          </cell>
          <cell r="E24">
            <v>1.1732636790958873E-4</v>
          </cell>
          <cell r="F24">
            <v>1.1729598507987946E-4</v>
          </cell>
          <cell r="G24">
            <v>1.2227125107202428E-4</v>
          </cell>
        </row>
        <row r="28">
          <cell r="B28">
            <v>113644.4901479729</v>
          </cell>
          <cell r="C28">
            <v>-11573.551737761218</v>
          </cell>
          <cell r="D28">
            <v>-10677.922938337651</v>
          </cell>
          <cell r="E28">
            <v>-7550.1206214710837</v>
          </cell>
          <cell r="F28">
            <v>-47860.975247763112</v>
          </cell>
          <cell r="G28">
            <v>-34496.148359567247</v>
          </cell>
        </row>
        <row r="29">
          <cell r="B29">
            <v>-11573.55173776127</v>
          </cell>
          <cell r="C29">
            <v>62227.861797762118</v>
          </cell>
          <cell r="D29">
            <v>-5302.2385744997355</v>
          </cell>
          <cell r="E29">
            <v>-3749.0997074915226</v>
          </cell>
          <cell r="F29">
            <v>-23765.877640051556</v>
          </cell>
          <cell r="G29">
            <v>-17129.461040077302</v>
          </cell>
        </row>
        <row r="30">
          <cell r="B30">
            <v>-10677.922938337661</v>
          </cell>
          <cell r="C30">
            <v>-5302.2385744997246</v>
          </cell>
          <cell r="D30">
            <v>57831.92282911692</v>
          </cell>
          <cell r="E30">
            <v>-3458.9821727031826</v>
          </cell>
          <cell r="F30">
            <v>-21926.759489636042</v>
          </cell>
          <cell r="G30">
            <v>-15803.927298557839</v>
          </cell>
        </row>
        <row r="31">
          <cell r="B31">
            <v>-7550.1206214710928</v>
          </cell>
          <cell r="C31">
            <v>-3749.0997074915103</v>
          </cell>
          <cell r="D31">
            <v>-3458.9821727031813</v>
          </cell>
          <cell r="E31">
            <v>41900.651361137163</v>
          </cell>
          <cell r="F31">
            <v>-15503.953436521824</v>
          </cell>
          <cell r="G31">
            <v>-11174.662323657787</v>
          </cell>
        </row>
        <row r="32">
          <cell r="B32">
            <v>-47860.975247763126</v>
          </cell>
          <cell r="C32">
            <v>-23765.877640051487</v>
          </cell>
          <cell r="D32">
            <v>-21926.759489636061</v>
          </cell>
          <cell r="E32">
            <v>-15503.953436521821</v>
          </cell>
          <cell r="F32">
            <v>182907.48392836534</v>
          </cell>
          <cell r="G32">
            <v>-70836.836735200879</v>
          </cell>
        </row>
        <row r="33">
          <cell r="B33">
            <v>-34496.148359567182</v>
          </cell>
          <cell r="C33">
            <v>-17129.461040077422</v>
          </cell>
          <cell r="D33">
            <v>-15803.927298557814</v>
          </cell>
          <cell r="E33">
            <v>-11174.66232365778</v>
          </cell>
          <cell r="F33">
            <v>-70836.83673520085</v>
          </cell>
          <cell r="G33">
            <v>151544.59505263434</v>
          </cell>
        </row>
        <row r="37">
          <cell r="A37">
            <v>1</v>
          </cell>
          <cell r="B37">
            <v>0.17612333379865519</v>
          </cell>
          <cell r="C37">
            <v>-1.2687241170112884E-3</v>
          </cell>
        </row>
        <row r="38">
          <cell r="A38">
            <v>1</v>
          </cell>
          <cell r="B38">
            <v>8.3882832492629511E-2</v>
          </cell>
          <cell r="C38">
            <v>-4.2477214940106478E-3</v>
          </cell>
        </row>
        <row r="39">
          <cell r="A39">
            <v>1</v>
          </cell>
          <cell r="B39">
            <v>7.8484432550608177E-2</v>
          </cell>
          <cell r="C39">
            <v>2.8539660336264205E-3</v>
          </cell>
        </row>
        <row r="40">
          <cell r="A40">
            <v>1</v>
          </cell>
          <cell r="B40">
            <v>5.4982778913184885E-2</v>
          </cell>
          <cell r="C40">
            <v>-3.4652982036504909E-3</v>
          </cell>
        </row>
        <row r="41">
          <cell r="A41">
            <v>1</v>
          </cell>
          <cell r="B41">
            <v>0.35717068827668103</v>
          </cell>
          <cell r="C41">
            <v>-8.5641799537938823E-4</v>
          </cell>
        </row>
        <row r="42">
          <cell r="A42">
            <v>1</v>
          </cell>
          <cell r="B42">
            <v>0.24935593396824038</v>
          </cell>
          <cell r="C42">
            <v>3.4175647767256123E-3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MM 184 2"/>
      <sheetName val="IRMM 184 6"/>
      <sheetName val="IRMM 184 7"/>
      <sheetName val="IRMM 184 8"/>
      <sheetName val="IRMM 184 C"/>
      <sheetName val="SampleStats"/>
      <sheetName val="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B10">
            <v>137.67373023579253</v>
          </cell>
        </row>
        <row r="11">
          <cell r="B11">
            <v>137.68668978377343</v>
          </cell>
        </row>
        <row r="12">
          <cell r="B12">
            <v>137.67970462453187</v>
          </cell>
        </row>
        <row r="13">
          <cell r="B13">
            <v>137.68242348168127</v>
          </cell>
        </row>
        <row r="14">
          <cell r="B14">
            <v>137.68617128260342</v>
          </cell>
        </row>
      </sheetData>
      <sheetData sheetId="6" refreshError="1"/>
    </sheetDataSet>
  </externalBook>
</externalLink>
</file>

<file path=xl/queryTables/queryTable1.xml><?xml version="1.0" encoding="utf-8"?>
<queryTable xmlns="http://schemas.openxmlformats.org/spreadsheetml/2006/main" name="U500_16a U3568 stat fast U500" connectionId="17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500 IC 1a U4568 stat fast U500_1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500 IC 1a U4568 stat fast U500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500 IC 1a U4568 stat fast U500" connectionId="1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500 IC 1a U4568 stat fast U500_1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500_16a U3568 stat fast U500" connectionId="18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500_16a U3568 stat fast U500" connectionId="19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U500 IC 1a U4568 stat fast U500_1" connectionId="8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U500 IC 1a U4568 stat fast U500" connectionId="12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U500_16a U3568 stat fast U500" connectionId="20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U500 IC 1a U4568 stat fast U500" connectionId="13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U500 IC 1a U4568 stat fast U500_1" connectionId="9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U500_16a U3568 stat fast U500" connectionId="21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U500 IC 1a U4568 stat fast U500_1" connectionId="10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U500 IC 1a U4568 stat fast U500" connectionId="14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U500_16a U3568 stat fast U500" connectionId="15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U500 IC 1a U4568 stat fast U500" connectionId="2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U500 IC 1a U4568 stat fast U500" connectionId="3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U500_16a U3568 stat fast U500" connectionId="22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U500_16a U3568 stat fast U500" connectionId="23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U500 IC 1a U4568 stat fast U500" connectionId="4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U500_16a U3568 stat fast U500" connectionId="16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U500 IC 1a U4568 stat fast U500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2.xml"/><Relationship Id="rId4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3.xml"/><Relationship Id="rId4" Type="http://schemas.openxmlformats.org/officeDocument/2006/relationships/queryTable" Target="../queryTables/query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drawing" Target="../drawings/drawing4.xml"/><Relationship Id="rId4" Type="http://schemas.openxmlformats.org/officeDocument/2006/relationships/queryTable" Target="../queryTables/query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drawing" Target="../drawings/drawing5.xml"/><Relationship Id="rId4" Type="http://schemas.openxmlformats.org/officeDocument/2006/relationships/queryTable" Target="../queryTables/query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.xml"/><Relationship Id="rId2" Type="http://schemas.openxmlformats.org/officeDocument/2006/relationships/queryTable" Target="../queryTables/queryTable18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.xml"/><Relationship Id="rId2" Type="http://schemas.openxmlformats.org/officeDocument/2006/relationships/queryTable" Target="../queryTables/queryTable20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3.xml"/><Relationship Id="rId2" Type="http://schemas.openxmlformats.org/officeDocument/2006/relationships/queryTable" Target="../queryTables/queryTable22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C54"/>
  <sheetViews>
    <sheetView workbookViewId="0">
      <selection activeCell="W7" sqref="W7"/>
    </sheetView>
  </sheetViews>
  <sheetFormatPr defaultColWidth="11" defaultRowHeight="12.75"/>
  <cols>
    <col min="1" max="1" width="8.625" bestFit="1" customWidth="1"/>
    <col min="2" max="4" width="9.375" bestFit="1" customWidth="1"/>
    <col min="5" max="5" width="10.375" bestFit="1" customWidth="1"/>
    <col min="6" max="11" width="9.375" bestFit="1" customWidth="1"/>
    <col min="12" max="12" width="8.625" bestFit="1" customWidth="1"/>
    <col min="13" max="13" width="8.375" bestFit="1" customWidth="1"/>
    <col min="14" max="14" width="9.375" customWidth="1"/>
    <col min="15" max="15" width="8.625" bestFit="1" customWidth="1"/>
    <col min="16" max="16" width="4.375" bestFit="1" customWidth="1"/>
    <col min="17" max="17" width="7.25" bestFit="1" customWidth="1"/>
    <col min="18" max="18" width="8.25" customWidth="1"/>
    <col min="19" max="19" width="9.875" bestFit="1" customWidth="1"/>
    <col min="20" max="21" width="7.25" bestFit="1" customWidth="1"/>
    <col min="22" max="23" width="12.375" bestFit="1" customWidth="1"/>
    <col min="24" max="24" width="11.75" bestFit="1" customWidth="1"/>
    <col min="25" max="25" width="12.75" bestFit="1" customWidth="1"/>
    <col min="26" max="27" width="11.875" bestFit="1" customWidth="1"/>
    <col min="28" max="28" width="13" bestFit="1" customWidth="1"/>
    <col min="29" max="29" width="11.875" bestFit="1" customWidth="1"/>
  </cols>
  <sheetData>
    <row r="1" spans="1:29" ht="15">
      <c r="S1" s="5"/>
    </row>
    <row r="6" spans="1:29">
      <c r="S6" s="12"/>
      <c r="W6" t="s">
        <v>4</v>
      </c>
    </row>
    <row r="7" spans="1:29">
      <c r="W7" s="139">
        <v>491.5480626248243</v>
      </c>
    </row>
    <row r="10" spans="1:29" ht="15">
      <c r="N10" s="18" t="s">
        <v>149</v>
      </c>
      <c r="P10" s="106">
        <f>(AVERAGE((P16:P20)))</f>
        <v>11.08920967165308</v>
      </c>
      <c r="Q10" s="106"/>
      <c r="R10" s="107"/>
      <c r="S10" s="107"/>
      <c r="T10" s="107"/>
      <c r="U10" s="107"/>
    </row>
    <row r="11" spans="1:29">
      <c r="B11">
        <v>234.54</v>
      </c>
      <c r="C11">
        <v>235.54</v>
      </c>
      <c r="D11">
        <v>236.54</v>
      </c>
      <c r="E11">
        <v>232.54</v>
      </c>
      <c r="F11">
        <v>233.54</v>
      </c>
      <c r="G11">
        <v>234.54</v>
      </c>
      <c r="H11">
        <v>237.041</v>
      </c>
      <c r="I11" s="127">
        <v>234.041</v>
      </c>
      <c r="J11" s="127">
        <v>233.041</v>
      </c>
      <c r="K11" s="127">
        <v>236.041</v>
      </c>
      <c r="Q11">
        <v>234.041</v>
      </c>
      <c r="R11">
        <v>233.041</v>
      </c>
      <c r="S11">
        <v>236.041</v>
      </c>
      <c r="T11">
        <v>235.041</v>
      </c>
      <c r="U11">
        <v>235.041</v>
      </c>
      <c r="Y11" t="s">
        <v>126</v>
      </c>
      <c r="Z11" s="3">
        <f>AVERAGE(Z16:Z45)</f>
        <v>1.472121052821897E-2</v>
      </c>
      <c r="AA11" s="3">
        <f>AVERAGE(AA16:AA54)</f>
        <v>3.6193784629928094E-3</v>
      </c>
    </row>
    <row r="12" spans="1:29">
      <c r="B12" s="105">
        <f t="shared" ref="B12:G12" si="0">AVERAGE(B16:B54)</f>
        <v>4.3590870436666675E-5</v>
      </c>
      <c r="C12" s="105">
        <f t="shared" si="0"/>
        <v>8.4184957333333313E-5</v>
      </c>
      <c r="D12" s="105">
        <f t="shared" si="0"/>
        <v>1.8520458066666664E-4</v>
      </c>
      <c r="E12" s="105">
        <f t="shared" si="0"/>
        <v>1.3680835840000002E-5</v>
      </c>
      <c r="F12" s="105">
        <f t="shared" si="0"/>
        <v>3.8504958753333346E-5</v>
      </c>
      <c r="G12" s="105">
        <f t="shared" si="0"/>
        <v>6.1610335033333326E-5</v>
      </c>
      <c r="H12" s="105">
        <f>AVERAGE(K16:K54)</f>
        <v>3.8025482599999996E-4</v>
      </c>
      <c r="I12" s="128">
        <f>AVERAGE(I16:I54)</f>
        <v>3.8374275166666669E-4</v>
      </c>
      <c r="J12" s="128">
        <f>AVERAGE(H16:H54)</f>
        <v>1.9504267751333331E-5</v>
      </c>
      <c r="K12" s="128">
        <f>AVERAGE(N16:N54)</f>
        <v>1.5806652633333332E-3</v>
      </c>
      <c r="P12" s="18" t="s">
        <v>151</v>
      </c>
      <c r="Q12" s="8">
        <f t="shared" ref="Q12:X12" si="1">AVERAGE(Q16:Q54)</f>
        <v>3.3368510477333336E-4</v>
      </c>
      <c r="R12" s="114">
        <f t="shared" si="1"/>
        <v>-6.5886295453333319E-6</v>
      </c>
      <c r="S12" s="8">
        <f t="shared" si="1"/>
        <v>1.3533682040000002E-3</v>
      </c>
      <c r="T12" s="8">
        <f t="shared" si="1"/>
        <v>9.2049892486115004E-2</v>
      </c>
      <c r="U12" s="8">
        <f t="shared" si="1"/>
        <v>9.183897361944833E-2</v>
      </c>
      <c r="V12" s="4">
        <f t="shared" si="1"/>
        <v>490.56507879918888</v>
      </c>
      <c r="W12" s="4">
        <f t="shared" si="1"/>
        <v>1.4710938802055696E-2</v>
      </c>
      <c r="X12" s="4">
        <f t="shared" si="1"/>
        <v>3.6219198194363312E-3</v>
      </c>
      <c r="Y12" t="s">
        <v>127</v>
      </c>
      <c r="Z12" s="3">
        <f>STDEV(Z16:Z45)/SQRT(COUNT(Z16:Z45))</f>
        <v>5.716090007065586E-5</v>
      </c>
      <c r="AA12" s="3">
        <f>STDEV(AA16:AA54)/SQRT(COUNT(AA16:AA54))</f>
        <v>1.6332649228546898E-5</v>
      </c>
      <c r="AB12">
        <f>AVERAGE(AB16:AB54)</f>
        <v>-2.4613014574034038E-6</v>
      </c>
      <c r="AC12">
        <f>AVERAGE(AC16:AC54)</f>
        <v>9.9968209970664281E-6</v>
      </c>
    </row>
    <row r="13" spans="1:29" ht="15">
      <c r="R13" s="107"/>
      <c r="S13" s="107"/>
      <c r="T13" s="107"/>
      <c r="U13" s="107"/>
    </row>
    <row r="14" spans="1:29" ht="15">
      <c r="B14" s="108" t="s">
        <v>12</v>
      </c>
      <c r="C14" s="108" t="s">
        <v>13</v>
      </c>
      <c r="D14" s="108" t="s">
        <v>12</v>
      </c>
      <c r="E14" s="109" t="s">
        <v>13</v>
      </c>
      <c r="F14" s="109" t="s">
        <v>13</v>
      </c>
      <c r="G14" s="109" t="s">
        <v>13</v>
      </c>
      <c r="H14" s="110" t="s">
        <v>14</v>
      </c>
      <c r="I14" s="110" t="s">
        <v>14</v>
      </c>
      <c r="J14" s="110" t="s">
        <v>14</v>
      </c>
      <c r="K14" s="110" t="s">
        <v>14</v>
      </c>
      <c r="L14" s="110" t="s">
        <v>14</v>
      </c>
      <c r="M14" s="111" t="s">
        <v>152</v>
      </c>
      <c r="N14" s="111" t="s">
        <v>152</v>
      </c>
      <c r="O14" s="111" t="s">
        <v>152</v>
      </c>
      <c r="P14" s="111"/>
      <c r="Q14" s="111" t="s">
        <v>14</v>
      </c>
      <c r="R14" s="111" t="s">
        <v>14</v>
      </c>
      <c r="S14" s="111" t="s">
        <v>152</v>
      </c>
      <c r="T14" s="111" t="s">
        <v>14</v>
      </c>
      <c r="U14" s="111" t="s">
        <v>152</v>
      </c>
      <c r="V14" s="13" t="s">
        <v>72</v>
      </c>
      <c r="W14" s="13" t="s">
        <v>73</v>
      </c>
      <c r="X14" s="13" t="s">
        <v>74</v>
      </c>
      <c r="Y14" s="13" t="s">
        <v>75</v>
      </c>
      <c r="Z14" s="13" t="s">
        <v>76</v>
      </c>
      <c r="AA14" s="13" t="s">
        <v>120</v>
      </c>
      <c r="AB14" s="13" t="s">
        <v>119</v>
      </c>
      <c r="AC14" s="13" t="s">
        <v>101</v>
      </c>
    </row>
    <row r="15" spans="1:29" ht="15">
      <c r="A15" t="s">
        <v>6</v>
      </c>
      <c r="B15" s="112" t="s">
        <v>153</v>
      </c>
      <c r="C15" s="112" t="s">
        <v>154</v>
      </c>
      <c r="D15" s="112" t="s">
        <v>155</v>
      </c>
      <c r="E15" s="112" t="s">
        <v>156</v>
      </c>
      <c r="F15" s="112" t="s">
        <v>157</v>
      </c>
      <c r="G15" s="112" t="s">
        <v>153</v>
      </c>
      <c r="H15" t="s">
        <v>158</v>
      </c>
      <c r="I15" t="s">
        <v>159</v>
      </c>
      <c r="J15" t="s">
        <v>8</v>
      </c>
      <c r="K15" s="112" t="s">
        <v>160</v>
      </c>
      <c r="L15" t="s">
        <v>9</v>
      </c>
      <c r="M15" t="s">
        <v>161</v>
      </c>
      <c r="N15" t="s">
        <v>162</v>
      </c>
      <c r="O15" t="s">
        <v>163</v>
      </c>
      <c r="Q15" s="107" t="s">
        <v>159</v>
      </c>
      <c r="R15" s="107" t="s">
        <v>158</v>
      </c>
      <c r="S15" s="107" t="s">
        <v>162</v>
      </c>
      <c r="T15" s="107" t="s">
        <v>8</v>
      </c>
      <c r="U15" s="107" t="s">
        <v>161</v>
      </c>
    </row>
    <row r="16" spans="1:29" ht="15">
      <c r="A16" s="131">
        <v>1</v>
      </c>
      <c r="B16" s="101">
        <v>6.4109659999999998E-5</v>
      </c>
      <c r="C16" s="101">
        <v>1.1911588999999999E-4</v>
      </c>
      <c r="D16" s="101">
        <v>2.2113302000000001E-4</v>
      </c>
      <c r="E16" s="101">
        <v>5.7055232000000003E-5</v>
      </c>
      <c r="F16" s="101">
        <v>8.1352951999999994E-5</v>
      </c>
      <c r="G16" s="101">
        <v>9.1944813999999999E-5</v>
      </c>
      <c r="H16" s="101">
        <v>8.2074067000000004E-5</v>
      </c>
      <c r="I16" s="101">
        <v>3.9571221999999998E-4</v>
      </c>
      <c r="J16" s="101">
        <v>8.5349166000000004E-2</v>
      </c>
      <c r="K16" s="101">
        <v>4.9268388000000001E-4</v>
      </c>
      <c r="L16" s="101">
        <v>41.877671999999997</v>
      </c>
      <c r="M16" s="101">
        <v>8.5941042999999995E-2</v>
      </c>
      <c r="N16" s="101">
        <v>1.5278555E-3</v>
      </c>
      <c r="O16" s="101">
        <v>42.174497000000002</v>
      </c>
      <c r="P16" s="106">
        <f t="shared" ref="P16" si="2">(K16/O16)*1000000</f>
        <v>11.682033338773429</v>
      </c>
      <c r="Q16" s="113">
        <f t="shared" ref="Q16" si="3">I16-((F16+G16)/2)</f>
        <v>3.09063337E-4</v>
      </c>
      <c r="R16" s="113">
        <f t="shared" ref="R16" si="4">H16-((E16+F16)/2)</f>
        <v>1.2869975000000009E-5</v>
      </c>
      <c r="S16" s="113">
        <f t="shared" ref="S16:S22" si="5">N16-((D16+C16/2))</f>
        <v>1.2471645350000001E-3</v>
      </c>
      <c r="T16" s="113">
        <f>J16-((B16+C16)/2)</f>
        <v>8.5257553225000005E-2</v>
      </c>
      <c r="U16" s="113">
        <f>M16-((C16+B16)/2)</f>
        <v>8.5849430224999995E-2</v>
      </c>
      <c r="V16" s="4">
        <f>IF(AND(A16&gt;0,NOT(A16="***")),O16/T16,"")</f>
        <v>494.67167898542516</v>
      </c>
      <c r="W16" s="4">
        <f t="shared" ref="W16:W22" si="6">IF(AND(A16&gt;0,NOT(A16="***")),S16/T16,"")</f>
        <v>1.4628199940346106E-2</v>
      </c>
      <c r="X16" s="4">
        <f>IF(AND(A16&gt;0,NOT(A16="***")),Q16/T16,"")</f>
        <v>3.6250552040165002E-3</v>
      </c>
      <c r="Y16">
        <f t="shared" ref="Y16:Y22" si="7">IF(AND(A16&gt;0,NOT(A16="***")),1/3*($W$7/V16-1),"")</f>
        <v>-2.1048414489164649E-3</v>
      </c>
      <c r="Z16">
        <f t="shared" ref="Z16:Z45" si="8">IF(AND(A16&gt;0,NOT(A16="***")),W16*(1+Y16),"")</f>
        <v>1.4597409898788629E-2</v>
      </c>
      <c r="AA16">
        <f t="shared" ref="AA16:AA45" si="9">IF(AND(A16&gt;0,NOT(A16="***")),X16*(1-Y16),"")</f>
        <v>3.6326853704645242E-3</v>
      </c>
      <c r="AB16">
        <f t="shared" ref="AB16:AB22" si="10">IF(AND(A16&gt;0,NOT(A16="***")),-X16/(3*V16),"")</f>
        <v>-2.4427348198920626E-6</v>
      </c>
      <c r="AC16">
        <f t="shared" ref="AC16:AC22" si="11">IF(AND(A16&gt;0,NOT(A16="***")),W16/(3*V16),"")</f>
        <v>9.857177707813958E-6</v>
      </c>
    </row>
    <row r="17" spans="1:29" ht="15">
      <c r="A17" s="131">
        <f>A16+1</f>
        <v>2</v>
      </c>
      <c r="B17" s="101">
        <v>1.010008E-4</v>
      </c>
      <c r="C17" s="101">
        <v>1.5298104000000001E-4</v>
      </c>
      <c r="D17" s="101">
        <v>2.6319662000000001E-4</v>
      </c>
      <c r="E17" s="101">
        <v>5.6861348000000002E-5</v>
      </c>
      <c r="F17" s="101">
        <v>7.0786514999999998E-5</v>
      </c>
      <c r="G17" s="101">
        <v>9.5438221000000001E-5</v>
      </c>
      <c r="H17" s="101">
        <v>6.0015700000000002E-5</v>
      </c>
      <c r="I17" s="101">
        <v>4.0777263000000002E-4</v>
      </c>
      <c r="J17" s="101">
        <v>8.8721992E-2</v>
      </c>
      <c r="K17" s="101">
        <v>4.8932806000000001E-4</v>
      </c>
      <c r="L17" s="101">
        <v>43.536234</v>
      </c>
      <c r="M17" s="101">
        <v>8.9545027999999999E-2</v>
      </c>
      <c r="N17" s="101">
        <v>1.5985388999999999E-3</v>
      </c>
      <c r="O17" s="101">
        <v>43.955185</v>
      </c>
      <c r="P17" s="106">
        <f t="shared" ref="P17:P22" si="12">(K17/O17)*1000000</f>
        <v>11.132430906615454</v>
      </c>
      <c r="Q17" s="113">
        <f t="shared" ref="Q17:Q22" si="13">I17-((F17+G17)/2)</f>
        <v>3.2466026199999998E-4</v>
      </c>
      <c r="R17" s="113">
        <f t="shared" ref="R17:R22" si="14">H17-((E17+F17)/2)</f>
        <v>-3.8082315000000048E-6</v>
      </c>
      <c r="S17" s="113">
        <f t="shared" si="5"/>
        <v>1.2588517599999998E-3</v>
      </c>
      <c r="T17" s="113">
        <f t="shared" ref="T17:T22" si="15">J17-((B17+C17)/2)</f>
        <v>8.8595001079999999E-2</v>
      </c>
      <c r="U17" s="113">
        <f t="shared" ref="U17:U22" si="16">M17-((C17+B17)/2)</f>
        <v>8.9418037079999999E-2</v>
      </c>
      <c r="V17" s="4">
        <f t="shared" ref="V17:V22" si="17">IF(AND(A17&gt;0,NOT(A17="***")),O17/T17,"")</f>
        <v>496.13617545203374</v>
      </c>
      <c r="W17" s="4">
        <f t="shared" si="6"/>
        <v>1.4209060834744784E-2</v>
      </c>
      <c r="X17" s="4">
        <f t="shared" ref="X17:X22" si="18">IF(AND(A17&gt;0,NOT(A17="***")),Q17/T17,"")</f>
        <v>3.6645438009175763E-3</v>
      </c>
      <c r="Y17">
        <f t="shared" si="7"/>
        <v>-3.0825628488181378E-3</v>
      </c>
      <c r="Z17">
        <f t="shared" si="8"/>
        <v>1.4165260511699003E-2</v>
      </c>
      <c r="AA17">
        <f t="shared" si="9"/>
        <v>3.6758399874961519E-3</v>
      </c>
      <c r="AB17">
        <f t="shared" si="10"/>
        <v>-2.4620550984675263E-6</v>
      </c>
      <c r="AC17">
        <f t="shared" si="11"/>
        <v>9.5464790634673318E-6</v>
      </c>
    </row>
    <row r="18" spans="1:29" ht="15">
      <c r="A18" s="131">
        <f t="shared" ref="A18:A45" si="19">A17+1</f>
        <v>3</v>
      </c>
      <c r="B18" s="101">
        <v>7.9247765000000001E-5</v>
      </c>
      <c r="C18" s="101">
        <v>1.3704567999999999E-4</v>
      </c>
      <c r="D18" s="101">
        <v>2.6578407999999998E-4</v>
      </c>
      <c r="E18" s="101">
        <v>5.2454221000000001E-5</v>
      </c>
      <c r="F18" s="101">
        <v>8.8021767000000001E-5</v>
      </c>
      <c r="G18" s="101">
        <v>8.5038429000000002E-5</v>
      </c>
      <c r="H18" s="101">
        <v>5.8285651999999999E-5</v>
      </c>
      <c r="I18" s="101">
        <v>4.1734124999999998E-4</v>
      </c>
      <c r="J18" s="101">
        <v>9.2720503999999995E-2</v>
      </c>
      <c r="K18" s="101">
        <v>5.0760040999999997E-4</v>
      </c>
      <c r="L18" s="101">
        <v>45.513007999999999</v>
      </c>
      <c r="M18" s="101">
        <v>9.3515556999999999E-2</v>
      </c>
      <c r="N18" s="101">
        <v>1.6704401000000001E-3</v>
      </c>
      <c r="O18" s="101">
        <v>45.915289999999999</v>
      </c>
      <c r="P18" s="106">
        <f t="shared" si="12"/>
        <v>11.055149820462857</v>
      </c>
      <c r="Q18" s="113">
        <f t="shared" si="13"/>
        <v>3.3081115199999996E-4</v>
      </c>
      <c r="R18" s="113">
        <f t="shared" si="14"/>
        <v>-1.1952341999999999E-5</v>
      </c>
      <c r="S18" s="113">
        <f t="shared" si="5"/>
        <v>1.3361331800000001E-3</v>
      </c>
      <c r="T18" s="113">
        <f t="shared" si="15"/>
        <v>9.2612357277500001E-2</v>
      </c>
      <c r="U18" s="113">
        <f t="shared" si="16"/>
        <v>9.3407410277500005E-2</v>
      </c>
      <c r="V18" s="4">
        <f t="shared" si="17"/>
        <v>495.7793036454222</v>
      </c>
      <c r="W18" s="4">
        <f t="shared" si="6"/>
        <v>1.4427158742936038E-2</v>
      </c>
      <c r="X18" s="4">
        <f t="shared" si="18"/>
        <v>3.5719979679252794E-3</v>
      </c>
      <c r="Y18">
        <f t="shared" si="7"/>
        <v>-2.8448417736722425E-3</v>
      </c>
      <c r="Z18">
        <f t="shared" si="8"/>
        <v>1.4386115759068733E-2</v>
      </c>
      <c r="AA18">
        <f t="shared" si="9"/>
        <v>3.5821597369599051E-3</v>
      </c>
      <c r="AB18">
        <f t="shared" si="10"/>
        <v>-2.4016048684436054E-6</v>
      </c>
      <c r="AC18">
        <f t="shared" si="11"/>
        <v>9.6999872301071538E-6</v>
      </c>
    </row>
    <row r="19" spans="1:29" ht="15">
      <c r="A19" s="131">
        <f t="shared" si="19"/>
        <v>4</v>
      </c>
      <c r="B19" s="101">
        <v>7.7554971000000006E-5</v>
      </c>
      <c r="C19" s="101">
        <v>1.5689527999999999E-4</v>
      </c>
      <c r="D19" s="101">
        <v>2.6068225000000001E-4</v>
      </c>
      <c r="E19" s="101">
        <v>5.4475083999999999E-5</v>
      </c>
      <c r="F19" s="101">
        <v>7.4038281E-5</v>
      </c>
      <c r="G19" s="101">
        <v>1.0204503000000001E-4</v>
      </c>
      <c r="H19" s="101">
        <v>6.9180527000000007E-5</v>
      </c>
      <c r="I19" s="101">
        <v>4.3781134000000002E-4</v>
      </c>
      <c r="J19" s="101">
        <v>9.6619177000000001E-2</v>
      </c>
      <c r="K19" s="101">
        <v>5.0885226E-4</v>
      </c>
      <c r="L19" s="101">
        <v>47.442960999999997</v>
      </c>
      <c r="M19" s="101">
        <v>9.7445977000000003E-2</v>
      </c>
      <c r="N19" s="101">
        <v>1.7347673E-3</v>
      </c>
      <c r="O19" s="101">
        <v>47.84337</v>
      </c>
      <c r="P19" s="106">
        <f t="shared" si="12"/>
        <v>10.635794677507041</v>
      </c>
      <c r="Q19" s="113">
        <f t="shared" si="13"/>
        <v>3.4976968450000002E-4</v>
      </c>
      <c r="R19" s="113">
        <f t="shared" si="14"/>
        <v>4.923844500000007E-6</v>
      </c>
      <c r="S19" s="113">
        <f t="shared" si="5"/>
        <v>1.39563741E-3</v>
      </c>
      <c r="T19" s="113">
        <f t="shared" si="15"/>
        <v>9.6501951874500003E-2</v>
      </c>
      <c r="U19" s="113">
        <f t="shared" si="16"/>
        <v>9.7328751874500005E-2</v>
      </c>
      <c r="V19" s="4">
        <f t="shared" si="17"/>
        <v>495.77618971085593</v>
      </c>
      <c r="W19" s="4">
        <f t="shared" si="6"/>
        <v>1.4462271310481004E-2</v>
      </c>
      <c r="X19" s="4">
        <f t="shared" si="18"/>
        <v>3.6244830048087796E-3</v>
      </c>
      <c r="Y19">
        <f t="shared" si="7"/>
        <v>-2.8427659992421952E-3</v>
      </c>
      <c r="Z19">
        <f t="shared" si="8"/>
        <v>1.4421158457327754E-2</v>
      </c>
      <c r="AA19">
        <f t="shared" si="9"/>
        <v>3.6347865618596817E-3</v>
      </c>
      <c r="AB19">
        <f t="shared" si="10"/>
        <v>-2.4369080780332433E-6</v>
      </c>
      <c r="AC19">
        <f t="shared" si="11"/>
        <v>9.723655963198244E-6</v>
      </c>
    </row>
    <row r="20" spans="1:29" ht="15">
      <c r="A20" s="131">
        <f t="shared" si="19"/>
        <v>5</v>
      </c>
      <c r="B20" s="101">
        <v>9.3252581000000004E-5</v>
      </c>
      <c r="C20" s="101">
        <v>1.2998512999999999E-4</v>
      </c>
      <c r="D20" s="101">
        <v>2.6063109000000001E-4</v>
      </c>
      <c r="E20" s="101">
        <v>4.3968131999999998E-5</v>
      </c>
      <c r="F20" s="101">
        <v>6.9205799000000005E-5</v>
      </c>
      <c r="G20" s="101">
        <v>9.5138576999999994E-5</v>
      </c>
      <c r="H20" s="101">
        <v>6.5742775000000002E-5</v>
      </c>
      <c r="I20" s="101">
        <v>4.5515586999999999E-4</v>
      </c>
      <c r="J20" s="101">
        <v>9.9230398999999997E-2</v>
      </c>
      <c r="K20" s="101">
        <v>5.3065996999999998E-4</v>
      </c>
      <c r="L20" s="101">
        <v>48.740822999999999</v>
      </c>
      <c r="M20" s="101">
        <v>9.8733295999999998E-2</v>
      </c>
      <c r="N20" s="101">
        <v>1.7412186999999999E-3</v>
      </c>
      <c r="O20" s="101">
        <v>48.50356</v>
      </c>
      <c r="P20" s="106">
        <f t="shared" si="12"/>
        <v>10.940639614906617</v>
      </c>
      <c r="Q20" s="113">
        <f t="shared" si="13"/>
        <v>3.72983682E-4</v>
      </c>
      <c r="R20" s="113">
        <f t="shared" si="14"/>
        <v>9.1558095000000007E-6</v>
      </c>
      <c r="S20" s="113">
        <f t="shared" si="5"/>
        <v>1.4155950449999998E-3</v>
      </c>
      <c r="T20" s="113">
        <f t="shared" si="15"/>
        <v>9.9118780144499999E-2</v>
      </c>
      <c r="U20" s="113">
        <f t="shared" si="16"/>
        <v>9.86216771445E-2</v>
      </c>
      <c r="V20" s="4">
        <f t="shared" si="17"/>
        <v>489.34783024255586</v>
      </c>
      <c r="W20" s="4">
        <f t="shared" si="6"/>
        <v>1.4281804547395348E-2</v>
      </c>
      <c r="X20" s="4">
        <f t="shared" si="18"/>
        <v>3.762997097585815E-3</v>
      </c>
      <c r="Y20">
        <f t="shared" si="7"/>
        <v>1.4987514989612816E-3</v>
      </c>
      <c r="Z20">
        <f t="shared" si="8"/>
        <v>1.4303209423368629E-2</v>
      </c>
      <c r="AA20">
        <f t="shared" si="9"/>
        <v>3.7573573000452211E-3</v>
      </c>
      <c r="AB20">
        <f t="shared" si="10"/>
        <v>-2.5632735823927147E-6</v>
      </c>
      <c r="AC20">
        <f t="shared" si="11"/>
        <v>9.7284614778791482E-6</v>
      </c>
    </row>
    <row r="21" spans="1:29" ht="15">
      <c r="A21" s="131">
        <f t="shared" si="19"/>
        <v>6</v>
      </c>
      <c r="B21" s="101">
        <v>9.5392541000000004E-5</v>
      </c>
      <c r="C21" s="101">
        <v>1.3163707999999999E-4</v>
      </c>
      <c r="D21" s="101">
        <v>2.5384847000000001E-4</v>
      </c>
      <c r="E21" s="101">
        <v>4.9612932000000002E-5</v>
      </c>
      <c r="F21" s="101">
        <v>7.7957661999999997E-5</v>
      </c>
      <c r="G21" s="101">
        <v>9.8830458E-5</v>
      </c>
      <c r="H21" s="101">
        <v>3.7967998000000001E-5</v>
      </c>
      <c r="I21" s="101">
        <v>4.4031761999999998E-4</v>
      </c>
      <c r="J21" s="101">
        <v>9.9945173999999998E-2</v>
      </c>
      <c r="K21" s="101">
        <v>4.8167066999999999E-4</v>
      </c>
      <c r="L21" s="101">
        <v>49.092779999999998</v>
      </c>
      <c r="M21" s="101">
        <v>0.10013548</v>
      </c>
      <c r="N21" s="101">
        <v>1.7750254999999999E-3</v>
      </c>
      <c r="O21" s="101">
        <v>49.183579000000002</v>
      </c>
      <c r="P21" s="106">
        <f t="shared" si="12"/>
        <v>9.7933228893326358</v>
      </c>
      <c r="Q21" s="113">
        <f t="shared" si="13"/>
        <v>3.5192356000000001E-4</v>
      </c>
      <c r="R21" s="113">
        <f t="shared" si="14"/>
        <v>-2.5817298999999991E-5</v>
      </c>
      <c r="S21" s="113">
        <f t="shared" si="5"/>
        <v>1.4553584899999999E-3</v>
      </c>
      <c r="T21" s="113">
        <f t="shared" si="15"/>
        <v>9.9831659189500002E-2</v>
      </c>
      <c r="U21" s="113">
        <f t="shared" si="16"/>
        <v>0.1000219651895</v>
      </c>
      <c r="V21" s="4">
        <f t="shared" si="17"/>
        <v>492.66514650067023</v>
      </c>
      <c r="W21" s="4">
        <f t="shared" si="6"/>
        <v>1.4578125835186662E-2</v>
      </c>
      <c r="X21" s="4">
        <f t="shared" si="18"/>
        <v>3.525169899580456E-3</v>
      </c>
      <c r="Y21">
        <f t="shared" si="7"/>
        <v>-7.5581009656044973E-4</v>
      </c>
      <c r="Z21">
        <f t="shared" si="8"/>
        <v>1.45671075404915E-2</v>
      </c>
      <c r="AA21">
        <f t="shared" si="9"/>
        <v>3.5278342585826493E-3</v>
      </c>
      <c r="AB21">
        <f t="shared" si="10"/>
        <v>-2.385102014095667E-6</v>
      </c>
      <c r="AC21">
        <f t="shared" si="11"/>
        <v>9.8634443960791603E-6</v>
      </c>
    </row>
    <row r="22" spans="1:29" ht="15">
      <c r="A22" s="131">
        <f t="shared" si="19"/>
        <v>7</v>
      </c>
      <c r="B22" s="101">
        <v>5.5534386999999999E-5</v>
      </c>
      <c r="C22" s="101">
        <v>1.2326268000000001E-4</v>
      </c>
      <c r="D22" s="101">
        <v>2.6779737E-4</v>
      </c>
      <c r="E22" s="101">
        <v>2.5802889999999999E-5</v>
      </c>
      <c r="F22" s="101">
        <v>5.4736081000000001E-5</v>
      </c>
      <c r="G22" s="101">
        <v>1.0266923E-4</v>
      </c>
      <c r="H22" s="101">
        <v>1.368923E-5</v>
      </c>
      <c r="I22" s="101">
        <v>4.4280878999999998E-4</v>
      </c>
      <c r="J22" s="101">
        <v>0.10054261</v>
      </c>
      <c r="K22" s="101">
        <v>5.0189023999999997E-4</v>
      </c>
      <c r="L22" s="101">
        <v>49.377924</v>
      </c>
      <c r="M22" s="101">
        <v>0.10081066</v>
      </c>
      <c r="N22" s="101">
        <v>1.7655412999999999E-3</v>
      </c>
      <c r="O22" s="101">
        <v>49.522655999999998</v>
      </c>
      <c r="P22" s="106">
        <f t="shared" si="12"/>
        <v>10.134558211094332</v>
      </c>
      <c r="Q22" s="113">
        <f t="shared" si="13"/>
        <v>3.641061345E-4</v>
      </c>
      <c r="R22" s="113">
        <f t="shared" si="14"/>
        <v>-2.6580255500000002E-5</v>
      </c>
      <c r="S22" s="113">
        <f t="shared" si="5"/>
        <v>1.43611259E-3</v>
      </c>
      <c r="T22" s="113">
        <f t="shared" si="15"/>
        <v>0.10045321146650001</v>
      </c>
      <c r="U22" s="113">
        <f t="shared" si="16"/>
        <v>0.1007212614665</v>
      </c>
      <c r="V22" s="4">
        <f t="shared" si="17"/>
        <v>492.9922625372235</v>
      </c>
      <c r="W22" s="4">
        <f t="shared" si="6"/>
        <v>1.4296333278293718E-2</v>
      </c>
      <c r="X22" s="4">
        <f t="shared" si="18"/>
        <v>3.6246340876958942E-3</v>
      </c>
      <c r="Y22">
        <f t="shared" si="7"/>
        <v>-9.7648585460989124E-4</v>
      </c>
      <c r="Z22">
        <f t="shared" si="8"/>
        <v>1.4282373111074675E-2</v>
      </c>
      <c r="AA22">
        <f t="shared" si="9"/>
        <v>3.6281734916106664E-3</v>
      </c>
      <c r="AB22">
        <f t="shared" si="10"/>
        <v>-2.450771450949642E-6</v>
      </c>
      <c r="AC22">
        <f t="shared" si="11"/>
        <v>9.6663675847003578E-6</v>
      </c>
    </row>
    <row r="23" spans="1:29" ht="15">
      <c r="A23" s="131">
        <f t="shared" si="19"/>
        <v>8</v>
      </c>
      <c r="B23" s="101">
        <v>4.9744845999999998E-5</v>
      </c>
      <c r="C23" s="101">
        <v>1.3205468000000001E-4</v>
      </c>
      <c r="D23" s="101">
        <v>2.5474425999999999E-4</v>
      </c>
      <c r="E23" s="101">
        <v>-9.1892788999999995E-6</v>
      </c>
      <c r="F23" s="101">
        <v>5.3013500000000003E-5</v>
      </c>
      <c r="G23" s="101">
        <v>8.3769075000000002E-5</v>
      </c>
      <c r="H23" s="101">
        <v>1.7756413000000001E-5</v>
      </c>
      <c r="I23" s="101">
        <v>4.4665744999999998E-4</v>
      </c>
      <c r="J23" s="101">
        <v>0.10140182</v>
      </c>
      <c r="K23" s="101">
        <v>5.0326454000000002E-4</v>
      </c>
      <c r="L23" s="101">
        <v>49.798999000000002</v>
      </c>
      <c r="M23" s="101">
        <v>0.10154057</v>
      </c>
      <c r="N23" s="101">
        <v>1.7594660999999999E-3</v>
      </c>
      <c r="O23" s="101">
        <v>49.882182999999998</v>
      </c>
      <c r="P23" s="106">
        <f t="shared" ref="P23:P25" si="20">(K23/O23)*1000000</f>
        <v>10.089064065219441</v>
      </c>
      <c r="Q23" s="113">
        <f t="shared" ref="Q23:Q25" si="21">I23-((F23+G23)/2)</f>
        <v>3.7826616249999999E-4</v>
      </c>
      <c r="R23" s="113">
        <f t="shared" ref="R23:R25" si="22">H23-((E23+F23)/2)</f>
        <v>-4.1556975500000005E-6</v>
      </c>
      <c r="S23" s="113">
        <f t="shared" ref="S23:S25" si="23">N23-((D23+C23/2))</f>
        <v>1.4386944999999999E-3</v>
      </c>
      <c r="T23" s="113">
        <f t="shared" ref="T23:T25" si="24">J23-((B23+C23)/2)</f>
        <v>0.101310920237</v>
      </c>
      <c r="U23" s="113">
        <f t="shared" ref="U23:U25" si="25">M23-((C23+B23)/2)</f>
        <v>0.10144967023699999</v>
      </c>
      <c r="V23" s="4">
        <f t="shared" ref="V23:V25" si="26">IF(AND(A23&gt;0,NOT(A23="***")),O23/T23,"")</f>
        <v>492.36728758665845</v>
      </c>
      <c r="W23" s="4">
        <f t="shared" ref="W23:W25" si="27">IF(AND(A23&gt;0,NOT(A23="***")),S23/T23,"")</f>
        <v>1.4200784048100778E-2</v>
      </c>
      <c r="X23" s="4">
        <f t="shared" ref="X23:X25" si="28">IF(AND(A23&gt;0,NOT(A23="***")),Q23/T23,"")</f>
        <v>3.7337155917161681E-3</v>
      </c>
      <c r="Y23">
        <f t="shared" ref="Y23:Y25" si="29">IF(AND(A23&gt;0,NOT(A23="***")),1/3*($W$7/V23-1),"")</f>
        <v>-5.5461642997552585E-4</v>
      </c>
      <c r="Z23">
        <f t="shared" si="8"/>
        <v>1.4192908059949166E-2</v>
      </c>
      <c r="AA23">
        <f t="shared" si="9"/>
        <v>3.7357863717281895E-3</v>
      </c>
      <c r="AB23">
        <f t="shared" ref="AB23:AB25" si="30">IF(AND(A23&gt;0,NOT(A23="***")),-X23/(3*V23),"")</f>
        <v>-2.5277306094108461E-6</v>
      </c>
      <c r="AC23">
        <f t="shared" ref="AC23:AC25" si="31">IF(AND(A23&gt;0,NOT(A23="***")),W23/(3*V23),"")</f>
        <v>9.6139504025582303E-6</v>
      </c>
    </row>
    <row r="24" spans="1:29" ht="15">
      <c r="A24" s="131">
        <f t="shared" si="19"/>
        <v>9</v>
      </c>
      <c r="B24" s="101">
        <v>6.1258004999999996E-5</v>
      </c>
      <c r="C24" s="101">
        <v>1.3552974000000001E-4</v>
      </c>
      <c r="D24" s="101">
        <v>2.4639608000000002E-4</v>
      </c>
      <c r="E24" s="101">
        <v>-4.7850974E-6</v>
      </c>
      <c r="F24" s="101">
        <v>5.4803194999999997E-5</v>
      </c>
      <c r="G24" s="101">
        <v>7.5212532999999995E-5</v>
      </c>
      <c r="H24" s="101">
        <v>9.4828271000000006E-6</v>
      </c>
      <c r="I24" s="101">
        <v>4.4778370999999997E-4</v>
      </c>
      <c r="J24" s="101">
        <v>0.10189230000000001</v>
      </c>
      <c r="K24" s="101">
        <v>4.8302300999999997E-4</v>
      </c>
      <c r="L24" s="101">
        <v>50.056474999999999</v>
      </c>
      <c r="M24" s="101">
        <v>0.1015215</v>
      </c>
      <c r="N24" s="101">
        <v>1.7664150999999999E-3</v>
      </c>
      <c r="O24" s="101">
        <v>49.874555000000001</v>
      </c>
      <c r="P24" s="106">
        <f t="shared" si="20"/>
        <v>9.6847582900739653</v>
      </c>
      <c r="Q24" s="113">
        <f t="shared" si="21"/>
        <v>3.82775846E-4</v>
      </c>
      <c r="R24" s="113">
        <f t="shared" si="22"/>
        <v>-1.5526221699999999E-5</v>
      </c>
      <c r="S24" s="113">
        <f t="shared" si="23"/>
        <v>1.4522541499999999E-3</v>
      </c>
      <c r="T24" s="113">
        <f t="shared" si="24"/>
        <v>0.1017939061275</v>
      </c>
      <c r="U24" s="113">
        <f t="shared" si="25"/>
        <v>0.1014231061275</v>
      </c>
      <c r="V24" s="4">
        <f t="shared" si="26"/>
        <v>489.9561957818043</v>
      </c>
      <c r="W24" s="4">
        <f t="shared" si="27"/>
        <v>1.4266611875380898E-2</v>
      </c>
      <c r="X24" s="4">
        <f t="shared" si="28"/>
        <v>3.7603021689781848E-3</v>
      </c>
      <c r="Y24">
        <f t="shared" si="29"/>
        <v>1.0829994305102304E-3</v>
      </c>
      <c r="Z24">
        <f t="shared" si="8"/>
        <v>1.4282062607917246E-2</v>
      </c>
      <c r="AA24">
        <f t="shared" si="9"/>
        <v>3.756229763870635E-3</v>
      </c>
      <c r="AB24">
        <f t="shared" si="30"/>
        <v>-2.5582573852872806E-6</v>
      </c>
      <c r="AC24">
        <f t="shared" si="31"/>
        <v>9.7060458317205377E-6</v>
      </c>
    </row>
    <row r="25" spans="1:29" ht="15">
      <c r="A25" s="131">
        <f t="shared" si="19"/>
        <v>10</v>
      </c>
      <c r="B25" s="101">
        <v>2.3003469999999999E-5</v>
      </c>
      <c r="C25" s="101">
        <v>9.8718837000000002E-5</v>
      </c>
      <c r="D25" s="101">
        <v>2.3046773E-4</v>
      </c>
      <c r="E25" s="101">
        <v>1.2606080000000001E-6</v>
      </c>
      <c r="F25" s="101">
        <v>6.2864318999999999E-5</v>
      </c>
      <c r="G25" s="101">
        <v>8.8413165999999996E-5</v>
      </c>
      <c r="H25" s="101">
        <v>-4.5359418000000001E-6</v>
      </c>
      <c r="I25" s="101">
        <v>4.3363473000000003E-4</v>
      </c>
      <c r="J25" s="101">
        <v>0.10042484</v>
      </c>
      <c r="K25" s="101">
        <v>4.5956558000000001E-4</v>
      </c>
      <c r="L25" s="101">
        <v>49.349879999999999</v>
      </c>
      <c r="M25" s="101">
        <v>9.9940047000000004E-2</v>
      </c>
      <c r="N25" s="101">
        <v>1.735555E-3</v>
      </c>
      <c r="O25" s="101">
        <v>49.10342</v>
      </c>
      <c r="P25" s="106">
        <f t="shared" si="20"/>
        <v>9.3591358809630769</v>
      </c>
      <c r="Q25" s="113">
        <f t="shared" si="21"/>
        <v>3.5799598750000002E-4</v>
      </c>
      <c r="R25" s="113">
        <f t="shared" si="22"/>
        <v>-3.65984053E-5</v>
      </c>
      <c r="S25" s="113">
        <f t="shared" si="23"/>
        <v>1.4557278514999998E-3</v>
      </c>
      <c r="T25" s="113">
        <f t="shared" si="24"/>
        <v>0.1003639788465</v>
      </c>
      <c r="U25" s="113">
        <f t="shared" si="25"/>
        <v>9.9879185846500004E-2</v>
      </c>
      <c r="V25" s="4">
        <f t="shared" si="26"/>
        <v>489.25342104163087</v>
      </c>
      <c r="W25" s="4">
        <f t="shared" si="27"/>
        <v>1.4504485256871275E-2</v>
      </c>
      <c r="X25" s="4">
        <f t="shared" si="28"/>
        <v>3.5669768338651756E-3</v>
      </c>
      <c r="Y25">
        <f t="shared" si="29"/>
        <v>1.5633626559068414E-3</v>
      </c>
      <c r="Z25">
        <f t="shared" si="8"/>
        <v>1.4527161027465018E-2</v>
      </c>
      <c r="AA25">
        <f t="shared" si="9"/>
        <v>3.5614003554886261E-3</v>
      </c>
      <c r="AB25">
        <f t="shared" si="30"/>
        <v>-2.4302176067030227E-6</v>
      </c>
      <c r="AC25">
        <f t="shared" si="31"/>
        <v>9.8820533715709952E-6</v>
      </c>
    </row>
    <row r="26" spans="1:29" ht="15">
      <c r="A26" s="131">
        <f t="shared" si="19"/>
        <v>11</v>
      </c>
      <c r="B26" s="101">
        <v>5.7100325999999997E-5</v>
      </c>
      <c r="C26" s="101">
        <v>1.0672112000000001E-4</v>
      </c>
      <c r="D26" s="101">
        <v>1.9978895E-4</v>
      </c>
      <c r="E26" s="101">
        <v>1.1015259000000001E-5</v>
      </c>
      <c r="F26" s="101">
        <v>3.9975139000000003E-5</v>
      </c>
      <c r="G26" s="101">
        <v>7.6829867999999993E-5</v>
      </c>
      <c r="H26" s="101">
        <v>3.139113E-5</v>
      </c>
      <c r="I26" s="101">
        <v>4.0537967000000002E-4</v>
      </c>
      <c r="J26" s="101">
        <v>9.6705843999999999E-2</v>
      </c>
      <c r="K26" s="101">
        <v>4.0343030000000003E-4</v>
      </c>
      <c r="L26" s="101">
        <v>47.526054000000002</v>
      </c>
      <c r="M26" s="101">
        <v>9.6723187000000002E-2</v>
      </c>
      <c r="N26" s="101">
        <v>1.6577851E-3</v>
      </c>
      <c r="O26" s="101">
        <v>47.523330000000001</v>
      </c>
      <c r="P26" s="106">
        <f t="shared" ref="P26:P32" si="32">(K26/O26)*1000000</f>
        <v>8.4890999852072664</v>
      </c>
      <c r="Q26" s="113">
        <f t="shared" ref="Q26:Q32" si="33">I26-((F26+G26)/2)</f>
        <v>3.4697716650000003E-4</v>
      </c>
      <c r="R26" s="113">
        <f t="shared" ref="R26:R32" si="34">H26-((E26+F26)/2)</f>
        <v>5.895930999999997E-6</v>
      </c>
      <c r="S26" s="113">
        <f t="shared" ref="S26:S32" si="35">N26-((D26+C26/2))</f>
        <v>1.40463559E-3</v>
      </c>
      <c r="T26" s="113">
        <f t="shared" ref="T26:T32" si="36">J26-((B26+C26)/2)</f>
        <v>9.6623933277000001E-2</v>
      </c>
      <c r="U26" s="113">
        <f t="shared" ref="U26:U32" si="37">M26-((C26+B26)/2)</f>
        <v>9.6641276277000004E-2</v>
      </c>
      <c r="V26" s="4">
        <f t="shared" ref="V26:V32" si="38">IF(AND(A26&gt;0,NOT(A26="***")),O26/T26,"")</f>
        <v>491.83808181106491</v>
      </c>
      <c r="W26" s="4">
        <f t="shared" ref="W26:W32" si="39">IF(AND(A26&gt;0,NOT(A26="***")),S26/T26,"")</f>
        <v>1.4537139426659566E-2</v>
      </c>
      <c r="X26" s="4">
        <f t="shared" ref="X26:X32" si="40">IF(AND(A26&gt;0,NOT(A26="***")),Q26/T26,"")</f>
        <v>3.5910064383871771E-3</v>
      </c>
      <c r="Y26">
        <f t="shared" ref="Y26:Y32" si="41">IF(AND(A26&gt;0,NOT(A26="***")),1/3*($W$7/V26-1),"")</f>
        <v>-1.9655465010807541E-4</v>
      </c>
      <c r="Z26">
        <f t="shared" si="8"/>
        <v>1.4534282084305988E-2</v>
      </c>
      <c r="AA26">
        <f t="shared" si="9"/>
        <v>3.5917122674012105E-3</v>
      </c>
      <c r="AB26">
        <f t="shared" ref="AB26:AB32" si="42">IF(AND(A26&gt;0,NOT(A26="***")),-X26/(3*V26),"")</f>
        <v>-2.4337321374575393E-6</v>
      </c>
      <c r="AC26">
        <f t="shared" ref="AC26:AC32" si="43">IF(AND(A26&gt;0,NOT(A26="***")),W26/(3*V26),"")</f>
        <v>9.8522528478819411E-6</v>
      </c>
    </row>
    <row r="27" spans="1:29" ht="15">
      <c r="A27" s="131">
        <f t="shared" si="19"/>
        <v>12</v>
      </c>
      <c r="B27" s="101">
        <v>4.1222369999999998E-5</v>
      </c>
      <c r="C27" s="101">
        <v>9.6563834000000005E-5</v>
      </c>
      <c r="D27" s="101">
        <v>1.9099635000000001E-4</v>
      </c>
      <c r="E27" s="101">
        <v>1.4822741E-5</v>
      </c>
      <c r="F27" s="101">
        <v>3.6237849000000001E-5</v>
      </c>
      <c r="G27" s="101">
        <v>5.2087082999999998E-5</v>
      </c>
      <c r="H27" s="101">
        <v>1.0555346E-5</v>
      </c>
      <c r="I27" s="101">
        <v>4.1001922000000001E-4</v>
      </c>
      <c r="J27" s="101">
        <v>9.5672021999999995E-2</v>
      </c>
      <c r="K27" s="101">
        <v>3.8332230000000001E-4</v>
      </c>
      <c r="L27" s="101">
        <v>47.013916000000002</v>
      </c>
      <c r="M27" s="101">
        <v>9.5128942999999994E-2</v>
      </c>
      <c r="N27" s="101">
        <v>1.6355524000000001E-3</v>
      </c>
      <c r="O27" s="101">
        <v>46.747703000000001</v>
      </c>
      <c r="P27" s="106">
        <f t="shared" si="32"/>
        <v>8.1998103735706547</v>
      </c>
      <c r="Q27" s="113">
        <f t="shared" si="33"/>
        <v>3.6585675400000004E-4</v>
      </c>
      <c r="R27" s="113">
        <f t="shared" si="34"/>
        <v>-1.4974949000000002E-5</v>
      </c>
      <c r="S27" s="113">
        <f t="shared" si="35"/>
        <v>1.3962741330000002E-3</v>
      </c>
      <c r="T27" s="113">
        <f t="shared" si="36"/>
        <v>9.5603128897999989E-2</v>
      </c>
      <c r="U27" s="113">
        <f t="shared" si="37"/>
        <v>9.5060049897999988E-2</v>
      </c>
      <c r="V27" s="4">
        <f t="shared" si="38"/>
        <v>488.9767054577851</v>
      </c>
      <c r="W27" s="4">
        <f t="shared" si="39"/>
        <v>1.4604899955624886E-2</v>
      </c>
      <c r="X27" s="4">
        <f t="shared" si="40"/>
        <v>3.826828245238046E-3</v>
      </c>
      <c r="Y27">
        <f t="shared" si="41"/>
        <v>1.7528832071402878E-3</v>
      </c>
      <c r="Z27">
        <f t="shared" si="8"/>
        <v>1.4630500639499064E-2</v>
      </c>
      <c r="AA27">
        <f t="shared" si="9"/>
        <v>3.820120262270358E-3</v>
      </c>
      <c r="AB27">
        <f t="shared" si="42"/>
        <v>-2.6087324832480717E-6</v>
      </c>
      <c r="AC27">
        <f t="shared" si="43"/>
        <v>9.9560979712735847E-6</v>
      </c>
    </row>
    <row r="28" spans="1:29" ht="15">
      <c r="A28" s="131">
        <f t="shared" si="19"/>
        <v>13</v>
      </c>
      <c r="B28" s="101">
        <v>3.3298564000000002E-5</v>
      </c>
      <c r="C28" s="101">
        <v>8.7271397999999994E-5</v>
      </c>
      <c r="D28" s="101">
        <v>1.7188262000000001E-4</v>
      </c>
      <c r="E28" s="101">
        <v>-1.9074571000000002E-6</v>
      </c>
      <c r="F28" s="101">
        <v>3.8443581E-5</v>
      </c>
      <c r="G28" s="101">
        <v>5.0744814999999997E-5</v>
      </c>
      <c r="H28" s="101">
        <v>3.2422534000000002E-7</v>
      </c>
      <c r="I28" s="101">
        <v>3.9474471000000002E-4</v>
      </c>
      <c r="J28" s="101">
        <v>9.4392519999999994E-2</v>
      </c>
      <c r="K28" s="101">
        <v>3.7876775E-4</v>
      </c>
      <c r="L28" s="101">
        <v>46.402227000000003</v>
      </c>
      <c r="M28" s="101">
        <v>9.41554E-2</v>
      </c>
      <c r="N28" s="101">
        <v>1.6190964999999999E-3</v>
      </c>
      <c r="O28" s="101">
        <v>46.276054999999999</v>
      </c>
      <c r="P28" s="106">
        <f t="shared" si="32"/>
        <v>8.1849619635900268</v>
      </c>
      <c r="Q28" s="113">
        <f t="shared" si="33"/>
        <v>3.5015051200000004E-4</v>
      </c>
      <c r="R28" s="113">
        <f t="shared" si="34"/>
        <v>-1.794383661E-5</v>
      </c>
      <c r="S28" s="113">
        <f t="shared" si="35"/>
        <v>1.4035781809999999E-3</v>
      </c>
      <c r="T28" s="113">
        <f t="shared" si="36"/>
        <v>9.4332235018999996E-2</v>
      </c>
      <c r="U28" s="113">
        <f t="shared" si="37"/>
        <v>9.4095115019000003E-2</v>
      </c>
      <c r="V28" s="4">
        <f t="shared" si="38"/>
        <v>490.56459852434614</v>
      </c>
      <c r="W28" s="4">
        <f t="shared" si="39"/>
        <v>1.48790938825662E-2</v>
      </c>
      <c r="X28" s="4">
        <f t="shared" si="40"/>
        <v>3.7118861005410739E-3</v>
      </c>
      <c r="Y28">
        <f t="shared" si="41"/>
        <v>6.6825320826691126E-4</v>
      </c>
      <c r="Z28">
        <f t="shared" si="8"/>
        <v>1.488903688478933E-2</v>
      </c>
      <c r="AA28">
        <f t="shared" si="9"/>
        <v>3.7094056207456661E-3</v>
      </c>
      <c r="AB28">
        <f t="shared" si="42"/>
        <v>-2.5221864165675608E-6</v>
      </c>
      <c r="AC28">
        <f t="shared" si="43"/>
        <v>1.0110183196615758E-5</v>
      </c>
    </row>
    <row r="29" spans="1:29" ht="15">
      <c r="A29" s="131">
        <f t="shared" si="19"/>
        <v>14</v>
      </c>
      <c r="B29" s="101">
        <v>4.2029079000000003E-5</v>
      </c>
      <c r="C29" s="101">
        <v>8.0521979000000002E-5</v>
      </c>
      <c r="D29" s="101">
        <v>1.8589533999999999E-4</v>
      </c>
      <c r="E29" s="101">
        <v>-2.2542721000000002E-6</v>
      </c>
      <c r="F29" s="101">
        <v>3.6816761999999999E-5</v>
      </c>
      <c r="G29" s="101">
        <v>6.4607542000000003E-5</v>
      </c>
      <c r="H29" s="101">
        <v>1.1083115E-5</v>
      </c>
      <c r="I29" s="101">
        <v>3.8055692E-4</v>
      </c>
      <c r="J29" s="101">
        <v>9.4201325000000002E-2</v>
      </c>
      <c r="K29" s="101">
        <v>3.7017815999999999E-4</v>
      </c>
      <c r="L29" s="101">
        <v>46.303032999999999</v>
      </c>
      <c r="M29" s="101">
        <v>9.4281795000000002E-2</v>
      </c>
      <c r="N29" s="101">
        <v>1.6039617999999999E-3</v>
      </c>
      <c r="O29" s="101">
        <v>46.344127999999998</v>
      </c>
      <c r="P29" s="106">
        <f t="shared" si="32"/>
        <v>7.9875957532311324</v>
      </c>
      <c r="Q29" s="113">
        <f t="shared" si="33"/>
        <v>3.29844768E-4</v>
      </c>
      <c r="R29" s="113">
        <f t="shared" si="34"/>
        <v>-6.1981299500000004E-6</v>
      </c>
      <c r="S29" s="113">
        <f t="shared" si="35"/>
        <v>1.3778054705E-3</v>
      </c>
      <c r="T29" s="113">
        <f t="shared" si="36"/>
        <v>9.4140049471000006E-2</v>
      </c>
      <c r="U29" s="113">
        <f t="shared" si="37"/>
        <v>9.4220519471000005E-2</v>
      </c>
      <c r="V29" s="4">
        <f t="shared" si="38"/>
        <v>492.28918255748721</v>
      </c>
      <c r="W29" s="4">
        <f t="shared" si="39"/>
        <v>1.4635699452488977E-2</v>
      </c>
      <c r="X29" s="4">
        <f t="shared" si="40"/>
        <v>3.5037666737323015E-3</v>
      </c>
      <c r="Y29">
        <f t="shared" si="41"/>
        <v>-5.0181882175615034E-4</v>
      </c>
      <c r="Z29">
        <f t="shared" si="8"/>
        <v>1.4628354983034152E-2</v>
      </c>
      <c r="AA29">
        <f t="shared" si="9"/>
        <v>3.5055249297962217E-3</v>
      </c>
      <c r="AB29">
        <f t="shared" si="42"/>
        <v>-2.3724312171759927E-6</v>
      </c>
      <c r="AC29">
        <f t="shared" si="43"/>
        <v>9.9099607649682539E-6</v>
      </c>
    </row>
    <row r="30" spans="1:29" ht="15">
      <c r="A30" s="131">
        <f t="shared" si="19"/>
        <v>15</v>
      </c>
      <c r="B30" s="101">
        <v>1.0773993E-5</v>
      </c>
      <c r="C30" s="101">
        <v>8.1313439000000007E-5</v>
      </c>
      <c r="D30" s="101">
        <v>1.7851980999999999E-4</v>
      </c>
      <c r="E30" s="101">
        <v>2.3900438000000001E-6</v>
      </c>
      <c r="F30" s="101">
        <v>5.3876514999999999E-5</v>
      </c>
      <c r="G30" s="101">
        <v>7.1878279000000002E-5</v>
      </c>
      <c r="H30" s="101">
        <v>4.9006976000000001E-6</v>
      </c>
      <c r="I30" s="101">
        <v>3.9075021000000001E-4</v>
      </c>
      <c r="J30" s="101">
        <v>9.3524387E-2</v>
      </c>
      <c r="K30" s="101">
        <v>3.5087630000000001E-4</v>
      </c>
      <c r="L30" s="101">
        <v>45.977542</v>
      </c>
      <c r="M30" s="101">
        <v>9.3245992999999999E-2</v>
      </c>
      <c r="N30" s="101">
        <v>1.5888645999999999E-3</v>
      </c>
      <c r="O30" s="101">
        <v>45.835797999999997</v>
      </c>
      <c r="P30" s="106">
        <f t="shared" si="32"/>
        <v>7.655071261113422</v>
      </c>
      <c r="Q30" s="113">
        <f t="shared" si="33"/>
        <v>3.27872813E-4</v>
      </c>
      <c r="R30" s="113">
        <f t="shared" si="34"/>
        <v>-2.3232581799999999E-5</v>
      </c>
      <c r="S30" s="113">
        <f t="shared" si="35"/>
        <v>1.3696880704999999E-3</v>
      </c>
      <c r="T30" s="113">
        <f t="shared" si="36"/>
        <v>9.3478343283999996E-2</v>
      </c>
      <c r="U30" s="113">
        <f t="shared" si="37"/>
        <v>9.3199949283999994E-2</v>
      </c>
      <c r="V30" s="4">
        <f t="shared" si="38"/>
        <v>490.33601141972076</v>
      </c>
      <c r="W30" s="4">
        <f t="shared" si="39"/>
        <v>1.465246411501646E-2</v>
      </c>
      <c r="X30" s="4">
        <f t="shared" si="40"/>
        <v>3.5074735118473112E-3</v>
      </c>
      <c r="Y30">
        <f t="shared" si="41"/>
        <v>8.2395960924438083E-4</v>
      </c>
      <c r="Z30">
        <f t="shared" si="8"/>
        <v>1.4664537153623135E-2</v>
      </c>
      <c r="AA30">
        <f t="shared" si="9"/>
        <v>3.5045834953430543E-3</v>
      </c>
      <c r="AB30">
        <f t="shared" si="42"/>
        <v>-2.3844013289932611E-6</v>
      </c>
      <c r="AC30">
        <f t="shared" si="43"/>
        <v>9.960832146233532E-6</v>
      </c>
    </row>
    <row r="31" spans="1:29" ht="15">
      <c r="A31" s="131">
        <f t="shared" si="19"/>
        <v>16</v>
      </c>
      <c r="B31" s="101">
        <v>7.5547229000000007E-5</v>
      </c>
      <c r="C31" s="101">
        <v>4.1991382000000003E-5</v>
      </c>
      <c r="D31" s="101">
        <v>1.7443495E-4</v>
      </c>
      <c r="E31" s="101">
        <v>3.8734379999999998E-5</v>
      </c>
      <c r="F31" s="101">
        <v>6.8685116000000001E-6</v>
      </c>
      <c r="G31" s="101">
        <v>4.2276144E-5</v>
      </c>
      <c r="H31" s="101">
        <v>1.8557523999999999E-5</v>
      </c>
      <c r="I31" s="101">
        <v>3.5176179000000001E-4</v>
      </c>
      <c r="J31" s="101">
        <v>9.1757195E-2</v>
      </c>
      <c r="K31" s="101">
        <v>2.9575769000000002E-4</v>
      </c>
      <c r="L31" s="101">
        <v>45.109867999999999</v>
      </c>
      <c r="M31" s="101">
        <v>9.1297613E-2</v>
      </c>
      <c r="N31" s="101">
        <v>1.5620995999999999E-3</v>
      </c>
      <c r="O31" s="101">
        <v>44.886581999999997</v>
      </c>
      <c r="P31" s="106">
        <f t="shared" si="32"/>
        <v>6.5890000267786046</v>
      </c>
      <c r="Q31" s="113">
        <f t="shared" si="33"/>
        <v>3.2718946220000004E-4</v>
      </c>
      <c r="R31" s="113">
        <f t="shared" si="34"/>
        <v>-4.2439217999999988E-6</v>
      </c>
      <c r="S31" s="113">
        <f t="shared" si="35"/>
        <v>1.366668959E-3</v>
      </c>
      <c r="T31" s="113">
        <f t="shared" si="36"/>
        <v>9.1698425694499999E-2</v>
      </c>
      <c r="U31" s="113">
        <f t="shared" si="37"/>
        <v>9.1238843694499999E-2</v>
      </c>
      <c r="V31" s="4">
        <f t="shared" si="38"/>
        <v>489.50220966216938</v>
      </c>
      <c r="W31" s="4">
        <f t="shared" si="39"/>
        <v>1.4903952261439661E-2</v>
      </c>
      <c r="X31" s="4">
        <f t="shared" si="40"/>
        <v>3.568103374970205E-3</v>
      </c>
      <c r="Y31">
        <f t="shared" si="41"/>
        <v>1.3931520105339157E-3</v>
      </c>
      <c r="Z31">
        <f t="shared" si="8"/>
        <v>1.4924715732497587E-2</v>
      </c>
      <c r="AA31">
        <f t="shared" si="9"/>
        <v>3.5631324645795724E-3</v>
      </c>
      <c r="AB31">
        <f t="shared" si="42"/>
        <v>-2.4297495867844578E-6</v>
      </c>
      <c r="AC31">
        <f t="shared" si="43"/>
        <v>1.0149053444672323E-5</v>
      </c>
    </row>
    <row r="32" spans="1:29" ht="15">
      <c r="A32" s="131">
        <f t="shared" si="19"/>
        <v>17</v>
      </c>
      <c r="B32" s="101">
        <v>3.5737961000000002E-5</v>
      </c>
      <c r="C32" s="101">
        <v>4.1991382000000003E-5</v>
      </c>
      <c r="D32" s="101">
        <v>1.5010429999999999E-4</v>
      </c>
      <c r="E32" s="101">
        <v>5.6067078000000004E-6</v>
      </c>
      <c r="F32" s="101">
        <v>2.0218012000000001E-5</v>
      </c>
      <c r="G32" s="101">
        <v>4.9765439000000003E-5</v>
      </c>
      <c r="H32" s="101">
        <v>3.8307343999999999E-6</v>
      </c>
      <c r="I32" s="101">
        <v>3.5127919000000002E-4</v>
      </c>
      <c r="J32" s="101">
        <v>8.9696755000000003E-2</v>
      </c>
      <c r="K32" s="101">
        <v>3.3310791000000002E-4</v>
      </c>
      <c r="L32" s="101">
        <v>44.110168000000002</v>
      </c>
      <c r="M32" s="101">
        <v>8.9247560000000004E-2</v>
      </c>
      <c r="N32" s="101">
        <v>1.5437045999999999E-3</v>
      </c>
      <c r="O32" s="101">
        <v>43.894891999999999</v>
      </c>
      <c r="P32" s="106">
        <f t="shared" si="32"/>
        <v>7.5887624920002086</v>
      </c>
      <c r="Q32" s="113">
        <f t="shared" si="33"/>
        <v>3.1628746450000004E-4</v>
      </c>
      <c r="R32" s="113">
        <f t="shared" si="34"/>
        <v>-9.081625500000001E-6</v>
      </c>
      <c r="S32" s="113">
        <f t="shared" si="35"/>
        <v>1.3726046089999999E-3</v>
      </c>
      <c r="T32" s="113">
        <f t="shared" si="36"/>
        <v>8.9657890328500009E-2</v>
      </c>
      <c r="U32" s="113">
        <f t="shared" si="37"/>
        <v>8.9208695328500009E-2</v>
      </c>
      <c r="V32" s="4">
        <f t="shared" si="38"/>
        <v>489.58203052929639</v>
      </c>
      <c r="W32" s="4">
        <f t="shared" si="39"/>
        <v>1.530935653260272E-2</v>
      </c>
      <c r="X32" s="4">
        <f t="shared" si="40"/>
        <v>3.5277147760352794E-3</v>
      </c>
      <c r="Y32">
        <f t="shared" si="41"/>
        <v>1.3385786057836431E-3</v>
      </c>
      <c r="Z32">
        <f t="shared" si="8"/>
        <v>1.5329849309725575E-2</v>
      </c>
      <c r="AA32">
        <f t="shared" si="9"/>
        <v>3.5229926525087714E-3</v>
      </c>
      <c r="AB32">
        <f t="shared" si="42"/>
        <v>-2.4018547495989589E-6</v>
      </c>
      <c r="AC32">
        <f t="shared" si="43"/>
        <v>1.0423419418976282E-5</v>
      </c>
    </row>
    <row r="33" spans="1:29" ht="15">
      <c r="A33" s="131">
        <f t="shared" si="19"/>
        <v>18</v>
      </c>
      <c r="B33" s="101">
        <v>2.9756373000000001E-6</v>
      </c>
      <c r="C33" s="101">
        <v>3.1255423999999998E-5</v>
      </c>
      <c r="D33" s="101">
        <v>1.6534753000000001E-4</v>
      </c>
      <c r="E33" s="101">
        <v>-8.9883359000000002E-6</v>
      </c>
      <c r="F33" s="101">
        <v>8.0295990000000008E-6</v>
      </c>
      <c r="G33" s="101">
        <v>4.7508385E-5</v>
      </c>
      <c r="H33" s="101">
        <v>-2.5276623E-6</v>
      </c>
      <c r="I33" s="101">
        <v>3.4520891E-4</v>
      </c>
      <c r="J33" s="101">
        <v>8.9525219000000003E-2</v>
      </c>
      <c r="K33" s="101">
        <v>3.1367936E-4</v>
      </c>
      <c r="L33" s="101">
        <v>44.003748999999999</v>
      </c>
      <c r="M33" s="101">
        <v>8.8992308000000006E-2</v>
      </c>
      <c r="N33" s="101">
        <v>1.5180066999999999E-3</v>
      </c>
      <c r="O33" s="101">
        <v>43.766407999999998</v>
      </c>
      <c r="P33" s="106">
        <f t="shared" ref="P33:P35" si="44">(K33/O33)*1000000</f>
        <v>7.1671259839281305</v>
      </c>
      <c r="Q33" s="113">
        <f t="shared" ref="Q33:Q35" si="45">I33-((F33+G33)/2)</f>
        <v>3.17439918E-4</v>
      </c>
      <c r="R33" s="113">
        <f t="shared" ref="R33:R35" si="46">H33-((E33+F33)/2)</f>
        <v>-2.0482938500000003E-6</v>
      </c>
      <c r="S33" s="113">
        <f t="shared" ref="S33:S35" si="47">N33-((D33+C33/2))</f>
        <v>1.3370314579999999E-3</v>
      </c>
      <c r="T33" s="113">
        <f t="shared" ref="T33:T35" si="48">J33-((B33+C33)/2)</f>
        <v>8.9508103469350009E-2</v>
      </c>
      <c r="U33" s="113">
        <f t="shared" ref="U33:U35" si="49">M33-((C33+B33)/2)</f>
        <v>8.8975192469350012E-2</v>
      </c>
      <c r="V33" s="4">
        <f t="shared" ref="V33:V35" si="50">IF(AND(A33&gt;0,NOT(A33="***")),O33/T33,"")</f>
        <v>488.96587351989643</v>
      </c>
      <c r="W33" s="4">
        <f t="shared" ref="W33:W35" si="51">IF(AND(A33&gt;0,NOT(A33="***")),S33/T33,"")</f>
        <v>1.4937546503349114E-2</v>
      </c>
      <c r="X33" s="4">
        <f t="shared" ref="X33:X35" si="52">IF(AND(A33&gt;0,NOT(A33="***")),Q33/T33,"")</f>
        <v>3.5464936212026882E-3</v>
      </c>
      <c r="Y33">
        <f t="shared" ref="Y33:Y35" si="53">IF(AND(A33&gt;0,NOT(A33="***")),1/3*($W$7/V33-1),"")</f>
        <v>1.7603062877303473E-3</v>
      </c>
      <c r="Z33">
        <f t="shared" si="8"/>
        <v>1.4963841160382222E-2</v>
      </c>
      <c r="AA33">
        <f t="shared" si="9"/>
        <v>3.5402507061818894E-3</v>
      </c>
      <c r="AB33">
        <f t="shared" ref="AB33:AB35" si="54">IF(AND(A33&gt;0,NOT(A33="***")),-X33/(3*V33),"")</f>
        <v>-2.4176831235499154E-6</v>
      </c>
      <c r="AC33">
        <f t="shared" ref="AC33:AC35" si="55">IF(AND(A33&gt;0,NOT(A33="***")),W33/(3*V33),"")</f>
        <v>1.018308728161257E-5</v>
      </c>
    </row>
    <row r="34" spans="1:29" ht="15">
      <c r="A34" s="131">
        <f t="shared" si="19"/>
        <v>19</v>
      </c>
      <c r="B34" s="101">
        <v>1.7008095E-5</v>
      </c>
      <c r="C34" s="101">
        <v>4.3386159999999999E-5</v>
      </c>
      <c r="D34" s="101">
        <v>1.6289247E-4</v>
      </c>
      <c r="E34" s="101">
        <v>-1.7860729999999999E-5</v>
      </c>
      <c r="F34" s="101">
        <v>-2.0356279E-6</v>
      </c>
      <c r="G34" s="101">
        <v>5.2557450999999999E-5</v>
      </c>
      <c r="H34" s="101">
        <v>-3.5143063999999999E-6</v>
      </c>
      <c r="I34" s="101">
        <v>3.3380744000000001E-4</v>
      </c>
      <c r="J34" s="101">
        <v>8.7716374E-2</v>
      </c>
      <c r="K34" s="101">
        <v>3.2776782E-4</v>
      </c>
      <c r="L34" s="101">
        <v>43.119892999999998</v>
      </c>
      <c r="M34" s="101">
        <v>8.7343156000000005E-2</v>
      </c>
      <c r="N34" s="101">
        <v>1.4907033E-3</v>
      </c>
      <c r="O34" s="101">
        <v>42.961734999999997</v>
      </c>
      <c r="P34" s="106">
        <f t="shared" si="44"/>
        <v>7.6292966287325221</v>
      </c>
      <c r="Q34" s="113">
        <f t="shared" si="45"/>
        <v>3.0854652845E-4</v>
      </c>
      <c r="R34" s="113">
        <f t="shared" si="46"/>
        <v>6.4338725499999992E-6</v>
      </c>
      <c r="S34" s="113">
        <f t="shared" si="47"/>
        <v>1.3061177499999999E-3</v>
      </c>
      <c r="T34" s="113">
        <f t="shared" si="48"/>
        <v>8.7686176872499993E-2</v>
      </c>
      <c r="U34" s="113">
        <f t="shared" si="49"/>
        <v>8.7312958872499999E-2</v>
      </c>
      <c r="V34" s="4">
        <f t="shared" si="50"/>
        <v>489.9487756487373</v>
      </c>
      <c r="W34" s="4">
        <f t="shared" si="51"/>
        <v>1.4895366596939895E-2</v>
      </c>
      <c r="X34" s="4">
        <f t="shared" si="52"/>
        <v>3.5187590502279713E-3</v>
      </c>
      <c r="Y34">
        <f t="shared" si="53"/>
        <v>1.0880640695341743E-3</v>
      </c>
      <c r="Z34">
        <f t="shared" si="8"/>
        <v>1.4911573710136563E-2</v>
      </c>
      <c r="AA34">
        <f t="shared" si="9"/>
        <v>3.5149304149360698E-3</v>
      </c>
      <c r="AB34">
        <f t="shared" si="54"/>
        <v>-2.3939639033820833E-6</v>
      </c>
      <c r="AC34">
        <f t="shared" si="55"/>
        <v>1.0133961846125009E-5</v>
      </c>
    </row>
    <row r="35" spans="1:29" ht="15">
      <c r="A35" s="131">
        <f t="shared" si="19"/>
        <v>20</v>
      </c>
      <c r="B35" s="101">
        <v>4.4007995999999997E-6</v>
      </c>
      <c r="C35" s="101">
        <v>4.0928335999999998E-5</v>
      </c>
      <c r="D35" s="101">
        <v>1.4505740999999999E-4</v>
      </c>
      <c r="E35" s="101">
        <v>-2.9954048000000002E-6</v>
      </c>
      <c r="F35" s="101">
        <v>9.1379110999999994E-6</v>
      </c>
      <c r="G35" s="101">
        <v>3.4523098000000003E-5</v>
      </c>
      <c r="H35" s="101">
        <v>-8.0309310999999994E-6</v>
      </c>
      <c r="I35" s="101">
        <v>3.2601047999999998E-4</v>
      </c>
      <c r="J35" s="101">
        <v>8.4777496999999993E-2</v>
      </c>
      <c r="K35" s="101">
        <v>3.0173154000000003E-4</v>
      </c>
      <c r="L35" s="101">
        <v>41.675080000000001</v>
      </c>
      <c r="M35" s="101">
        <v>8.5698096000000001E-2</v>
      </c>
      <c r="N35" s="101">
        <v>1.4580327E-3</v>
      </c>
      <c r="O35" s="101">
        <v>42.145941000000001</v>
      </c>
      <c r="P35" s="106">
        <f t="shared" si="44"/>
        <v>7.1592075735122398</v>
      </c>
      <c r="Q35" s="113">
        <f t="shared" si="45"/>
        <v>3.0417997544999998E-4</v>
      </c>
      <c r="R35" s="113">
        <f t="shared" si="46"/>
        <v>-1.1102184249999999E-5</v>
      </c>
      <c r="S35" s="113">
        <f t="shared" si="47"/>
        <v>1.292511122E-3</v>
      </c>
      <c r="T35" s="113">
        <f t="shared" si="48"/>
        <v>8.47548324322E-2</v>
      </c>
      <c r="U35" s="113">
        <f t="shared" si="49"/>
        <v>8.5675431432200008E-2</v>
      </c>
      <c r="V35" s="4">
        <f t="shared" si="50"/>
        <v>497.26888474134887</v>
      </c>
      <c r="W35" s="4">
        <f t="shared" si="51"/>
        <v>1.5249999143517273E-2</v>
      </c>
      <c r="X35" s="4">
        <f t="shared" si="52"/>
        <v>3.5889396123026979E-3</v>
      </c>
      <c r="Y35">
        <f t="shared" si="53"/>
        <v>-3.8348281262361077E-3</v>
      </c>
      <c r="Z35">
        <f t="shared" si="8"/>
        <v>1.5191518017876635E-2</v>
      </c>
      <c r="AA35">
        <f t="shared" si="9"/>
        <v>3.6027025788713195E-3</v>
      </c>
      <c r="AB35">
        <f t="shared" si="54"/>
        <v>-2.4057672635663773E-6</v>
      </c>
      <c r="AC35">
        <f t="shared" si="55"/>
        <v>1.0222503767721467E-5</v>
      </c>
    </row>
    <row r="36" spans="1:29" ht="15">
      <c r="A36" s="131">
        <f t="shared" si="19"/>
        <v>21</v>
      </c>
      <c r="B36" s="101">
        <v>2.4567866999999999E-5</v>
      </c>
      <c r="C36" s="101">
        <v>7.4101591999999993E-5</v>
      </c>
      <c r="D36" s="101">
        <v>1.4959357E-4</v>
      </c>
      <c r="E36" s="101">
        <v>1.4444066999999999E-5</v>
      </c>
      <c r="F36" s="101">
        <v>3.6199204999999998E-5</v>
      </c>
      <c r="G36" s="101">
        <v>5.0908473999999998E-5</v>
      </c>
      <c r="H36" s="101">
        <v>2.0879631000000001E-5</v>
      </c>
      <c r="I36" s="101">
        <v>4.0783122999999999E-4</v>
      </c>
      <c r="J36" s="101">
        <v>0.10031792</v>
      </c>
      <c r="K36" s="101">
        <v>3.9361346000000002E-4</v>
      </c>
      <c r="L36" s="101">
        <v>49.325037000000002</v>
      </c>
      <c r="M36" s="101">
        <v>0.10068538</v>
      </c>
      <c r="N36" s="101">
        <v>1.7025049E-3</v>
      </c>
      <c r="O36" s="101">
        <v>49.510162000000001</v>
      </c>
      <c r="P36" s="106">
        <f t="shared" ref="P36:P38" si="56">(K36/O36)*1000000</f>
        <v>7.9501549601069783</v>
      </c>
      <c r="Q36" s="113">
        <f t="shared" ref="Q36:Q38" si="57">I36-((F36+G36)/2)</f>
        <v>3.6427739049999999E-4</v>
      </c>
      <c r="R36" s="113">
        <f t="shared" ref="R36:R38" si="58">H36-((E36+F36)/2)</f>
        <v>-4.4420049999999961E-6</v>
      </c>
      <c r="S36" s="113">
        <f t="shared" ref="S36:S38" si="59">N36-((D36+C36/2))</f>
        <v>1.515860534E-3</v>
      </c>
      <c r="T36" s="113">
        <f t="shared" ref="T36:T38" si="60">J36-((B36+C36)/2)</f>
        <v>0.1002685852705</v>
      </c>
      <c r="U36" s="113">
        <f t="shared" ref="U36:U38" si="61">M36-((C36+B36)/2)</f>
        <v>0.1006360452705</v>
      </c>
      <c r="V36" s="4">
        <f t="shared" ref="V36:V38" si="62">IF(AND(A36&gt;0,NOT(A36="***")),O36/T36,"")</f>
        <v>493.77541197408692</v>
      </c>
      <c r="W36" s="4">
        <f t="shared" ref="W36:W38" si="63">IF(AND(A36&gt;0,NOT(A36="***")),S36/T36,"")</f>
        <v>1.511800061714824E-2</v>
      </c>
      <c r="X36" s="4">
        <f t="shared" ref="X36:X38" si="64">IF(AND(A36&gt;0,NOT(A36="***")),Q36/T36,"")</f>
        <v>3.6330161587227855E-3</v>
      </c>
      <c r="Y36">
        <f t="shared" ref="Y36:Y38" si="65">IF(AND(A36&gt;0,NOT(A36="***")),1/3*($W$7/V36-1),"")</f>
        <v>-1.5036183760533208E-3</v>
      </c>
      <c r="Z36">
        <f t="shared" si="8"/>
        <v>1.5095268913611111E-2</v>
      </c>
      <c r="AA36">
        <f t="shared" si="9"/>
        <v>3.6384788285795397E-3</v>
      </c>
      <c r="AB36">
        <f t="shared" ref="AB36:AB38" si="66">IF(AND(A36&gt;0,NOT(A36="***")),-X36/(3*V36),"")</f>
        <v>-2.4525429109549939E-6</v>
      </c>
      <c r="AC36">
        <f t="shared" ref="AC36:AC38" si="67">IF(AND(A36&gt;0,NOT(A36="***")),W36/(3*V36),"")</f>
        <v>1.0205719881640997E-5</v>
      </c>
    </row>
    <row r="37" spans="1:29" ht="15">
      <c r="A37" s="131">
        <f t="shared" si="19"/>
        <v>22</v>
      </c>
      <c r="B37" s="101">
        <v>3.5534806E-5</v>
      </c>
      <c r="C37" s="101">
        <v>8.0092300999999995E-5</v>
      </c>
      <c r="D37" s="101">
        <v>1.48636E-4</v>
      </c>
      <c r="E37" s="101">
        <v>6.4278946999999997E-6</v>
      </c>
      <c r="F37" s="101">
        <v>3.0937130999999997E-5</v>
      </c>
      <c r="G37" s="101">
        <v>5.4881628000000003E-5</v>
      </c>
      <c r="H37" s="101">
        <v>2.4093665E-5</v>
      </c>
      <c r="I37" s="101">
        <v>4.0627422000000002E-4</v>
      </c>
      <c r="J37" s="101">
        <v>9.9349419999999994E-2</v>
      </c>
      <c r="K37" s="101">
        <v>3.6969903999999997E-4</v>
      </c>
      <c r="L37" s="101">
        <v>48.862022000000003</v>
      </c>
      <c r="M37" s="101">
        <v>9.9019896999999996E-2</v>
      </c>
      <c r="N37" s="101">
        <v>1.6576169000000001E-3</v>
      </c>
      <c r="O37" s="101">
        <v>48.695396000000002</v>
      </c>
      <c r="P37" s="106">
        <f t="shared" si="56"/>
        <v>7.5920737968739385</v>
      </c>
      <c r="Q37" s="113">
        <f t="shared" si="57"/>
        <v>3.6336484050000003E-4</v>
      </c>
      <c r="R37" s="113">
        <f t="shared" si="58"/>
        <v>5.4111521500000028E-6</v>
      </c>
      <c r="S37" s="113">
        <f t="shared" si="59"/>
        <v>1.4689347495000001E-3</v>
      </c>
      <c r="T37" s="113">
        <f t="shared" si="60"/>
        <v>9.9291606446499994E-2</v>
      </c>
      <c r="U37" s="113">
        <f t="shared" si="61"/>
        <v>9.8962083446499996E-2</v>
      </c>
      <c r="V37" s="4">
        <f t="shared" si="62"/>
        <v>490.42812119509728</v>
      </c>
      <c r="W37" s="4">
        <f t="shared" si="63"/>
        <v>1.4794148287765766E-2</v>
      </c>
      <c r="X37" s="4">
        <f t="shared" si="64"/>
        <v>3.6595725812512379E-3</v>
      </c>
      <c r="Y37">
        <f t="shared" si="65"/>
        <v>7.6119984514614691E-4</v>
      </c>
      <c r="Z37">
        <f t="shared" si="8"/>
        <v>1.4805409591151484E-2</v>
      </c>
      <c r="AA37">
        <f t="shared" si="9"/>
        <v>3.6567869151690885E-3</v>
      </c>
      <c r="AB37">
        <f t="shared" si="66"/>
        <v>-2.4873319338033519E-6</v>
      </c>
      <c r="AC37">
        <f t="shared" si="67"/>
        <v>1.0055261004551642E-5</v>
      </c>
    </row>
    <row r="38" spans="1:29" ht="15">
      <c r="A38" s="131">
        <f t="shared" si="19"/>
        <v>23</v>
      </c>
      <c r="B38" s="101">
        <v>3.9433856000000002E-5</v>
      </c>
      <c r="C38" s="101">
        <v>6.5024180000000005E-5</v>
      </c>
      <c r="D38" s="101">
        <v>1.3547141000000001E-4</v>
      </c>
      <c r="E38" s="101">
        <v>-2.8978816E-6</v>
      </c>
      <c r="F38" s="101">
        <v>3.5855707999999998E-5</v>
      </c>
      <c r="G38" s="101">
        <v>3.3027739999999998E-5</v>
      </c>
      <c r="H38" s="101">
        <v>1.6739788999999998E-5</v>
      </c>
      <c r="I38" s="101">
        <v>3.9421295000000001E-4</v>
      </c>
      <c r="J38" s="101">
        <v>9.8133106999999997E-2</v>
      </c>
      <c r="K38" s="101">
        <v>3.5924710999999998E-4</v>
      </c>
      <c r="L38" s="101">
        <v>48.252518999999999</v>
      </c>
      <c r="M38" s="101">
        <v>9.7996126000000003E-2</v>
      </c>
      <c r="N38" s="101">
        <v>1.6413492999999999E-3</v>
      </c>
      <c r="O38" s="101">
        <v>48.196558000000003</v>
      </c>
      <c r="P38" s="106">
        <f t="shared" si="56"/>
        <v>7.4537918247191</v>
      </c>
      <c r="Q38" s="113">
        <f t="shared" si="57"/>
        <v>3.5977122600000001E-4</v>
      </c>
      <c r="R38" s="113">
        <f t="shared" si="58"/>
        <v>2.6087580000000064E-7</v>
      </c>
      <c r="S38" s="113">
        <f t="shared" si="59"/>
        <v>1.4733658E-3</v>
      </c>
      <c r="T38" s="113">
        <f t="shared" si="60"/>
        <v>9.8080877981999992E-2</v>
      </c>
      <c r="U38" s="113">
        <f t="shared" si="61"/>
        <v>9.7943896981999998E-2</v>
      </c>
      <c r="V38" s="4">
        <f t="shared" si="62"/>
        <v>491.39607017838011</v>
      </c>
      <c r="W38" s="4">
        <f t="shared" si="63"/>
        <v>1.5021947502044131E-2</v>
      </c>
      <c r="X38" s="4">
        <f t="shared" si="64"/>
        <v>3.6681077229551921E-3</v>
      </c>
      <c r="Y38">
        <f t="shared" si="65"/>
        <v>1.0310247047014738E-4</v>
      </c>
      <c r="Z38">
        <f t="shared" si="8"/>
        <v>1.5023496301942864E-2</v>
      </c>
      <c r="AA38">
        <f t="shared" si="9"/>
        <v>3.6677295319870046E-3</v>
      </c>
      <c r="AB38">
        <f t="shared" si="66"/>
        <v>-2.4882221257376927E-6</v>
      </c>
      <c r="AC38">
        <f t="shared" si="67"/>
        <v>1.0189979403370118E-5</v>
      </c>
    </row>
    <row r="39" spans="1:29" ht="15">
      <c r="A39" s="131">
        <f t="shared" si="19"/>
        <v>24</v>
      </c>
      <c r="B39" s="101">
        <v>2.9708839999999999E-5</v>
      </c>
      <c r="C39" s="101">
        <v>8.2335966000000006E-5</v>
      </c>
      <c r="D39" s="101">
        <v>1.4727128E-4</v>
      </c>
      <c r="E39" s="101">
        <v>-2.2581014E-6</v>
      </c>
      <c r="F39" s="101">
        <v>3.4079755000000002E-5</v>
      </c>
      <c r="G39" s="101">
        <v>3.0343683999999998E-5</v>
      </c>
      <c r="H39" s="101">
        <v>1.9758109000000001E-5</v>
      </c>
      <c r="I39" s="101">
        <v>3.9188842999999998E-4</v>
      </c>
      <c r="J39" s="101">
        <v>9.6240634000000005E-2</v>
      </c>
      <c r="K39" s="101">
        <v>3.4120202000000001E-4</v>
      </c>
      <c r="L39" s="101">
        <v>47.338549</v>
      </c>
      <c r="M39" s="101">
        <v>9.6033581000000007E-2</v>
      </c>
      <c r="N39" s="101">
        <v>1.6076586000000001E-3</v>
      </c>
      <c r="O39" s="101">
        <v>47.241852000000002</v>
      </c>
      <c r="P39" s="106">
        <f t="shared" ref="P39:P45" si="68">(K39/O39)*1000000</f>
        <v>7.2224522442515582</v>
      </c>
      <c r="Q39" s="113">
        <f t="shared" ref="Q39:Q45" si="69">I39-((F39+G39)/2)</f>
        <v>3.596767105E-4</v>
      </c>
      <c r="R39" s="113">
        <f t="shared" ref="R39:R45" si="70">H39-((E39+F39)/2)</f>
        <v>3.8472822000000002E-6</v>
      </c>
      <c r="S39" s="113">
        <f t="shared" ref="S39:S45" si="71">N39-((D39+C39/2))</f>
        <v>1.4192193370000002E-3</v>
      </c>
      <c r="T39" s="113">
        <f t="shared" ref="T39:T45" si="72">J39-((B39+C39)/2)</f>
        <v>9.6184611597000008E-2</v>
      </c>
      <c r="U39" s="113">
        <f t="shared" ref="U39:U45" si="73">M39-((C39+B39)/2)</f>
        <v>9.5977558597000009E-2</v>
      </c>
      <c r="V39" s="4">
        <f t="shared" ref="V39:V45" si="74">IF(AND(A39&gt;0,NOT(A39="***")),O39/T39,"")</f>
        <v>491.15810955225055</v>
      </c>
      <c r="W39" s="4">
        <f t="shared" ref="W39:W45" si="75">IF(AND(A39&gt;0,NOT(A39="***")),S39/T39,"")</f>
        <v>1.4755160034812321E-2</v>
      </c>
      <c r="X39" s="4">
        <f t="shared" ref="X39:X45" si="76">IF(AND(A39&gt;0,NOT(A39="***")),Q39/T39,"")</f>
        <v>3.7394413152801909E-3</v>
      </c>
      <c r="Y39">
        <f t="shared" ref="Y39:Y45" si="77">IF(AND(A39&gt;0,NOT(A39="***")),1/3*($W$7/V39-1),"")</f>
        <v>2.6464870475839675E-4</v>
      </c>
      <c r="Z39">
        <f t="shared" si="8"/>
        <v>1.4759064968804038E-2</v>
      </c>
      <c r="AA39">
        <f t="shared" si="9"/>
        <v>3.738451676979582E-3</v>
      </c>
      <c r="AB39">
        <f t="shared" ref="AB39:AB45" si="78">IF(AND(A39&gt;0,NOT(A39="***")),-X39/(3*V39),"")</f>
        <v>-2.5378394740606983E-6</v>
      </c>
      <c r="AC39">
        <f t="shared" ref="AC39:AC45" si="79">IF(AND(A39&gt;0,NOT(A39="***")),W39/(3*V39),"")</f>
        <v>1.0013856195420396E-5</v>
      </c>
    </row>
    <row r="40" spans="1:29" ht="15">
      <c r="A40" s="131">
        <f t="shared" si="19"/>
        <v>25</v>
      </c>
      <c r="B40" s="101">
        <v>3.7055282999999998E-5</v>
      </c>
      <c r="C40" s="101">
        <v>5.4653230999999999E-5</v>
      </c>
      <c r="D40" s="101">
        <v>1.3658729999999999E-4</v>
      </c>
      <c r="E40" s="101">
        <v>2.3709079999999998E-6</v>
      </c>
      <c r="F40" s="101">
        <v>3.6294215000000003E-5</v>
      </c>
      <c r="G40" s="101">
        <v>4.7990817000000001E-5</v>
      </c>
      <c r="H40" s="101">
        <v>1.6611831000000001E-5</v>
      </c>
      <c r="I40" s="101">
        <v>4.0158126999999998E-4</v>
      </c>
      <c r="J40" s="101">
        <v>9.6700016999999999E-2</v>
      </c>
      <c r="K40" s="101">
        <v>3.2869818999999999E-4</v>
      </c>
      <c r="L40" s="101">
        <v>47.571133000000003</v>
      </c>
      <c r="M40" s="101">
        <v>9.6695053000000003E-2</v>
      </c>
      <c r="N40" s="101">
        <v>1.6240635E-3</v>
      </c>
      <c r="O40" s="101">
        <v>47.559434000000003</v>
      </c>
      <c r="P40" s="106">
        <f t="shared" si="68"/>
        <v>6.9113141674478289</v>
      </c>
      <c r="Q40" s="113">
        <f t="shared" si="69"/>
        <v>3.5943875399999998E-4</v>
      </c>
      <c r="R40" s="113">
        <f t="shared" si="70"/>
        <v>-2.7207305000000027E-6</v>
      </c>
      <c r="S40" s="113">
        <f t="shared" si="71"/>
        <v>1.4601495845E-3</v>
      </c>
      <c r="T40" s="113">
        <f t="shared" si="72"/>
        <v>9.6654162742999997E-2</v>
      </c>
      <c r="U40" s="113">
        <f t="shared" si="73"/>
        <v>9.6649198743E-2</v>
      </c>
      <c r="V40" s="4">
        <f t="shared" si="74"/>
        <v>492.05779296292553</v>
      </c>
      <c r="W40" s="4">
        <f t="shared" si="75"/>
        <v>1.5106949799797927E-2</v>
      </c>
      <c r="X40" s="4">
        <f t="shared" si="76"/>
        <v>3.718812969863853E-3</v>
      </c>
      <c r="Y40">
        <f t="shared" si="77"/>
        <v>-3.4530519611789912E-4</v>
      </c>
      <c r="Z40">
        <f t="shared" si="8"/>
        <v>1.5101733291534565E-2</v>
      </c>
      <c r="AA40">
        <f t="shared" si="9"/>
        <v>3.720097095305738E-3</v>
      </c>
      <c r="AB40">
        <f t="shared" si="78"/>
        <v>-2.5192250605841942E-6</v>
      </c>
      <c r="AC40">
        <f t="shared" si="79"/>
        <v>1.0233858715952478E-5</v>
      </c>
    </row>
    <row r="41" spans="1:29" ht="15">
      <c r="A41" s="131">
        <f t="shared" si="19"/>
        <v>26</v>
      </c>
      <c r="B41" s="101">
        <v>6.8788299000000004E-5</v>
      </c>
      <c r="C41" s="101">
        <v>6.7350210999999994E-5</v>
      </c>
      <c r="D41" s="101">
        <v>1.3564461999999999E-4</v>
      </c>
      <c r="E41" s="101">
        <v>3.0748789999999999E-5</v>
      </c>
      <c r="F41" s="101">
        <v>1.8704329999999999E-5</v>
      </c>
      <c r="G41" s="101">
        <v>3.7880151999999999E-5</v>
      </c>
      <c r="H41" s="101">
        <v>2.9645136E-5</v>
      </c>
      <c r="I41" s="101">
        <v>3.5674691000000001E-4</v>
      </c>
      <c r="J41" s="101">
        <v>9.1584841E-2</v>
      </c>
      <c r="K41" s="101">
        <v>2.4975882999999998E-4</v>
      </c>
      <c r="L41" s="101">
        <v>45.052998000000002</v>
      </c>
      <c r="M41" s="101">
        <v>9.1473450999999997E-2</v>
      </c>
      <c r="N41" s="101">
        <v>1.5420675E-3</v>
      </c>
      <c r="O41" s="101">
        <v>44.997264000000001</v>
      </c>
      <c r="P41" s="106">
        <f t="shared" si="68"/>
        <v>5.5505336946708574</v>
      </c>
      <c r="Q41" s="113">
        <f t="shared" si="69"/>
        <v>3.2845466900000003E-4</v>
      </c>
      <c r="R41" s="113">
        <f t="shared" si="70"/>
        <v>4.9185760000000017E-6</v>
      </c>
      <c r="S41" s="113">
        <f t="shared" si="71"/>
        <v>1.3727477745000001E-3</v>
      </c>
      <c r="T41" s="113">
        <f t="shared" si="72"/>
        <v>9.1516771745000003E-2</v>
      </c>
      <c r="U41" s="113">
        <f t="shared" si="73"/>
        <v>9.1405381745E-2</v>
      </c>
      <c r="V41" s="4">
        <f t="shared" si="74"/>
        <v>491.68325261056225</v>
      </c>
      <c r="W41" s="4">
        <f t="shared" si="75"/>
        <v>1.4999958459253671E-2</v>
      </c>
      <c r="X41" s="4">
        <f t="shared" si="76"/>
        <v>3.5890106560489015E-3</v>
      </c>
      <c r="Y41">
        <f t="shared" si="77"/>
        <v>-9.1651135848228954E-5</v>
      </c>
      <c r="Z41">
        <f t="shared" si="8"/>
        <v>1.4998583696023204E-2</v>
      </c>
      <c r="AA41">
        <f t="shared" si="9"/>
        <v>3.5893395929520997E-3</v>
      </c>
      <c r="AB41">
        <f t="shared" si="78"/>
        <v>-2.4331454833935387E-6</v>
      </c>
      <c r="AC41">
        <f t="shared" si="79"/>
        <v>1.0169120315848537E-5</v>
      </c>
    </row>
    <row r="42" spans="1:29" ht="15">
      <c r="A42" s="131">
        <f t="shared" si="19"/>
        <v>27</v>
      </c>
      <c r="B42" s="101">
        <v>2.5782358000000001E-5</v>
      </c>
      <c r="C42" s="101">
        <v>4.1511348000000001E-5</v>
      </c>
      <c r="D42" s="101">
        <v>1.2956375E-4</v>
      </c>
      <c r="E42" s="101">
        <v>1.2180724000000001E-5</v>
      </c>
      <c r="F42" s="101">
        <v>2.6644556999999999E-6</v>
      </c>
      <c r="G42" s="101">
        <v>4.8974470000000001E-5</v>
      </c>
      <c r="H42" s="101">
        <v>-6.7449249999999996E-6</v>
      </c>
      <c r="I42" s="101">
        <v>3.2771876000000001E-4</v>
      </c>
      <c r="J42" s="101">
        <v>8.5387246E-2</v>
      </c>
      <c r="K42" s="101">
        <v>2.7122603E-4</v>
      </c>
      <c r="L42" s="101">
        <v>42.010092</v>
      </c>
      <c r="M42" s="101">
        <v>8.3372329999999994E-2</v>
      </c>
      <c r="N42" s="101">
        <v>1.4135557E-3</v>
      </c>
      <c r="O42" s="101">
        <v>41.026209999999999</v>
      </c>
      <c r="P42" s="106">
        <f t="shared" si="68"/>
        <v>6.6110427943502463</v>
      </c>
      <c r="Q42" s="113">
        <f t="shared" si="69"/>
        <v>3.0189929715000003E-4</v>
      </c>
      <c r="R42" s="113">
        <f t="shared" si="70"/>
        <v>-1.416751485E-5</v>
      </c>
      <c r="S42" s="113">
        <f t="shared" si="71"/>
        <v>1.263236276E-3</v>
      </c>
      <c r="T42" s="113">
        <f t="shared" si="72"/>
        <v>8.5353599146999998E-2</v>
      </c>
      <c r="U42" s="113">
        <f t="shared" si="73"/>
        <v>8.3338683146999992E-2</v>
      </c>
      <c r="V42" s="4">
        <f t="shared" si="74"/>
        <v>480.66174607754647</v>
      </c>
      <c r="W42" s="4">
        <f t="shared" si="75"/>
        <v>1.4800035248945916E-2</v>
      </c>
      <c r="X42" s="4">
        <f t="shared" si="76"/>
        <v>3.5370423762688063E-3</v>
      </c>
      <c r="Y42">
        <f t="shared" si="77"/>
        <v>7.5495339748557671E-3</v>
      </c>
      <c r="Z42">
        <f t="shared" si="8"/>
        <v>1.4911768617886895E-2</v>
      </c>
      <c r="AA42">
        <f t="shared" si="9"/>
        <v>3.51033935467866E-3</v>
      </c>
      <c r="AB42">
        <f t="shared" si="78"/>
        <v>-2.4528977707177927E-6</v>
      </c>
      <c r="AC42">
        <f t="shared" si="79"/>
        <v>1.0263652398470799E-5</v>
      </c>
    </row>
    <row r="43" spans="1:29" ht="15">
      <c r="A43" s="131">
        <f t="shared" si="19"/>
        <v>28</v>
      </c>
      <c r="B43" s="101">
        <v>1.5909223999999999E-5</v>
      </c>
      <c r="C43" s="101">
        <v>3.6663872999999999E-5</v>
      </c>
      <c r="D43" s="101">
        <v>1.2141457E-4</v>
      </c>
      <c r="E43" s="101">
        <v>-1.0182524E-5</v>
      </c>
      <c r="F43" s="101">
        <v>-6.6612859000000002E-6</v>
      </c>
      <c r="G43" s="101">
        <v>3.1558345999999998E-5</v>
      </c>
      <c r="H43" s="101">
        <v>-9.6083490999999998E-6</v>
      </c>
      <c r="I43" s="101">
        <v>2.8804006000000002E-4</v>
      </c>
      <c r="J43" s="101">
        <v>7.4886722000000003E-2</v>
      </c>
      <c r="K43" s="101">
        <v>2.4258057E-4</v>
      </c>
      <c r="L43" s="101">
        <v>36.842714999999998</v>
      </c>
      <c r="M43" s="101">
        <v>7.1716990999999994E-2</v>
      </c>
      <c r="N43" s="101">
        <v>1.2214221E-3</v>
      </c>
      <c r="O43" s="101">
        <v>35.278548000000001</v>
      </c>
      <c r="P43" s="106">
        <f t="shared" si="68"/>
        <v>6.8761494945880424</v>
      </c>
      <c r="Q43" s="113">
        <f t="shared" si="69"/>
        <v>2.7559152995000001E-4</v>
      </c>
      <c r="R43" s="113">
        <f t="shared" si="70"/>
        <v>-1.1864441500000005E-6</v>
      </c>
      <c r="S43" s="113">
        <f t="shared" si="71"/>
        <v>1.0816755935000001E-3</v>
      </c>
      <c r="T43" s="113">
        <f t="shared" si="72"/>
        <v>7.4860435451500007E-2</v>
      </c>
      <c r="U43" s="113">
        <f t="shared" si="73"/>
        <v>7.1690704451499998E-2</v>
      </c>
      <c r="V43" s="4">
        <f t="shared" si="74"/>
        <v>471.25758469379986</v>
      </c>
      <c r="W43" s="4">
        <f t="shared" si="75"/>
        <v>1.444922924875033E-2</v>
      </c>
      <c r="X43" s="4">
        <f t="shared" si="76"/>
        <v>3.6814043130773411E-3</v>
      </c>
      <c r="Y43">
        <f t="shared" si="77"/>
        <v>1.4352008038383952E-2</v>
      </c>
      <c r="Z43">
        <f t="shared" si="8"/>
        <v>1.4656604703076847E-2</v>
      </c>
      <c r="AA43">
        <f t="shared" si="9"/>
        <v>3.6285687687835134E-3</v>
      </c>
      <c r="AB43">
        <f t="shared" si="78"/>
        <v>-2.6039576038295756E-6</v>
      </c>
      <c r="AC43">
        <f t="shared" si="79"/>
        <v>1.0220333647707571E-5</v>
      </c>
    </row>
    <row r="44" spans="1:29" ht="15">
      <c r="A44" s="131">
        <f t="shared" si="19"/>
        <v>29</v>
      </c>
      <c r="B44" s="101">
        <v>7.1174443E-6</v>
      </c>
      <c r="C44" s="101">
        <v>2.7239966E-5</v>
      </c>
      <c r="D44" s="101">
        <v>1.0080438000000001E-4</v>
      </c>
      <c r="E44" s="101">
        <v>4.2987221000000001E-6</v>
      </c>
      <c r="F44" s="101">
        <v>2.3017301E-5</v>
      </c>
      <c r="G44" s="101">
        <v>2.6055119999999999E-5</v>
      </c>
      <c r="H44" s="101">
        <v>8.1017618000000004E-6</v>
      </c>
      <c r="I44" s="101">
        <v>2.6977708000000002E-4</v>
      </c>
      <c r="J44" s="101">
        <v>6.8655094999999999E-2</v>
      </c>
      <c r="K44" s="101">
        <v>2.1807536999999999E-4</v>
      </c>
      <c r="L44" s="101">
        <v>33.775053</v>
      </c>
      <c r="M44" s="101">
        <v>6.8090274000000006E-2</v>
      </c>
      <c r="N44" s="101">
        <v>1.1395279999999999E-3</v>
      </c>
      <c r="O44" s="101">
        <v>33.510964000000001</v>
      </c>
      <c r="P44" s="106">
        <f t="shared" si="68"/>
        <v>6.5075827123325958</v>
      </c>
      <c r="Q44" s="113">
        <f t="shared" si="69"/>
        <v>2.4524086950000003E-4</v>
      </c>
      <c r="R44" s="113">
        <f t="shared" si="70"/>
        <v>-5.5562497500000005E-6</v>
      </c>
      <c r="S44" s="113">
        <f t="shared" si="71"/>
        <v>1.0251036369999999E-3</v>
      </c>
      <c r="T44" s="113">
        <f t="shared" si="72"/>
        <v>6.8637916294849999E-2</v>
      </c>
      <c r="U44" s="113">
        <f t="shared" si="73"/>
        <v>6.8073095294850006E-2</v>
      </c>
      <c r="V44" s="4">
        <f t="shared" si="74"/>
        <v>488.22816613555</v>
      </c>
      <c r="W44" s="4">
        <f t="shared" si="75"/>
        <v>1.493494692636692E-2</v>
      </c>
      <c r="X44" s="4">
        <f t="shared" si="76"/>
        <v>3.5729649549166281E-3</v>
      </c>
      <c r="Y44">
        <f t="shared" si="77"/>
        <v>2.2666290883025146E-3</v>
      </c>
      <c r="Z44">
        <f t="shared" si="8"/>
        <v>1.4968798911502476E-2</v>
      </c>
      <c r="AA44">
        <f t="shared" si="9"/>
        <v>3.5648663686183284E-3</v>
      </c>
      <c r="AB44">
        <f t="shared" si="78"/>
        <v>-2.4394092781096961E-6</v>
      </c>
      <c r="AC44">
        <f t="shared" si="79"/>
        <v>1.0196698976888082E-5</v>
      </c>
    </row>
    <row r="45" spans="1:29" ht="15">
      <c r="A45" s="131">
        <f t="shared" si="19"/>
        <v>30</v>
      </c>
      <c r="B45" s="101">
        <v>3.6350558999999998E-6</v>
      </c>
      <c r="C45" s="101">
        <v>2.7405561000000001E-5</v>
      </c>
      <c r="D45" s="101">
        <v>1.0154984E-4</v>
      </c>
      <c r="E45" s="101">
        <v>-1.0786526E-5</v>
      </c>
      <c r="F45" s="101">
        <v>9.7096249999999994E-6</v>
      </c>
      <c r="G45" s="101">
        <v>2.5411983E-5</v>
      </c>
      <c r="H45" s="101">
        <v>-1.0577736000000001E-5</v>
      </c>
      <c r="I45" s="101">
        <v>2.5369748999999999E-4</v>
      </c>
      <c r="J45" s="101">
        <v>6.7341289999999998E-2</v>
      </c>
      <c r="K45" s="101">
        <v>2.1638641000000001E-4</v>
      </c>
      <c r="L45" s="101">
        <v>33.131822</v>
      </c>
      <c r="M45" s="101">
        <v>6.6759553999999999E-2</v>
      </c>
      <c r="N45" s="101">
        <v>1.1175606000000001E-3</v>
      </c>
      <c r="O45" s="101">
        <v>32.860917999999998</v>
      </c>
      <c r="P45" s="106">
        <f t="shared" si="68"/>
        <v>6.5849167695193422</v>
      </c>
      <c r="Q45" s="113">
        <f t="shared" si="69"/>
        <v>2.3613668599999999E-4</v>
      </c>
      <c r="R45" s="113">
        <f t="shared" si="70"/>
        <v>-1.0039285500000001E-5</v>
      </c>
      <c r="S45" s="113">
        <f t="shared" si="71"/>
        <v>1.0023079795E-3</v>
      </c>
      <c r="T45" s="113">
        <f t="shared" si="72"/>
        <v>6.7325769691549991E-2</v>
      </c>
      <c r="U45" s="113">
        <f t="shared" si="73"/>
        <v>6.6744033691549992E-2</v>
      </c>
      <c r="V45" s="4">
        <f t="shared" si="74"/>
        <v>488.08826323933357</v>
      </c>
      <c r="W45" s="4">
        <f t="shared" si="75"/>
        <v>1.4887434396844318E-2</v>
      </c>
      <c r="X45" s="4">
        <f t="shared" si="76"/>
        <v>3.5073744731304174E-3</v>
      </c>
      <c r="Y45">
        <f t="shared" si="77"/>
        <v>2.3628235888653775E-3</v>
      </c>
      <c r="Z45">
        <f t="shared" si="8"/>
        <v>1.4922610778014865E-2</v>
      </c>
      <c r="AA45">
        <f t="shared" si="9"/>
        <v>3.4990871659903206E-3</v>
      </c>
      <c r="AB45">
        <f t="shared" si="78"/>
        <v>-2.3953143569107431E-6</v>
      </c>
      <c r="AC45">
        <f t="shared" si="79"/>
        <v>1.016717365696641E-5</v>
      </c>
    </row>
    <row r="46" spans="1:29" ht="15">
      <c r="A46" s="13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6"/>
      <c r="Q46" s="113"/>
      <c r="R46" s="113"/>
      <c r="S46" s="113"/>
      <c r="T46" s="113"/>
      <c r="U46" s="113"/>
      <c r="V46" s="4"/>
      <c r="W46" s="4"/>
      <c r="X46" s="4"/>
    </row>
    <row r="47" spans="1:29" ht="15">
      <c r="A47" s="13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6"/>
      <c r="Q47" s="113"/>
      <c r="R47" s="113"/>
      <c r="S47" s="113"/>
      <c r="T47" s="113"/>
      <c r="U47" s="113"/>
      <c r="V47" s="4"/>
      <c r="W47" s="4"/>
      <c r="X47" s="4"/>
    </row>
    <row r="48" spans="1:29" ht="15">
      <c r="A48" s="13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6"/>
      <c r="Q48" s="113"/>
      <c r="R48" s="113"/>
      <c r="S48" s="113"/>
      <c r="T48" s="113"/>
      <c r="U48" s="113"/>
      <c r="V48" s="4"/>
      <c r="W48" s="4"/>
      <c r="X48" s="4"/>
    </row>
    <row r="49" spans="1:24" ht="15">
      <c r="A49" s="13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6"/>
      <c r="Q49" s="113"/>
      <c r="R49" s="113"/>
      <c r="S49" s="113"/>
      <c r="T49" s="113"/>
      <c r="U49" s="113"/>
      <c r="V49" s="4"/>
      <c r="W49" s="4"/>
      <c r="X49" s="4"/>
    </row>
    <row r="50" spans="1:24" ht="15">
      <c r="A50" s="13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6"/>
      <c r="Q50" s="113"/>
      <c r="R50" s="113"/>
      <c r="S50" s="113"/>
      <c r="T50" s="113"/>
      <c r="U50" s="113"/>
      <c r="V50" s="4"/>
      <c r="W50" s="4"/>
      <c r="X50" s="4"/>
    </row>
    <row r="51" spans="1:24" ht="15">
      <c r="A51" s="13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6"/>
      <c r="Q51" s="113"/>
      <c r="R51" s="113"/>
      <c r="S51" s="113"/>
      <c r="T51" s="113"/>
      <c r="U51" s="113"/>
      <c r="V51" s="4"/>
      <c r="W51" s="4"/>
      <c r="X51" s="4"/>
    </row>
    <row r="52" spans="1:24" ht="15">
      <c r="A52" s="13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6"/>
      <c r="Q52" s="113"/>
      <c r="R52" s="113"/>
      <c r="S52" s="113"/>
      <c r="T52" s="113"/>
      <c r="U52" s="113"/>
      <c r="V52" s="4"/>
      <c r="W52" s="4"/>
      <c r="X52" s="4"/>
    </row>
    <row r="53" spans="1:24" ht="15">
      <c r="A53" s="13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6"/>
      <c r="Q53" s="113"/>
      <c r="R53" s="113"/>
      <c r="S53" s="113"/>
      <c r="T53" s="113"/>
      <c r="U53" s="113"/>
      <c r="V53" s="4"/>
      <c r="W53" s="4"/>
      <c r="X53" s="4"/>
    </row>
    <row r="54" spans="1:24" ht="15">
      <c r="A54" s="1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6"/>
      <c r="Q54" s="113"/>
      <c r="R54" s="113"/>
      <c r="S54" s="113"/>
      <c r="T54" s="113"/>
      <c r="U54" s="113"/>
      <c r="V54" s="4"/>
      <c r="W54" s="4"/>
      <c r="X54" s="4"/>
    </row>
  </sheetData>
  <phoneticPr fontId="10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C45"/>
  <sheetViews>
    <sheetView topLeftCell="K1" workbookViewId="0">
      <selection activeCell="W7" sqref="W7"/>
    </sheetView>
  </sheetViews>
  <sheetFormatPr defaultColWidth="11" defaultRowHeight="12.75"/>
  <cols>
    <col min="1" max="1" width="8.625" bestFit="1" customWidth="1"/>
    <col min="2" max="4" width="9.375" bestFit="1" customWidth="1"/>
    <col min="5" max="5" width="10.375" bestFit="1" customWidth="1"/>
    <col min="6" max="11" width="9.375" bestFit="1" customWidth="1"/>
    <col min="12" max="12" width="8.625" bestFit="1" customWidth="1"/>
    <col min="13" max="13" width="8.375" bestFit="1" customWidth="1"/>
    <col min="14" max="14" width="9.375" customWidth="1"/>
    <col min="15" max="15" width="8.625" bestFit="1" customWidth="1"/>
    <col min="16" max="16" width="4.375" bestFit="1" customWidth="1"/>
    <col min="17" max="17" width="7.25" bestFit="1" customWidth="1"/>
    <col min="18" max="18" width="8.25" customWidth="1"/>
    <col min="19" max="19" width="9.875" bestFit="1" customWidth="1"/>
    <col min="20" max="21" width="7.25" bestFit="1" customWidth="1"/>
    <col min="22" max="23" width="12.375" bestFit="1" customWidth="1"/>
    <col min="24" max="24" width="11.75" bestFit="1" customWidth="1"/>
    <col min="25" max="25" width="12.75" bestFit="1" customWidth="1"/>
    <col min="26" max="27" width="11.875" bestFit="1" customWidth="1"/>
    <col min="28" max="28" width="13" bestFit="1" customWidth="1"/>
    <col min="29" max="29" width="11.875" bestFit="1" customWidth="1"/>
  </cols>
  <sheetData>
    <row r="1" spans="1:29" ht="15">
      <c r="S1" s="5"/>
    </row>
    <row r="4" spans="1:29">
      <c r="N4" s="101">
        <f>N17/M17</f>
        <v>1.8317837323106271E-2</v>
      </c>
    </row>
    <row r="6" spans="1:29">
      <c r="S6" s="12"/>
      <c r="W6" t="s">
        <v>4</v>
      </c>
    </row>
    <row r="7" spans="1:29">
      <c r="W7" s="138">
        <v>491.5480626248243</v>
      </c>
    </row>
    <row r="10" spans="1:29" ht="15">
      <c r="N10" s="18" t="s">
        <v>149</v>
      </c>
      <c r="P10" s="106">
        <f>(AVERAGE((P16:P20)))</f>
        <v>15.396708708330252</v>
      </c>
      <c r="Q10" s="106"/>
      <c r="R10" s="107"/>
      <c r="S10" s="107"/>
      <c r="T10" s="107"/>
      <c r="U10" s="107"/>
    </row>
    <row r="11" spans="1:29">
      <c r="B11">
        <v>234.54</v>
      </c>
      <c r="C11">
        <v>235.54</v>
      </c>
      <c r="D11">
        <v>236.54</v>
      </c>
      <c r="E11">
        <v>232.54</v>
      </c>
      <c r="F11">
        <v>233.54</v>
      </c>
      <c r="G11">
        <v>234.54</v>
      </c>
      <c r="H11">
        <v>237.041</v>
      </c>
      <c r="I11" s="127">
        <v>234.041</v>
      </c>
      <c r="J11" s="127">
        <v>233.041</v>
      </c>
      <c r="K11" s="127">
        <v>236.041</v>
      </c>
      <c r="Q11">
        <v>234.041</v>
      </c>
      <c r="R11">
        <v>233.041</v>
      </c>
      <c r="S11">
        <v>236.041</v>
      </c>
      <c r="T11">
        <v>235.041</v>
      </c>
      <c r="U11">
        <v>235.041</v>
      </c>
      <c r="Y11" t="s">
        <v>126</v>
      </c>
      <c r="Z11" s="105">
        <f>AVERAGE(Z16:Z45)</f>
        <v>1.4388832378771376E-2</v>
      </c>
      <c r="AA11" s="105">
        <f>AVERAGE(AA16:AA45)</f>
        <v>3.5843696882501201E-3</v>
      </c>
    </row>
    <row r="12" spans="1:29">
      <c r="B12" s="105">
        <f t="shared" ref="B12:G12" si="0">AVERAGE(B16:B45)</f>
        <v>5.3299325900000006E-5</v>
      </c>
      <c r="C12" s="105">
        <f t="shared" si="0"/>
        <v>1.0201685085185185E-4</v>
      </c>
      <c r="D12" s="105">
        <f t="shared" si="0"/>
        <v>2.1194291840740745E-4</v>
      </c>
      <c r="E12" s="105">
        <f t="shared" si="0"/>
        <v>1.2248252894814812E-5</v>
      </c>
      <c r="F12" s="105">
        <f t="shared" si="0"/>
        <v>4.7210348222222227E-5</v>
      </c>
      <c r="G12" s="105">
        <f t="shared" si="0"/>
        <v>7.0154392814814821E-5</v>
      </c>
      <c r="H12" s="105">
        <f>AVERAGE(K16:K45)</f>
        <v>4.1260108407407411E-4</v>
      </c>
      <c r="I12" s="128">
        <f>AVERAGE(I16:I45)</f>
        <v>3.4638191740740741E-4</v>
      </c>
      <c r="J12" s="128">
        <f>AVERAGE(H16:H45)</f>
        <v>1.936373795444444E-5</v>
      </c>
      <c r="K12" s="128">
        <f>AVERAGE(N16:N45)</f>
        <v>1.3985120859259261E-3</v>
      </c>
      <c r="P12" s="18" t="s">
        <v>151</v>
      </c>
      <c r="Q12" s="8">
        <f t="shared" ref="Q12:X12" si="1">AVERAGE(Q16:Q45)</f>
        <v>2.8769954688888892E-4</v>
      </c>
      <c r="R12" s="114">
        <f t="shared" si="1"/>
        <v>-1.0365562604074075E-5</v>
      </c>
      <c r="S12" s="8">
        <f t="shared" si="1"/>
        <v>1.1355607420925928E-3</v>
      </c>
      <c r="T12" s="8">
        <f t="shared" si="1"/>
        <v>7.9831280985698166E-2</v>
      </c>
      <c r="U12" s="8">
        <f t="shared" si="1"/>
        <v>7.9692147319031501E-2</v>
      </c>
      <c r="V12" s="4">
        <f t="shared" si="1"/>
        <v>491.92569064466301</v>
      </c>
      <c r="W12" s="4">
        <f t="shared" si="1"/>
        <v>1.4392594597007881E-2</v>
      </c>
      <c r="X12" s="4">
        <f t="shared" si="1"/>
        <v>3.5834651078038657E-3</v>
      </c>
      <c r="Y12" t="s">
        <v>127</v>
      </c>
      <c r="Z12" s="105">
        <f>STDEV(Z16:Z45)/SQRT(COUNT(Z16:Z45))</f>
        <v>1.0428581401422863E-4</v>
      </c>
      <c r="AA12" s="105">
        <f>STDEV(AA16:AA45)/SQRT(COUNT(AA16:AA45))</f>
        <v>3.6356206905506273E-5</v>
      </c>
      <c r="AB12">
        <f>AVERAGE(AB16:AB45)</f>
        <v>-2.4282137995785528E-6</v>
      </c>
      <c r="AC12">
        <f>AVERAGE(AC16:AC45)</f>
        <v>9.752391838350738E-6</v>
      </c>
    </row>
    <row r="13" spans="1:29" ht="15">
      <c r="R13" s="107"/>
      <c r="S13" s="107"/>
      <c r="T13" s="107"/>
      <c r="U13" s="107"/>
    </row>
    <row r="14" spans="1:29" ht="15">
      <c r="B14" s="108" t="s">
        <v>12</v>
      </c>
      <c r="C14" s="108" t="s">
        <v>13</v>
      </c>
      <c r="D14" s="108" t="s">
        <v>12</v>
      </c>
      <c r="E14" s="109" t="s">
        <v>13</v>
      </c>
      <c r="F14" s="109" t="s">
        <v>13</v>
      </c>
      <c r="G14" s="109" t="s">
        <v>13</v>
      </c>
      <c r="H14" s="110" t="s">
        <v>14</v>
      </c>
      <c r="I14" s="110" t="s">
        <v>14</v>
      </c>
      <c r="J14" s="110" t="s">
        <v>14</v>
      </c>
      <c r="K14" s="110" t="s">
        <v>14</v>
      </c>
      <c r="L14" s="110" t="s">
        <v>14</v>
      </c>
      <c r="M14" s="111" t="s">
        <v>152</v>
      </c>
      <c r="N14" s="111" t="s">
        <v>152</v>
      </c>
      <c r="O14" s="111" t="s">
        <v>152</v>
      </c>
      <c r="P14" s="111"/>
      <c r="Q14" s="111" t="s">
        <v>14</v>
      </c>
      <c r="R14" s="111" t="s">
        <v>14</v>
      </c>
      <c r="S14" s="111" t="s">
        <v>152</v>
      </c>
      <c r="T14" s="111" t="s">
        <v>14</v>
      </c>
      <c r="U14" s="111" t="s">
        <v>152</v>
      </c>
      <c r="V14" s="13" t="s">
        <v>72</v>
      </c>
      <c r="W14" s="13" t="s">
        <v>73</v>
      </c>
      <c r="X14" s="13" t="s">
        <v>74</v>
      </c>
      <c r="Y14" s="13" t="s">
        <v>75</v>
      </c>
      <c r="Z14" s="13" t="s">
        <v>76</v>
      </c>
      <c r="AA14" s="13" t="s">
        <v>120</v>
      </c>
      <c r="AB14" s="13" t="s">
        <v>119</v>
      </c>
      <c r="AC14" s="13" t="s">
        <v>101</v>
      </c>
    </row>
    <row r="15" spans="1:29" ht="15">
      <c r="A15" t="s">
        <v>6</v>
      </c>
      <c r="B15" s="112" t="s">
        <v>153</v>
      </c>
      <c r="C15" s="112" t="s">
        <v>154</v>
      </c>
      <c r="D15" s="112" t="s">
        <v>155</v>
      </c>
      <c r="E15" s="112" t="s">
        <v>156</v>
      </c>
      <c r="F15" s="112" t="s">
        <v>157</v>
      </c>
      <c r="G15" s="112" t="s">
        <v>153</v>
      </c>
      <c r="H15" t="s">
        <v>158</v>
      </c>
      <c r="I15" t="s">
        <v>159</v>
      </c>
      <c r="J15" t="s">
        <v>8</v>
      </c>
      <c r="K15" s="112" t="s">
        <v>160</v>
      </c>
      <c r="L15" t="s">
        <v>9</v>
      </c>
      <c r="M15" t="s">
        <v>161</v>
      </c>
      <c r="N15" t="s">
        <v>162</v>
      </c>
      <c r="O15" t="s">
        <v>163</v>
      </c>
      <c r="Q15" s="107" t="s">
        <v>159</v>
      </c>
      <c r="R15" s="107" t="s">
        <v>158</v>
      </c>
      <c r="S15" s="107" t="s">
        <v>162</v>
      </c>
      <c r="T15" s="107" t="s">
        <v>8</v>
      </c>
      <c r="U15" s="107" t="s">
        <v>161</v>
      </c>
    </row>
    <row r="16" spans="1:29" ht="15">
      <c r="A16" s="131"/>
      <c r="B16" s="101">
        <v>1.4497807E-4</v>
      </c>
      <c r="C16" s="101">
        <v>2.2605771E-4</v>
      </c>
      <c r="D16" s="101">
        <v>4.1740952000000002E-4</v>
      </c>
      <c r="E16" s="101">
        <v>3.8681014000000003E-5</v>
      </c>
      <c r="F16" s="101">
        <v>8.0443105000000003E-5</v>
      </c>
      <c r="G16" s="101">
        <v>9.4259418999999999E-5</v>
      </c>
      <c r="H16" s="101">
        <v>6.1559243999999999E-5</v>
      </c>
      <c r="I16" s="101">
        <v>3.9288292000000001E-4</v>
      </c>
      <c r="J16" s="101">
        <v>7.6684279999999994E-2</v>
      </c>
      <c r="K16" s="101">
        <v>6.9111241999999997E-4</v>
      </c>
      <c r="L16" s="101">
        <v>37.612701000000001</v>
      </c>
      <c r="M16" s="101">
        <v>7.7735088999999993E-2</v>
      </c>
      <c r="N16" s="101">
        <v>1.4592581E-3</v>
      </c>
      <c r="O16" s="101">
        <v>38.125320000000002</v>
      </c>
      <c r="P16" s="106">
        <f t="shared" ref="P16:P17" si="2">(K16/O16)*1000000</f>
        <v>18.127386734065443</v>
      </c>
      <c r="Q16" s="113">
        <f t="shared" ref="Q16:Q17" si="3">I16-((F16+G16)/2)</f>
        <v>3.0553165800000003E-4</v>
      </c>
      <c r="R16" s="113">
        <f t="shared" ref="R16:R17" si="4">H16-((E16+F16)/2)</f>
        <v>1.997184499999996E-6</v>
      </c>
      <c r="S16" s="113">
        <f>N16-((D16+C16/2))</f>
        <v>9.2881972499999992E-4</v>
      </c>
      <c r="T16" s="113">
        <f>J16-((B16+C16)/2)</f>
        <v>7.6498762109999993E-2</v>
      </c>
      <c r="U16" s="113">
        <f>M16-((C16+B16)/2)</f>
        <v>7.7549571109999993E-2</v>
      </c>
      <c r="V16" s="4" t="str">
        <f>IF(AND(A16&gt;0,NOT(A16="***")),O16/U16,"")</f>
        <v/>
      </c>
      <c r="W16" s="4" t="str">
        <f>IF(AND(A16&gt;0,NOT(A16="***")),S16/U16,"")</f>
        <v/>
      </c>
      <c r="X16" s="4" t="str">
        <f>IF(AND(A16&gt;0,NOT(A16="***")),Q16/T16,"")</f>
        <v/>
      </c>
      <c r="Y16" t="str">
        <f>IF(AND(A16&gt;0,NOT(A16="***")),1/3*($W$7/V16-1),"")</f>
        <v/>
      </c>
      <c r="Z16" t="str">
        <f t="shared" ref="Z16" si="5">IF(AND(A16&gt;0,NOT(A16="***")),W16*(1+Y16),"")</f>
        <v/>
      </c>
      <c r="AA16" t="str">
        <f t="shared" ref="AA16" si="6">IF(AND(A16&gt;0,NOT(A16="***")),X16*(1-Y16),"")</f>
        <v/>
      </c>
      <c r="AB16" t="str">
        <f>IF(AND(A16&gt;0,NOT(A16="***")),-X16/(3*V16),"")</f>
        <v/>
      </c>
      <c r="AC16" t="str">
        <f>IF(AND(A16&gt;0,NOT(A16="***")),W16/(3*V16),"")</f>
        <v/>
      </c>
    </row>
    <row r="17" spans="1:29" ht="15">
      <c r="A17" s="131">
        <f>A16+1</f>
        <v>1</v>
      </c>
      <c r="B17" s="101">
        <v>1.0802572999999999E-4</v>
      </c>
      <c r="C17" s="101">
        <v>1.6553788999999999E-4</v>
      </c>
      <c r="D17" s="101">
        <v>3.3239122000000001E-4</v>
      </c>
      <c r="E17" s="101">
        <v>4.5153681000000002E-5</v>
      </c>
      <c r="F17" s="101">
        <v>7.8358165999999998E-5</v>
      </c>
      <c r="G17" s="101">
        <v>1.1709116000000001E-4</v>
      </c>
      <c r="H17" s="101">
        <v>6.5988791999999999E-5</v>
      </c>
      <c r="I17" s="101">
        <v>3.9024049000000002E-4</v>
      </c>
      <c r="J17" s="101">
        <v>8.0116444999999994E-2</v>
      </c>
      <c r="K17" s="101">
        <v>6.4201017000000001E-4</v>
      </c>
      <c r="L17" s="101">
        <v>39.309834000000002</v>
      </c>
      <c r="M17" s="101">
        <v>8.1230478999999994E-2</v>
      </c>
      <c r="N17" s="101">
        <v>1.4879667000000001E-3</v>
      </c>
      <c r="O17" s="101">
        <v>39.860830999999997</v>
      </c>
      <c r="P17" s="106">
        <f t="shared" si="2"/>
        <v>16.106291662609845</v>
      </c>
      <c r="Q17" s="113">
        <f t="shared" si="3"/>
        <v>2.9251582700000003E-4</v>
      </c>
      <c r="R17" s="113">
        <f t="shared" si="4"/>
        <v>4.2328684999999952E-6</v>
      </c>
      <c r="S17" s="113">
        <f>N17-((D17+C17/2))</f>
        <v>1.072806535E-3</v>
      </c>
      <c r="T17" s="113">
        <f t="shared" ref="T17" si="7">J17-((B17+C17)/2)</f>
        <v>7.9979663189999994E-2</v>
      </c>
      <c r="U17" s="113">
        <f t="shared" ref="U17" si="8">M17-((C17+B17)/2)</f>
        <v>8.1093697189999994E-2</v>
      </c>
      <c r="V17" s="4">
        <f t="shared" ref="V17:V42" si="9">IF(AND(A17&gt;0,NOT(A17="***")),O17/U17,"")</f>
        <v>491.54043262582195</v>
      </c>
      <c r="W17" s="4">
        <f t="shared" ref="W17:W42" si="10">IF(AND(A17&gt;0,NOT(A17="***")),S17/U17,"")</f>
        <v>1.322922214887364E-2</v>
      </c>
      <c r="X17" s="4">
        <f t="shared" ref="X17" si="11">IF(AND(A17&gt;0,NOT(A17="***")),Q17/T17,"")</f>
        <v>3.6573775799117621E-3</v>
      </c>
      <c r="Y17">
        <f>IF(AND(A17&gt;0,NOT(A17="***")),1/3*($W$7/V17-1),"")</f>
        <v>5.1742091432919555E-6</v>
      </c>
      <c r="Z17">
        <f t="shared" ref="Z17:Z42" si="12">IF(AND(A17&gt;0,NOT(A17="***")),W17*(1+Y17),"")</f>
        <v>1.3229290599635842E-2</v>
      </c>
      <c r="AA17">
        <f t="shared" ref="AA17:AA42" si="13">IF(AND(A17&gt;0,NOT(A17="***")),X17*(1-Y17),"")</f>
        <v>3.6573586558752477E-3</v>
      </c>
      <c r="AB17">
        <f>IF(AND(A17&gt;0,NOT(A17="***")),-X17/(3*V17),"")</f>
        <v>-2.4802148084909004E-6</v>
      </c>
      <c r="AC17">
        <f>IF(AND(A17&gt;0,NOT(A17="***")),W17/(3*V17),"")</f>
        <v>8.9712675165586312E-6</v>
      </c>
    </row>
    <row r="18" spans="1:29" ht="15">
      <c r="A18" s="131">
        <f t="shared" ref="A18:A42" si="14">A17+1</f>
        <v>2</v>
      </c>
      <c r="B18" s="101">
        <v>1.0431937E-4</v>
      </c>
      <c r="C18" s="101">
        <v>1.8468050000000001E-4</v>
      </c>
      <c r="D18" s="101">
        <v>3.1800658999999999E-4</v>
      </c>
      <c r="E18" s="101">
        <v>5.7040229999999999E-5</v>
      </c>
      <c r="F18" s="101">
        <v>9.1259267000000005E-5</v>
      </c>
      <c r="G18" s="101">
        <v>1.0979721999999999E-4</v>
      </c>
      <c r="H18" s="101">
        <v>5.4750901999999997E-5</v>
      </c>
      <c r="I18" s="101">
        <v>4.1612303E-4</v>
      </c>
      <c r="J18" s="101">
        <v>8.5143188999999994E-2</v>
      </c>
      <c r="K18" s="101">
        <v>6.2739442999999999E-4</v>
      </c>
      <c r="L18" s="101">
        <v>41.790362000000002</v>
      </c>
      <c r="M18" s="101">
        <v>8.6163956999999999E-2</v>
      </c>
      <c r="N18" s="101">
        <v>1.5833329000000001E-3</v>
      </c>
      <c r="O18" s="101">
        <v>42.282553999999998</v>
      </c>
      <c r="P18" s="106">
        <f t="shared" ref="P18" si="15">(K18/O18)*1000000</f>
        <v>14.838139389593165</v>
      </c>
      <c r="Q18" s="113">
        <f t="shared" ref="Q18" si="16">I18-((F18+G18)/2)</f>
        <v>3.1559478649999999E-4</v>
      </c>
      <c r="R18" s="113">
        <f t="shared" ref="R18" si="17">H18-((E18+F18)/2)</f>
        <v>-1.9398846500000005E-5</v>
      </c>
      <c r="S18" s="113">
        <f t="shared" ref="S18" si="18">N18-((D18+C18/2))</f>
        <v>1.1729860600000002E-3</v>
      </c>
      <c r="T18" s="113">
        <f t="shared" ref="T18" si="19">J18-((B18+C18)/2)</f>
        <v>8.4998689064999994E-2</v>
      </c>
      <c r="U18" s="113">
        <f t="shared" ref="U18" si="20">M18-((C18+B18)/2)</f>
        <v>8.6019457064999999E-2</v>
      </c>
      <c r="V18" s="4">
        <f t="shared" si="9"/>
        <v>491.54639476565728</v>
      </c>
      <c r="W18" s="4">
        <f t="shared" si="10"/>
        <v>1.3636287649591202E-2</v>
      </c>
      <c r="X18" s="4">
        <f t="shared" ref="X18" si="21">IF(AND(A18&gt;0,NOT(A18="***")),Q18/T18,"")</f>
        <v>3.712937104931808E-3</v>
      </c>
      <c r="Y18">
        <f t="shared" ref="Y18" si="22">IF(AND(A18&gt;0,NOT(A18="***")),1/3*($W$7/V18-1),"")</f>
        <v>1.1310286508100138E-6</v>
      </c>
      <c r="Z18">
        <f t="shared" si="12"/>
        <v>1.3636303072623224E-2</v>
      </c>
      <c r="AA18">
        <f t="shared" si="13"/>
        <v>3.7129329054935633E-3</v>
      </c>
      <c r="AB18">
        <f t="shared" ref="AB18" si="23">IF(AND(A18&gt;0,NOT(A18="***")),-X18/(3*V18),"")</f>
        <v>-2.5178614161822475E-6</v>
      </c>
      <c r="AC18">
        <f t="shared" ref="AC18" si="24">IF(AND(A18&gt;0,NOT(A18="***")),W18/(3*V18),"")</f>
        <v>9.2472028376841521E-6</v>
      </c>
    </row>
    <row r="19" spans="1:29" ht="15">
      <c r="A19" s="131">
        <f t="shared" si="14"/>
        <v>3</v>
      </c>
      <c r="B19" s="101">
        <v>1.0538579E-4</v>
      </c>
      <c r="C19" s="101">
        <v>1.8480094E-4</v>
      </c>
      <c r="D19" s="101">
        <v>3.2770595999999998E-4</v>
      </c>
      <c r="E19" s="101">
        <v>4.8308001999999998E-5</v>
      </c>
      <c r="F19" s="101">
        <v>7.6122694000000006E-5</v>
      </c>
      <c r="G19" s="101">
        <v>1.1374384E-4</v>
      </c>
      <c r="H19" s="101">
        <v>5.8464536999999997E-5</v>
      </c>
      <c r="I19" s="101">
        <v>4.2240179000000002E-4</v>
      </c>
      <c r="J19" s="101">
        <v>8.8906578E-2</v>
      </c>
      <c r="K19" s="101">
        <v>6.1769598000000002E-4</v>
      </c>
      <c r="L19" s="101">
        <v>43.631691000000004</v>
      </c>
      <c r="M19" s="101">
        <v>8.9870305999999997E-2</v>
      </c>
      <c r="N19" s="101">
        <v>1.6395666000000001E-3</v>
      </c>
      <c r="O19" s="101">
        <v>44.106625000000001</v>
      </c>
      <c r="P19" s="106">
        <f t="shared" ref="P19" si="25">(K19/O19)*1000000</f>
        <v>14.004607697823173</v>
      </c>
      <c r="Q19" s="113">
        <f t="shared" ref="Q19" si="26">I19-((F19+G19)/2)</f>
        <v>3.27468523E-4</v>
      </c>
      <c r="R19" s="113">
        <f t="shared" ref="R19" si="27">H19-((E19+F19)/2)</f>
        <v>-3.7508110000000083E-6</v>
      </c>
      <c r="S19" s="113">
        <f t="shared" ref="S19" si="28">N19-((D19+C19/2))</f>
        <v>1.2194601700000001E-3</v>
      </c>
      <c r="T19" s="113">
        <f t="shared" ref="T19" si="29">J19-((B19+C19)/2)</f>
        <v>8.8761484634999999E-2</v>
      </c>
      <c r="U19" s="113">
        <f t="shared" ref="U19" si="30">M19-((C19+B19)/2)</f>
        <v>8.9725212634999996E-2</v>
      </c>
      <c r="V19" s="4">
        <f t="shared" si="9"/>
        <v>491.57448285382941</v>
      </c>
      <c r="W19" s="4">
        <f t="shared" si="10"/>
        <v>1.3591053553260828E-2</v>
      </c>
      <c r="X19" s="4">
        <f t="shared" ref="X19" si="31">IF(AND(A19&gt;0,NOT(A19="***")),Q19/T19,"")</f>
        <v>3.6893087620897477E-3</v>
      </c>
      <c r="Y19">
        <f t="shared" ref="Y19" si="32">IF(AND(A19&gt;0,NOT(A19="***")),1/3*($W$7/V19-1),"")</f>
        <v>-1.7915378663616956E-5</v>
      </c>
      <c r="Z19">
        <f t="shared" si="12"/>
        <v>1.3590810064389985E-2</v>
      </c>
      <c r="AA19">
        <f t="shared" si="13"/>
        <v>3.6893748574532278E-3</v>
      </c>
      <c r="AB19">
        <f t="shared" ref="AB19" si="33">IF(AND(A19&gt;0,NOT(A19="***")),-X19/(3*V19),"")</f>
        <v>-2.5016953284959739E-6</v>
      </c>
      <c r="AC19">
        <f t="shared" ref="AC19" si="34">IF(AND(A19&gt;0,NOT(A19="***")),W19/(3*V19),"")</f>
        <v>9.2160015266036196E-6</v>
      </c>
    </row>
    <row r="20" spans="1:29" ht="15">
      <c r="A20" s="131">
        <f t="shared" si="14"/>
        <v>4</v>
      </c>
      <c r="B20" s="101">
        <v>1.0191061999999999E-4</v>
      </c>
      <c r="C20" s="101">
        <v>1.5371226000000001E-4</v>
      </c>
      <c r="D20" s="101">
        <v>3.1218985000000001E-4</v>
      </c>
      <c r="E20" s="101">
        <v>3.5183703999999998E-5</v>
      </c>
      <c r="F20" s="101">
        <v>8.1007619999999995E-5</v>
      </c>
      <c r="G20" s="101">
        <v>9.2995064000000002E-5</v>
      </c>
      <c r="H20" s="101">
        <v>6.117893E-5</v>
      </c>
      <c r="I20" s="101">
        <v>4.2044438000000001E-4</v>
      </c>
      <c r="J20" s="101">
        <v>9.2302948999999995E-2</v>
      </c>
      <c r="K20" s="101">
        <v>6.3250011000000003E-4</v>
      </c>
      <c r="L20" s="101">
        <v>45.318601999999998</v>
      </c>
      <c r="M20" s="101">
        <v>9.2649432000000004E-2</v>
      </c>
      <c r="N20" s="101">
        <v>1.6768554E-3</v>
      </c>
      <c r="O20" s="101">
        <v>45.480314999999997</v>
      </c>
      <c r="P20" s="106">
        <f t="shared" ref="P20:P25" si="35">(K20/O20)*1000000</f>
        <v>13.907118057559629</v>
      </c>
      <c r="Q20" s="113">
        <f t="shared" ref="Q20:Q25" si="36">I20-((F20+G20)/2)</f>
        <v>3.3344303800000001E-4</v>
      </c>
      <c r="R20" s="113">
        <f t="shared" ref="R20:R25" si="37">H20-((E20+F20)/2)</f>
        <v>3.083268000000004E-6</v>
      </c>
      <c r="S20" s="113">
        <f t="shared" ref="S20:S25" si="38">N20-((D20+C20/2))</f>
        <v>1.2878094200000001E-3</v>
      </c>
      <c r="T20" s="113">
        <f t="shared" ref="T20:T25" si="39">J20-((B20+C20)/2)</f>
        <v>9.2175137559999995E-2</v>
      </c>
      <c r="U20" s="113">
        <f t="shared" ref="U20:U25" si="40">M20-((C20+B20)/2)</f>
        <v>9.2521620560000004E-2</v>
      </c>
      <c r="V20" s="4">
        <f t="shared" si="9"/>
        <v>491.56418494103383</v>
      </c>
      <c r="W20" s="4">
        <f t="shared" si="10"/>
        <v>1.3919010629141103E-2</v>
      </c>
      <c r="X20" s="4">
        <f t="shared" ref="X20:X25" si="41">IF(AND(A20&gt;0,NOT(A20="***")),Q20/T20,"")</f>
        <v>3.6174943355300163E-3</v>
      </c>
      <c r="Y20">
        <f t="shared" ref="Y20:Y25" si="42">IF(AND(A20&gt;0,NOT(A20="***")),1/3*($W$7/V20-1),"")</f>
        <v>-1.0932662646734315E-5</v>
      </c>
      <c r="Z20">
        <f t="shared" si="12"/>
        <v>1.3918858457293518E-2</v>
      </c>
      <c r="AA20">
        <f t="shared" si="13"/>
        <v>3.6175338843752133E-3</v>
      </c>
      <c r="AB20">
        <f t="shared" ref="AB20:AB25" si="43">IF(AND(A20&gt;0,NOT(A20="***")),-X20/(3*V20),"")</f>
        <v>-2.453049839913213E-6</v>
      </c>
      <c r="AC20">
        <f t="shared" ref="AC20:AC25" si="44">IF(AND(A20&gt;0,NOT(A20="***")),W20/(3*V20),"")</f>
        <v>9.4385847298257874E-6</v>
      </c>
    </row>
    <row r="21" spans="1:29" ht="15">
      <c r="A21" s="131">
        <f t="shared" si="14"/>
        <v>5</v>
      </c>
      <c r="B21" s="101">
        <v>1.3009065999999999E-4</v>
      </c>
      <c r="C21" s="101">
        <v>1.5106325E-4</v>
      </c>
      <c r="D21" s="101">
        <v>3.2228504000000001E-4</v>
      </c>
      <c r="E21" s="101">
        <v>4.6781789000000003E-5</v>
      </c>
      <c r="F21" s="101">
        <v>9.7913437999999994E-5</v>
      </c>
      <c r="G21" s="101">
        <v>1.0897032E-4</v>
      </c>
      <c r="H21" s="101">
        <v>4.8423359000000002E-5</v>
      </c>
      <c r="I21" s="101">
        <v>4.4020608000000001E-4</v>
      </c>
      <c r="J21" s="101">
        <v>9.6593910000000005E-2</v>
      </c>
      <c r="K21" s="101">
        <v>5.8703062000000001E-4</v>
      </c>
      <c r="L21" s="101">
        <v>47.427394</v>
      </c>
      <c r="M21" s="101">
        <v>9.7189394999999998E-2</v>
      </c>
      <c r="N21" s="101">
        <v>1.7398443E-3</v>
      </c>
      <c r="O21" s="101">
        <v>47.720753000000002</v>
      </c>
      <c r="P21" s="106">
        <f t="shared" si="35"/>
        <v>12.301369594901404</v>
      </c>
      <c r="Q21" s="113">
        <f t="shared" si="36"/>
        <v>3.3676420099999999E-4</v>
      </c>
      <c r="R21" s="113">
        <f t="shared" si="37"/>
        <v>-2.3924254499999989E-5</v>
      </c>
      <c r="S21" s="113">
        <f t="shared" si="38"/>
        <v>1.342027635E-3</v>
      </c>
      <c r="T21" s="113">
        <f t="shared" si="39"/>
        <v>9.6453333045000006E-2</v>
      </c>
      <c r="U21" s="113">
        <f t="shared" si="40"/>
        <v>9.7048818044999999E-2</v>
      </c>
      <c r="V21" s="4">
        <f t="shared" si="9"/>
        <v>491.71905399066935</v>
      </c>
      <c r="W21" s="4">
        <f t="shared" si="10"/>
        <v>1.3828376914160079E-2</v>
      </c>
      <c r="X21" s="4">
        <f t="shared" si="41"/>
        <v>3.4914729265279375E-3</v>
      </c>
      <c r="Y21">
        <f t="shared" si="42"/>
        <v>-1.1591399903213931E-4</v>
      </c>
      <c r="Z21">
        <f t="shared" si="12"/>
        <v>1.3826774011691835E-2</v>
      </c>
      <c r="AA21">
        <f t="shared" si="13"/>
        <v>3.4918776371173636E-3</v>
      </c>
      <c r="AB21">
        <f t="shared" si="43"/>
        <v>-2.366848100347826E-6</v>
      </c>
      <c r="AC21">
        <f t="shared" si="44"/>
        <v>9.3741719666493949E-6</v>
      </c>
    </row>
    <row r="22" spans="1:29" ht="15">
      <c r="A22" s="131">
        <f t="shared" si="14"/>
        <v>6</v>
      </c>
      <c r="B22" s="101">
        <v>8.3387987000000006E-5</v>
      </c>
      <c r="C22" s="101">
        <v>1.5774505999999999E-4</v>
      </c>
      <c r="D22" s="101">
        <v>3.0783977999999999E-4</v>
      </c>
      <c r="E22" s="101">
        <v>1.6354611000000001E-5</v>
      </c>
      <c r="F22" s="101">
        <v>6.1872442999999998E-5</v>
      </c>
      <c r="G22" s="101">
        <v>1.2354285E-4</v>
      </c>
      <c r="H22" s="101">
        <v>3.7188918999999998E-5</v>
      </c>
      <c r="I22" s="101">
        <v>4.5724171999999999E-4</v>
      </c>
      <c r="J22" s="101">
        <v>9.9376328E-2</v>
      </c>
      <c r="K22" s="101">
        <v>6.0279183000000003E-4</v>
      </c>
      <c r="L22" s="101">
        <v>48.801344999999998</v>
      </c>
      <c r="M22" s="101">
        <v>0.10017979</v>
      </c>
      <c r="N22" s="101">
        <v>1.8101337E-3</v>
      </c>
      <c r="O22" s="101">
        <v>49.198062999999998</v>
      </c>
      <c r="P22" s="106">
        <f t="shared" si="35"/>
        <v>12.252348837392237</v>
      </c>
      <c r="Q22" s="113">
        <f t="shared" si="36"/>
        <v>3.6453407349999999E-4</v>
      </c>
      <c r="R22" s="113">
        <f t="shared" si="37"/>
        <v>-1.9246080000000004E-6</v>
      </c>
      <c r="S22" s="113">
        <f t="shared" si="38"/>
        <v>1.42342139E-3</v>
      </c>
      <c r="T22" s="113">
        <f t="shared" si="39"/>
        <v>9.9255761476500004E-2</v>
      </c>
      <c r="U22" s="113">
        <f t="shared" si="40"/>
        <v>0.10005922347650001</v>
      </c>
      <c r="V22" s="4">
        <f t="shared" si="9"/>
        <v>491.68943442335126</v>
      </c>
      <c r="W22" s="4">
        <f t="shared" si="10"/>
        <v>1.422578889325786E-2</v>
      </c>
      <c r="X22" s="4">
        <f t="shared" si="41"/>
        <v>3.672674191173354E-3</v>
      </c>
      <c r="Y22">
        <f t="shared" si="42"/>
        <v>-9.5840849005823792E-5</v>
      </c>
      <c r="Z22">
        <f t="shared" si="12"/>
        <v>1.4224425481572552E-2</v>
      </c>
      <c r="AA22">
        <f t="shared" si="13"/>
        <v>3.6730261833859581E-3</v>
      </c>
      <c r="AB22">
        <f t="shared" si="43"/>
        <v>-2.4898333067231296E-6</v>
      </c>
      <c r="AC22">
        <f t="shared" si="44"/>
        <v>9.644156044652949E-6</v>
      </c>
    </row>
    <row r="23" spans="1:29" ht="15">
      <c r="A23" s="131">
        <f t="shared" si="14"/>
        <v>7</v>
      </c>
      <c r="B23" s="101">
        <v>6.7389555000000006E-5</v>
      </c>
      <c r="C23" s="101">
        <v>1.5435195E-4</v>
      </c>
      <c r="D23" s="101">
        <v>3.0863024000000002E-4</v>
      </c>
      <c r="E23" s="101">
        <v>5.6335059000000002E-6</v>
      </c>
      <c r="F23" s="101">
        <v>7.7868130999999999E-5</v>
      </c>
      <c r="G23" s="101">
        <v>1.2011046000000001E-4</v>
      </c>
      <c r="H23" s="101">
        <v>2.9992495000000001E-5</v>
      </c>
      <c r="I23" s="101">
        <v>4.6531212000000001E-4</v>
      </c>
      <c r="J23" s="101">
        <v>0.10228312000000001</v>
      </c>
      <c r="K23" s="101">
        <v>5.9514512999999996E-4</v>
      </c>
      <c r="L23" s="101">
        <v>50.220793999999998</v>
      </c>
      <c r="M23" s="101">
        <v>0.10241243999999999</v>
      </c>
      <c r="N23" s="101">
        <v>1.8319433E-3</v>
      </c>
      <c r="O23" s="101">
        <v>50.310454999999997</v>
      </c>
      <c r="P23" s="106">
        <f t="shared" si="35"/>
        <v>11.829452347429575</v>
      </c>
      <c r="Q23" s="113">
        <f t="shared" si="36"/>
        <v>3.6632282450000005E-4</v>
      </c>
      <c r="R23" s="113">
        <f t="shared" si="37"/>
        <v>-1.1758323449999997E-5</v>
      </c>
      <c r="S23" s="113">
        <f t="shared" si="38"/>
        <v>1.446137085E-3</v>
      </c>
      <c r="T23" s="113">
        <f t="shared" si="39"/>
        <v>0.1021722492475</v>
      </c>
      <c r="U23" s="113">
        <f t="shared" si="40"/>
        <v>0.10230156924749999</v>
      </c>
      <c r="V23" s="4">
        <f t="shared" si="9"/>
        <v>491.78576018011051</v>
      </c>
      <c r="W23" s="4">
        <f t="shared" si="10"/>
        <v>1.4136020548241398E-2</v>
      </c>
      <c r="X23" s="4">
        <f t="shared" si="41"/>
        <v>3.5853456021372986E-3</v>
      </c>
      <c r="Y23">
        <f t="shared" si="42"/>
        <v>-1.6111185976534306E-4</v>
      </c>
      <c r="Z23">
        <f t="shared" si="12"/>
        <v>1.4133743067681189E-2</v>
      </c>
      <c r="AA23">
        <f t="shared" si="13"/>
        <v>3.5859232438351604E-3</v>
      </c>
      <c r="AB23">
        <f t="shared" si="43"/>
        <v>-2.430154139222609E-6</v>
      </c>
      <c r="AC23">
        <f t="shared" si="44"/>
        <v>9.5814218933221749E-6</v>
      </c>
    </row>
    <row r="24" spans="1:29" ht="15">
      <c r="A24" s="131">
        <f t="shared" si="14"/>
        <v>8</v>
      </c>
      <c r="B24" s="101">
        <v>7.3223125999999998E-5</v>
      </c>
      <c r="C24" s="101">
        <v>1.5319606000000001E-4</v>
      </c>
      <c r="D24" s="101">
        <v>3.0884101999999999E-4</v>
      </c>
      <c r="E24" s="101">
        <v>1.5995528999999999E-5</v>
      </c>
      <c r="F24" s="101">
        <v>7.9829392000000003E-5</v>
      </c>
      <c r="G24" s="101">
        <v>1.1727271999999999E-4</v>
      </c>
      <c r="H24" s="101">
        <v>2.1858109000000001E-5</v>
      </c>
      <c r="I24" s="101">
        <v>4.4246604999999999E-4</v>
      </c>
      <c r="J24" s="101">
        <v>9.8271714999999996E-2</v>
      </c>
      <c r="K24" s="101">
        <v>5.6515833000000005E-4</v>
      </c>
      <c r="L24" s="101">
        <v>48.266688000000002</v>
      </c>
      <c r="M24" s="101">
        <v>9.7729978999999995E-2</v>
      </c>
      <c r="N24" s="101">
        <v>1.7338100999999999E-3</v>
      </c>
      <c r="O24" s="101">
        <v>47.993060999999997</v>
      </c>
      <c r="P24" s="106">
        <f t="shared" si="35"/>
        <v>11.775834219034291</v>
      </c>
      <c r="Q24" s="113">
        <f t="shared" si="36"/>
        <v>3.43914994E-4</v>
      </c>
      <c r="R24" s="113">
        <f t="shared" si="37"/>
        <v>-2.60543515E-5</v>
      </c>
      <c r="S24" s="113">
        <f t="shared" si="38"/>
        <v>1.3483710499999999E-3</v>
      </c>
      <c r="T24" s="113">
        <f t="shared" si="39"/>
        <v>9.8158505406999996E-2</v>
      </c>
      <c r="U24" s="113">
        <f t="shared" si="40"/>
        <v>9.7616769406999995E-2</v>
      </c>
      <c r="V24" s="4">
        <f t="shared" si="9"/>
        <v>491.64770860116647</v>
      </c>
      <c r="W24" s="4">
        <f t="shared" si="10"/>
        <v>1.3812903850343051E-2</v>
      </c>
      <c r="X24" s="4">
        <f t="shared" si="41"/>
        <v>3.503669830484953E-3</v>
      </c>
      <c r="Y24">
        <f t="shared" si="42"/>
        <v>-6.7559199130410669E-5</v>
      </c>
      <c r="Z24">
        <f t="shared" si="12"/>
        <v>1.3811970661621258E-2</v>
      </c>
      <c r="AA24">
        <f t="shared" si="13"/>
        <v>3.503906535612718E-3</v>
      </c>
      <c r="AB24">
        <f t="shared" si="43"/>
        <v>-2.3754609714705246E-6</v>
      </c>
      <c r="AC24">
        <f t="shared" si="44"/>
        <v>9.365041681060241E-6</v>
      </c>
    </row>
    <row r="25" spans="1:29" ht="15">
      <c r="A25" s="131">
        <f t="shared" si="14"/>
        <v>9</v>
      </c>
      <c r="B25" s="101">
        <v>3.4543384000000002E-5</v>
      </c>
      <c r="C25" s="101">
        <v>1.3978033E-4</v>
      </c>
      <c r="D25" s="101">
        <v>2.7446069999999999E-4</v>
      </c>
      <c r="E25" s="101">
        <v>8.4092369999999996E-7</v>
      </c>
      <c r="F25" s="101">
        <v>6.7092453000000007E-5</v>
      </c>
      <c r="G25" s="101">
        <v>8.6110850000000006E-5</v>
      </c>
      <c r="H25" s="101">
        <v>2.3924675999999999E-5</v>
      </c>
      <c r="I25" s="101">
        <v>4.2559474999999999E-4</v>
      </c>
      <c r="J25" s="101">
        <v>9.7264616999999998E-2</v>
      </c>
      <c r="K25" s="101">
        <v>5.3657607999999999E-4</v>
      </c>
      <c r="L25" s="101">
        <v>47.769359000000001</v>
      </c>
      <c r="M25" s="101">
        <v>9.6789598000000004E-2</v>
      </c>
      <c r="N25" s="101">
        <v>1.7139976000000001E-3</v>
      </c>
      <c r="O25" s="101">
        <v>47.538048000000003</v>
      </c>
      <c r="P25" s="106">
        <f t="shared" si="35"/>
        <v>11.287297282378947</v>
      </c>
      <c r="Q25" s="113">
        <f t="shared" si="36"/>
        <v>3.4899309849999996E-4</v>
      </c>
      <c r="R25" s="113">
        <f t="shared" si="37"/>
        <v>-1.0042012350000007E-5</v>
      </c>
      <c r="S25" s="113">
        <f t="shared" si="38"/>
        <v>1.3696467350000001E-3</v>
      </c>
      <c r="T25" s="113">
        <f t="shared" si="39"/>
        <v>9.7177455142999997E-2</v>
      </c>
      <c r="U25" s="113">
        <f t="shared" si="40"/>
        <v>9.6702436143000003E-2</v>
      </c>
      <c r="V25" s="4">
        <f t="shared" si="9"/>
        <v>491.59100738374872</v>
      </c>
      <c r="W25" s="4">
        <f t="shared" si="10"/>
        <v>1.4163518414103E-2</v>
      </c>
      <c r="X25" s="4">
        <f t="shared" si="41"/>
        <v>3.5912969524304222E-3</v>
      </c>
      <c r="Y25">
        <f t="shared" si="42"/>
        <v>-2.9119571811656954E-5</v>
      </c>
      <c r="Z25">
        <f t="shared" si="12"/>
        <v>1.4163105978511436E-2</v>
      </c>
      <c r="AA25">
        <f t="shared" si="13"/>
        <v>3.5914015294599253E-3</v>
      </c>
      <c r="AB25">
        <f t="shared" si="43"/>
        <v>-2.4351523241127713E-6</v>
      </c>
      <c r="AC25">
        <f t="shared" si="44"/>
        <v>9.6038632395395505E-6</v>
      </c>
    </row>
    <row r="26" spans="1:29" ht="15">
      <c r="A26" s="131">
        <f t="shared" si="14"/>
        <v>10</v>
      </c>
      <c r="B26" s="101">
        <v>5.4874675000000003E-5</v>
      </c>
      <c r="C26" s="101">
        <v>1.1122671E-4</v>
      </c>
      <c r="D26" s="101">
        <v>2.3553752E-4</v>
      </c>
      <c r="E26" s="101">
        <v>9.8903747999999994E-6</v>
      </c>
      <c r="F26" s="101">
        <v>7.9553364999999994E-5</v>
      </c>
      <c r="G26" s="101">
        <v>4.7539091000000002E-5</v>
      </c>
      <c r="H26" s="101">
        <v>2.544111E-5</v>
      </c>
      <c r="I26" s="101">
        <v>3.8696066999999997E-4</v>
      </c>
      <c r="J26" s="101">
        <v>8.6520067000000006E-2</v>
      </c>
      <c r="K26" s="101">
        <v>4.2869118000000002E-4</v>
      </c>
      <c r="L26" s="101">
        <v>42.524109000000003</v>
      </c>
      <c r="M26" s="101">
        <v>8.6710026999999995E-2</v>
      </c>
      <c r="N26" s="101">
        <v>1.4926553E-3</v>
      </c>
      <c r="O26" s="101">
        <v>42.620747999999999</v>
      </c>
      <c r="P26" s="106">
        <f t="shared" ref="P26:P30" si="45">(K26/O26)*1000000</f>
        <v>10.058274434789366</v>
      </c>
      <c r="Q26" s="113">
        <f t="shared" ref="Q26:Q30" si="46">I26-((F26+G26)/2)</f>
        <v>3.2341444199999997E-4</v>
      </c>
      <c r="R26" s="113">
        <f t="shared" ref="R26:R30" si="47">H26-((E26+F26)/2)</f>
        <v>-1.9280759899999996E-5</v>
      </c>
      <c r="S26" s="113">
        <f t="shared" ref="S26:S30" si="48">N26-((D26+C26/2))</f>
        <v>1.201504425E-3</v>
      </c>
      <c r="T26" s="113">
        <f t="shared" ref="T26:T30" si="49">J26-((B26+C26)/2)</f>
        <v>8.6437016307500003E-2</v>
      </c>
      <c r="U26" s="113">
        <f t="shared" ref="U26:U30" si="50">M26-((C26+B26)/2)</f>
        <v>8.6626976307499992E-2</v>
      </c>
      <c r="V26" s="4">
        <f t="shared" si="9"/>
        <v>492.00318211164409</v>
      </c>
      <c r="W26" s="4">
        <f t="shared" si="10"/>
        <v>1.386986451812674E-2</v>
      </c>
      <c r="X26" s="4">
        <f t="shared" ref="X26:X30" si="51">IF(AND(A26&gt;0,NOT(A26="***")),Q26/T26,"")</f>
        <v>3.7416196881374514E-3</v>
      </c>
      <c r="Y26">
        <f t="shared" ref="Y26:Y30" si="52">IF(AND(A26&gt;0,NOT(A26="***")),1/3*($W$7/V26-1),"")</f>
        <v>-3.0834454150374668E-4</v>
      </c>
      <c r="Z26">
        <f t="shared" si="12"/>
        <v>1.3865587821111179E-2</v>
      </c>
      <c r="AA26">
        <f t="shared" si="13"/>
        <v>3.7427733961446713E-3</v>
      </c>
      <c r="AB26">
        <f t="shared" ref="AB26:AB30" si="53">IF(AND(A26&gt;0,NOT(A26="***")),-X26/(3*V26),"")</f>
        <v>-2.5349562930864762E-6</v>
      </c>
      <c r="AC26">
        <f t="shared" ref="AC26:AC30" si="54">IF(AND(A26&gt;0,NOT(A26="***")),W26/(3*V26),"")</f>
        <v>9.3968664041278675E-6</v>
      </c>
    </row>
    <row r="27" spans="1:29" ht="15">
      <c r="A27" s="131">
        <f t="shared" si="14"/>
        <v>11</v>
      </c>
      <c r="B27" s="101">
        <v>4.0662920999999997E-5</v>
      </c>
      <c r="C27" s="101">
        <v>1.0866907E-4</v>
      </c>
      <c r="D27" s="101">
        <v>1.9693388999999999E-4</v>
      </c>
      <c r="E27" s="101">
        <v>1.1239957E-5</v>
      </c>
      <c r="F27" s="101">
        <v>5.3904708999999997E-5</v>
      </c>
      <c r="G27" s="101">
        <v>5.6517419000000001E-5</v>
      </c>
      <c r="H27" s="101">
        <v>1.3539528E-5</v>
      </c>
      <c r="I27" s="101">
        <v>3.8251887999999999E-4</v>
      </c>
      <c r="J27" s="101">
        <v>8.5132136999999997E-2</v>
      </c>
      <c r="K27" s="101">
        <v>3.9215555999999997E-4</v>
      </c>
      <c r="L27" s="101">
        <v>41.835106000000003</v>
      </c>
      <c r="M27" s="101">
        <v>8.4465623000000004E-2</v>
      </c>
      <c r="N27" s="101">
        <v>1.4749171999999999E-3</v>
      </c>
      <c r="O27" s="101">
        <v>41.516604000000001</v>
      </c>
      <c r="P27" s="106">
        <f t="shared" si="45"/>
        <v>9.4457523548891409</v>
      </c>
      <c r="Q27" s="113">
        <f t="shared" si="46"/>
        <v>3.2730781599999998E-4</v>
      </c>
      <c r="R27" s="113">
        <f t="shared" si="47"/>
        <v>-1.9032804999999999E-5</v>
      </c>
      <c r="S27" s="113">
        <f t="shared" si="48"/>
        <v>1.2236487749999999E-3</v>
      </c>
      <c r="T27" s="113">
        <f t="shared" si="49"/>
        <v>8.5057471004499993E-2</v>
      </c>
      <c r="U27" s="113">
        <f t="shared" si="50"/>
        <v>8.43909570045E-2</v>
      </c>
      <c r="V27" s="4">
        <f t="shared" si="9"/>
        <v>491.95560133043875</v>
      </c>
      <c r="W27" s="4">
        <f t="shared" si="10"/>
        <v>1.4499761804274253E-2</v>
      </c>
      <c r="X27" s="4">
        <f t="shared" si="51"/>
        <v>3.848078389053957E-3</v>
      </c>
      <c r="Y27">
        <f t="shared" si="52"/>
        <v>-2.7613515292324031E-4</v>
      </c>
      <c r="Z27">
        <f t="shared" si="12"/>
        <v>1.4495757910331079E-2</v>
      </c>
      <c r="AA27">
        <f t="shared" si="13"/>
        <v>3.8491409787683789E-3</v>
      </c>
      <c r="AB27">
        <f t="shared" si="53"/>
        <v>-2.6073344685626511E-6</v>
      </c>
      <c r="AC27">
        <f t="shared" si="54"/>
        <v>9.8245734405444128E-6</v>
      </c>
    </row>
    <row r="28" spans="1:29" ht="15">
      <c r="A28" s="131">
        <f t="shared" si="14"/>
        <v>12</v>
      </c>
      <c r="B28" s="101">
        <v>4.1122821000000003E-5</v>
      </c>
      <c r="C28" s="101">
        <v>1.0073233000000001E-4</v>
      </c>
      <c r="D28" s="101">
        <v>1.8348772E-4</v>
      </c>
      <c r="E28" s="101">
        <v>6.3317090000000003E-6</v>
      </c>
      <c r="F28" s="101">
        <v>5.3875395999999998E-5</v>
      </c>
      <c r="G28" s="101">
        <v>6.1797071000000006E-5</v>
      </c>
      <c r="H28" s="101">
        <v>2.0781879000000001E-5</v>
      </c>
      <c r="I28" s="101">
        <v>3.6172484000000001E-4</v>
      </c>
      <c r="J28" s="101">
        <v>8.3361629000000007E-2</v>
      </c>
      <c r="K28" s="101">
        <v>3.6729733999999999E-4</v>
      </c>
      <c r="L28" s="101">
        <v>40.975572</v>
      </c>
      <c r="M28" s="101">
        <v>8.2788344999999999E-2</v>
      </c>
      <c r="N28" s="101">
        <v>1.4094608E-3</v>
      </c>
      <c r="O28" s="101">
        <v>40.681980000000003</v>
      </c>
      <c r="P28" s="106">
        <f t="shared" si="45"/>
        <v>9.0285020542264647</v>
      </c>
      <c r="Q28" s="113">
        <f t="shared" si="46"/>
        <v>3.038886065E-4</v>
      </c>
      <c r="R28" s="113">
        <f t="shared" si="47"/>
        <v>-9.3216735000000001E-6</v>
      </c>
      <c r="S28" s="113">
        <f t="shared" si="48"/>
        <v>1.1756069150000001E-3</v>
      </c>
      <c r="T28" s="113">
        <f t="shared" si="49"/>
        <v>8.3290701424500013E-2</v>
      </c>
      <c r="U28" s="113">
        <f t="shared" si="50"/>
        <v>8.2717417424500006E-2</v>
      </c>
      <c r="V28" s="4">
        <f t="shared" si="9"/>
        <v>491.81878819091901</v>
      </c>
      <c r="W28" s="4">
        <f t="shared" si="10"/>
        <v>1.4212326153352535E-2</v>
      </c>
      <c r="X28" s="4">
        <f t="shared" si="51"/>
        <v>3.648529803479491E-3</v>
      </c>
      <c r="Y28">
        <f t="shared" si="52"/>
        <v>-1.8348598616339343E-4</v>
      </c>
      <c r="Z28">
        <f t="shared" si="12"/>
        <v>1.4209718390672612E-2</v>
      </c>
      <c r="AA28">
        <f t="shared" si="13"/>
        <v>3.6491992575685287E-3</v>
      </c>
      <c r="AB28">
        <f t="shared" si="53"/>
        <v>-2.472814439711325E-6</v>
      </c>
      <c r="AC28">
        <f t="shared" si="54"/>
        <v>9.632495067021483E-6</v>
      </c>
    </row>
    <row r="29" spans="1:29" ht="15">
      <c r="A29" s="131">
        <f t="shared" si="14"/>
        <v>13</v>
      </c>
      <c r="B29" s="101">
        <v>3.4329896E-5</v>
      </c>
      <c r="C29" s="101">
        <v>9.8050125999999996E-5</v>
      </c>
      <c r="D29" s="101">
        <v>1.8207077000000001E-4</v>
      </c>
      <c r="E29" s="101">
        <v>-5.1886317E-6</v>
      </c>
      <c r="F29" s="101">
        <v>4.8950930999999997E-5</v>
      </c>
      <c r="G29" s="101">
        <v>5.1595733999999998E-5</v>
      </c>
      <c r="H29" s="101">
        <v>9.7018857999999995E-6</v>
      </c>
      <c r="I29" s="101">
        <v>3.5938673000000001E-4</v>
      </c>
      <c r="J29" s="101">
        <v>8.0933692000000002E-2</v>
      </c>
      <c r="K29" s="101">
        <v>3.3851767000000002E-4</v>
      </c>
      <c r="L29" s="101">
        <v>39.788421</v>
      </c>
      <c r="M29" s="101">
        <v>8.0450740000000007E-2</v>
      </c>
      <c r="N29" s="101">
        <v>1.3795000999999999E-3</v>
      </c>
      <c r="O29" s="101">
        <v>39.536296</v>
      </c>
      <c r="P29" s="106">
        <f t="shared" si="45"/>
        <v>8.5621999086611442</v>
      </c>
      <c r="Q29" s="113">
        <f t="shared" si="46"/>
        <v>3.091133975E-4</v>
      </c>
      <c r="R29" s="113">
        <f t="shared" si="47"/>
        <v>-1.217926385E-5</v>
      </c>
      <c r="S29" s="113">
        <f t="shared" si="48"/>
        <v>1.1484042669999998E-3</v>
      </c>
      <c r="T29" s="113">
        <f t="shared" si="49"/>
        <v>8.0867501989000001E-2</v>
      </c>
      <c r="U29" s="113">
        <f t="shared" si="50"/>
        <v>8.0384549989000006E-2</v>
      </c>
      <c r="V29" s="4">
        <f t="shared" si="9"/>
        <v>491.83948912334807</v>
      </c>
      <c r="W29" s="4">
        <f t="shared" si="10"/>
        <v>1.4286380494226191E-2</v>
      </c>
      <c r="X29" s="4">
        <f t="shared" si="51"/>
        <v>3.8224674918491625E-3</v>
      </c>
      <c r="Y29">
        <f t="shared" si="52"/>
        <v>-1.9750786246897079E-4</v>
      </c>
      <c r="Z29">
        <f t="shared" si="12"/>
        <v>1.4283558821752357E-2</v>
      </c>
      <c r="AA29">
        <f t="shared" si="13"/>
        <v>3.8232224592328347E-3</v>
      </c>
      <c r="AB29">
        <f t="shared" si="53"/>
        <v>-2.5905927823880831E-6</v>
      </c>
      <c r="AC29">
        <f t="shared" si="54"/>
        <v>9.682278338196712E-6</v>
      </c>
    </row>
    <row r="30" spans="1:29" ht="15">
      <c r="A30" s="131">
        <f t="shared" si="14"/>
        <v>14</v>
      </c>
      <c r="B30" s="101">
        <v>3.1909785999999999E-5</v>
      </c>
      <c r="C30" s="101">
        <v>8.5093562999999993E-5</v>
      </c>
      <c r="D30" s="101">
        <v>1.5247943E-4</v>
      </c>
      <c r="E30" s="101">
        <v>-2.2708614999999998E-6</v>
      </c>
      <c r="F30" s="101">
        <v>5.3083963000000001E-5</v>
      </c>
      <c r="G30" s="101">
        <v>5.6457762000000003E-5</v>
      </c>
      <c r="H30" s="101">
        <v>-1.1778086999999999E-5</v>
      </c>
      <c r="I30" s="101">
        <v>3.4501369999999999E-4</v>
      </c>
      <c r="J30" s="101">
        <v>7.8863792000000002E-2</v>
      </c>
      <c r="K30" s="101">
        <v>3.2688709000000001E-4</v>
      </c>
      <c r="L30" s="101">
        <v>38.764471</v>
      </c>
      <c r="M30" s="101">
        <v>7.7826409999999999E-2</v>
      </c>
      <c r="N30" s="101">
        <v>1.3401011E-3</v>
      </c>
      <c r="O30" s="101">
        <v>38.261541000000001</v>
      </c>
      <c r="P30" s="106">
        <f t="shared" si="45"/>
        <v>8.5434899237330768</v>
      </c>
      <c r="Q30" s="113">
        <f t="shared" si="46"/>
        <v>2.9024283749999998E-4</v>
      </c>
      <c r="R30" s="113">
        <f t="shared" si="47"/>
        <v>-3.7184637750000001E-5</v>
      </c>
      <c r="S30" s="113">
        <f t="shared" si="48"/>
        <v>1.1450748885E-3</v>
      </c>
      <c r="T30" s="113">
        <f t="shared" si="49"/>
        <v>7.8805290325500002E-2</v>
      </c>
      <c r="U30" s="113">
        <f t="shared" si="50"/>
        <v>7.7767908325499999E-2</v>
      </c>
      <c r="V30" s="4">
        <f t="shared" si="9"/>
        <v>491.996529466308</v>
      </c>
      <c r="W30" s="4">
        <f t="shared" si="10"/>
        <v>1.4724259828453318E-2</v>
      </c>
      <c r="X30" s="4">
        <f t="shared" si="51"/>
        <v>3.6830374750371616E-3</v>
      </c>
      <c r="Y30">
        <f t="shared" si="52"/>
        <v>-3.0384146677497892E-4</v>
      </c>
      <c r="Z30">
        <f t="shared" si="12"/>
        <v>1.4719785987749865E-2</v>
      </c>
      <c r="AA30">
        <f t="shared" si="13"/>
        <v>3.6841565345457645E-3</v>
      </c>
      <c r="AB30">
        <f t="shared" si="53"/>
        <v>-2.4953004438414278E-6</v>
      </c>
      <c r="AC30">
        <f t="shared" si="54"/>
        <v>9.9758561606287617E-6</v>
      </c>
    </row>
    <row r="31" spans="1:29" ht="15">
      <c r="A31" s="131">
        <f t="shared" si="14"/>
        <v>15</v>
      </c>
      <c r="B31" s="101">
        <v>6.7046378999999998E-5</v>
      </c>
      <c r="C31" s="101">
        <v>5.6676604000000003E-5</v>
      </c>
      <c r="D31" s="101">
        <v>1.5861122999999999E-4</v>
      </c>
      <c r="E31" s="101">
        <v>1.8943854000000001E-5</v>
      </c>
      <c r="F31" s="101">
        <v>-2.9192556E-6</v>
      </c>
      <c r="G31" s="101">
        <v>6.605476E-5</v>
      </c>
      <c r="H31" s="101">
        <v>1.230037E-5</v>
      </c>
      <c r="I31" s="101">
        <v>2.9504058000000001E-4</v>
      </c>
      <c r="J31" s="101">
        <v>7.6267384999999993E-2</v>
      </c>
      <c r="K31" s="101">
        <v>2.8343112000000001E-4</v>
      </c>
      <c r="L31" s="101">
        <v>37.490698000000002</v>
      </c>
      <c r="M31" s="101">
        <v>7.5478294000000001E-2</v>
      </c>
      <c r="N31" s="101">
        <v>1.2988291000000001E-3</v>
      </c>
      <c r="O31" s="101">
        <v>37.126758000000002</v>
      </c>
      <c r="P31" s="106">
        <f t="shared" ref="P31:P32" si="55">(K31/O31)*1000000</f>
        <v>7.6341467789888897</v>
      </c>
      <c r="Q31" s="113">
        <f t="shared" ref="Q31:Q32" si="56">I31-((F31+G31)/2)</f>
        <v>2.6347282779999999E-4</v>
      </c>
      <c r="R31" s="113">
        <f t="shared" ref="R31:R32" si="57">H31-((E31+F31)/2)</f>
        <v>4.2880707999999996E-6</v>
      </c>
      <c r="S31" s="113">
        <f t="shared" ref="S31:S32" si="58">N31-((D31+C31/2))</f>
        <v>1.111879568E-3</v>
      </c>
      <c r="T31" s="113">
        <f t="shared" ref="T31:T32" si="59">J31-((B31+C31)/2)</f>
        <v>7.6205523508499989E-2</v>
      </c>
      <c r="U31" s="113">
        <f t="shared" ref="U31:U32" si="60">M31-((C31+B31)/2)</f>
        <v>7.5416432508499998E-2</v>
      </c>
      <c r="V31" s="4">
        <f t="shared" si="9"/>
        <v>492.29003235887006</v>
      </c>
      <c r="W31" s="4">
        <f t="shared" si="10"/>
        <v>1.4743200268385577E-2</v>
      </c>
      <c r="X31" s="4">
        <f t="shared" ref="X31:X32" si="61">IF(AND(A31&gt;0,NOT(A31="***")),Q31/T31,"")</f>
        <v>3.4573980424215858E-3</v>
      </c>
      <c r="Y31">
        <f t="shared" ref="Y31:Y32" si="62">IF(AND(A31&gt;0,NOT(A31="***")),1/3*($W$7/V31-1),"")</f>
        <v>-5.023933624998348E-4</v>
      </c>
      <c r="Z31">
        <f t="shared" si="12"/>
        <v>1.4735793382428735E-2</v>
      </c>
      <c r="AA31">
        <f t="shared" si="13"/>
        <v>3.4591350162496187E-3</v>
      </c>
      <c r="AB31">
        <f t="shared" ref="AB31:AB32" si="63">IF(AND(A31&gt;0,NOT(A31="***")),-X31/(3*V31),"")</f>
        <v>-2.3410305681354986E-6</v>
      </c>
      <c r="AC31">
        <f t="shared" ref="AC31:AC32" si="64">IF(AND(A31&gt;0,NOT(A31="***")),W31/(3*V31),"")</f>
        <v>9.9827332800420287E-6</v>
      </c>
    </row>
    <row r="32" spans="1:29" ht="15">
      <c r="A32" s="131">
        <f t="shared" si="14"/>
        <v>16</v>
      </c>
      <c r="B32" s="101">
        <v>2.4403385E-5</v>
      </c>
      <c r="C32" s="101">
        <v>3.9305840999999998E-5</v>
      </c>
      <c r="D32" s="101">
        <v>1.67999E-4</v>
      </c>
      <c r="E32" s="101">
        <v>6.8116723000000003E-6</v>
      </c>
      <c r="F32" s="101">
        <v>9.5963320000000008E-6</v>
      </c>
      <c r="G32" s="101">
        <v>6.4376608000000005E-5</v>
      </c>
      <c r="H32" s="101">
        <v>1.8126725E-6</v>
      </c>
      <c r="I32" s="101">
        <v>2.7994494E-4</v>
      </c>
      <c r="J32" s="101">
        <v>7.4714511999999997E-2</v>
      </c>
      <c r="K32" s="101">
        <v>3.0913142999999999E-4</v>
      </c>
      <c r="L32" s="101">
        <v>36.723232000000003</v>
      </c>
      <c r="M32" s="101">
        <v>7.4734318999999994E-2</v>
      </c>
      <c r="N32" s="101">
        <v>1.2980884999999999E-3</v>
      </c>
      <c r="O32" s="101">
        <v>36.750953000000003</v>
      </c>
      <c r="P32" s="106">
        <f t="shared" si="55"/>
        <v>8.4115214644910008</v>
      </c>
      <c r="Q32" s="113">
        <f t="shared" si="56"/>
        <v>2.4295847000000001E-4</v>
      </c>
      <c r="R32" s="113">
        <f t="shared" si="57"/>
        <v>-6.3913296500000007E-6</v>
      </c>
      <c r="S32" s="113">
        <f t="shared" si="58"/>
        <v>1.1104365794999999E-3</v>
      </c>
      <c r="T32" s="113">
        <f t="shared" si="59"/>
        <v>7.4682657387000001E-2</v>
      </c>
      <c r="U32" s="113">
        <f t="shared" si="60"/>
        <v>7.4702464386999998E-2</v>
      </c>
      <c r="V32" s="4">
        <f t="shared" si="9"/>
        <v>491.96439905395601</v>
      </c>
      <c r="W32" s="4">
        <f t="shared" si="10"/>
        <v>1.4864791792508015E-2</v>
      </c>
      <c r="X32" s="4">
        <f t="shared" si="61"/>
        <v>3.2532113679486149E-3</v>
      </c>
      <c r="Y32">
        <f t="shared" si="62"/>
        <v>-2.8209116346111784E-4</v>
      </c>
      <c r="Z32">
        <f t="shared" si="12"/>
        <v>1.4860598566096658E-2</v>
      </c>
      <c r="AA32">
        <f t="shared" si="13"/>
        <v>3.2541290701283846E-3</v>
      </c>
      <c r="AB32">
        <f t="shared" si="63"/>
        <v>-2.2042322399781479E-6</v>
      </c>
      <c r="AC32">
        <f t="shared" si="64"/>
        <v>1.0071725935923345E-5</v>
      </c>
    </row>
    <row r="33" spans="1:29" ht="15">
      <c r="A33" s="131">
        <f t="shared" si="14"/>
        <v>17</v>
      </c>
      <c r="B33" s="101">
        <v>2.5697013E-5</v>
      </c>
      <c r="C33" s="101">
        <v>3.4360053000000001E-5</v>
      </c>
      <c r="D33" s="101">
        <v>1.4809719E-4</v>
      </c>
      <c r="E33" s="101">
        <v>-1.3279183E-5</v>
      </c>
      <c r="F33" s="101">
        <v>-8.4758252999999993E-6</v>
      </c>
      <c r="G33" s="101">
        <v>5.7715323999999998E-5</v>
      </c>
      <c r="H33" s="101">
        <v>4.4875726999999997E-6</v>
      </c>
      <c r="I33" s="101">
        <v>2.8631644999999999E-4</v>
      </c>
      <c r="J33" s="101">
        <v>7.4529331000000004E-2</v>
      </c>
      <c r="K33" s="101">
        <v>2.9025512999999997E-4</v>
      </c>
      <c r="L33" s="101">
        <v>36.632897999999997</v>
      </c>
      <c r="M33" s="101">
        <v>7.4317388999999998E-2</v>
      </c>
      <c r="N33" s="101">
        <v>1.2693069000000001E-3</v>
      </c>
      <c r="O33" s="101">
        <v>36.555922000000002</v>
      </c>
      <c r="P33" s="106">
        <f t="shared" ref="P33:P35" si="65">(K33/O33)*1000000</f>
        <v>7.9400303458356198</v>
      </c>
      <c r="Q33" s="113">
        <f t="shared" ref="Q33:Q35" si="66">I33-((F33+G33)/2)</f>
        <v>2.6169670065E-4</v>
      </c>
      <c r="R33" s="113">
        <f t="shared" ref="R33:R35" si="67">H33-((E33+F33)/2)</f>
        <v>1.5365076849999999E-5</v>
      </c>
      <c r="S33" s="113">
        <f t="shared" ref="S33:S35" si="68">N33-((D33+C33/2))</f>
        <v>1.1040296835000002E-3</v>
      </c>
      <c r="T33" s="113">
        <f t="shared" ref="T33:T35" si="69">J33-((B33+C33)/2)</f>
        <v>7.4499302466999998E-2</v>
      </c>
      <c r="U33" s="113">
        <f t="shared" ref="U33:U35" si="70">M33-((C33+B33)/2)</f>
        <v>7.4287360466999991E-2</v>
      </c>
      <c r="V33" s="4">
        <f t="shared" si="9"/>
        <v>492.08804526362076</v>
      </c>
      <c r="W33" s="4">
        <f t="shared" si="10"/>
        <v>1.4861608711894313E-2</v>
      </c>
      <c r="X33" s="4">
        <f t="shared" ref="X33:X35" si="71">IF(AND(A33&gt;0,NOT(A33="***")),Q33/T33,"")</f>
        <v>3.5127402805673305E-3</v>
      </c>
      <c r="Y33">
        <f t="shared" ref="Y33:Y35" si="72">IF(AND(A33&gt;0,NOT(A33="***")),1/3*($W$7/V33-1),"")</f>
        <v>-3.6577643912427682E-4</v>
      </c>
      <c r="Z33">
        <f t="shared" si="12"/>
        <v>1.4856172685580017E-2</v>
      </c>
      <c r="AA33">
        <f t="shared" si="13"/>
        <v>3.514025158198725E-3</v>
      </c>
      <c r="AB33">
        <f t="shared" ref="AB33:AB35" si="73">IF(AND(A33&gt;0,NOT(A33="***")),-X33/(3*V33),"")</f>
        <v>-2.3794795222641441E-6</v>
      </c>
      <c r="AC33">
        <f t="shared" ref="AC33:AC35" si="74">IF(AND(A33&gt;0,NOT(A33="***")),W33/(3*V33),"")</f>
        <v>1.0067039055942839E-5</v>
      </c>
    </row>
    <row r="34" spans="1:29" ht="15">
      <c r="A34" s="131">
        <f t="shared" si="14"/>
        <v>18</v>
      </c>
      <c r="B34" s="101">
        <v>1.9886662E-5</v>
      </c>
      <c r="C34" s="101">
        <v>4.2065238999999998E-5</v>
      </c>
      <c r="D34" s="101">
        <v>1.5095542000000001E-4</v>
      </c>
      <c r="E34" s="101">
        <v>-8.1048585000000008E-6</v>
      </c>
      <c r="F34" s="101">
        <v>1.4461034000000001E-6</v>
      </c>
      <c r="G34" s="101">
        <v>6.6193995999999999E-5</v>
      </c>
      <c r="H34" s="101">
        <v>-2.4627677000000001E-6</v>
      </c>
      <c r="I34" s="101">
        <v>2.7486284000000002E-4</v>
      </c>
      <c r="J34" s="101">
        <v>7.3794124000000003E-2</v>
      </c>
      <c r="K34" s="101">
        <v>2.9038191999999999E-4</v>
      </c>
      <c r="L34" s="101">
        <v>36.290312999999998</v>
      </c>
      <c r="M34" s="101">
        <v>7.3680032000000006E-2</v>
      </c>
      <c r="N34" s="101">
        <v>1.2589458000000001E-3</v>
      </c>
      <c r="O34" s="101">
        <v>36.248964999999998</v>
      </c>
      <c r="P34" s="106">
        <f t="shared" si="65"/>
        <v>8.010764445274507</v>
      </c>
      <c r="Q34" s="113">
        <f t="shared" si="66"/>
        <v>2.4104279030000002E-4</v>
      </c>
      <c r="R34" s="113">
        <f t="shared" si="67"/>
        <v>8.6660985000000025E-7</v>
      </c>
      <c r="S34" s="113">
        <f t="shared" si="68"/>
        <v>1.0869577605000002E-3</v>
      </c>
      <c r="T34" s="113">
        <f t="shared" si="69"/>
        <v>7.3763148049500002E-2</v>
      </c>
      <c r="U34" s="113">
        <f t="shared" si="70"/>
        <v>7.3649056049500006E-2</v>
      </c>
      <c r="V34" s="4">
        <f t="shared" si="9"/>
        <v>492.18505904049653</v>
      </c>
      <c r="W34" s="4">
        <f t="shared" si="10"/>
        <v>1.4758610887958276E-2</v>
      </c>
      <c r="X34" s="4">
        <f t="shared" si="71"/>
        <v>3.2677942397231229E-3</v>
      </c>
      <c r="Y34">
        <f t="shared" si="72"/>
        <v>-4.3140711945085136E-4</v>
      </c>
      <c r="Z34">
        <f t="shared" si="12"/>
        <v>1.4752243918148005E-2</v>
      </c>
      <c r="AA34">
        <f t="shared" si="13"/>
        <v>3.2692039894230401E-3</v>
      </c>
      <c r="AB34">
        <f t="shared" si="73"/>
        <v>-2.2131203021438133E-6</v>
      </c>
      <c r="AC34">
        <f t="shared" si="74"/>
        <v>9.9952992726826837E-6</v>
      </c>
    </row>
    <row r="35" spans="1:29" ht="15">
      <c r="A35" s="131">
        <f t="shared" si="14"/>
        <v>19</v>
      </c>
      <c r="B35" s="101">
        <v>1.8242230000000002E-5</v>
      </c>
      <c r="C35" s="101">
        <v>3.1434811999999999E-5</v>
      </c>
      <c r="D35" s="101">
        <v>1.3699413000000001E-4</v>
      </c>
      <c r="E35" s="101">
        <v>-7.6736636000000008E-6</v>
      </c>
      <c r="F35" s="101">
        <v>-1.479217E-6</v>
      </c>
      <c r="G35" s="101">
        <v>4.4114425999999997E-5</v>
      </c>
      <c r="H35" s="101">
        <v>-9.6030766000000003E-6</v>
      </c>
      <c r="I35" s="101">
        <v>2.7425209000000002E-4</v>
      </c>
      <c r="J35" s="101">
        <v>7.3905803000000006E-2</v>
      </c>
      <c r="K35" s="101">
        <v>2.9282068E-4</v>
      </c>
      <c r="L35" s="101">
        <v>36.329293</v>
      </c>
      <c r="M35" s="101">
        <v>7.3320769999999993E-2</v>
      </c>
      <c r="N35" s="101">
        <v>1.2553967E-3</v>
      </c>
      <c r="O35" s="101">
        <v>36.078698000000003</v>
      </c>
      <c r="P35" s="106">
        <f t="shared" si="65"/>
        <v>8.1161653893386063</v>
      </c>
      <c r="Q35" s="113">
        <f t="shared" si="66"/>
        <v>2.5293448550000003E-4</v>
      </c>
      <c r="R35" s="113">
        <f t="shared" si="67"/>
        <v>-5.0266363000000003E-6</v>
      </c>
      <c r="S35" s="113">
        <f t="shared" si="68"/>
        <v>1.1026851639999999E-3</v>
      </c>
      <c r="T35" s="113">
        <f t="shared" si="69"/>
        <v>7.3880964479E-2</v>
      </c>
      <c r="U35" s="113">
        <f t="shared" si="70"/>
        <v>7.3295931478999987E-2</v>
      </c>
      <c r="V35" s="4">
        <f t="shared" si="9"/>
        <v>492.23329688274595</v>
      </c>
      <c r="W35" s="4">
        <f t="shared" si="10"/>
        <v>1.5044288840451264E-2</v>
      </c>
      <c r="X35" s="4">
        <f t="shared" si="71"/>
        <v>3.4235406546688271E-3</v>
      </c>
      <c r="Y35">
        <f t="shared" si="72"/>
        <v>-4.6403081781284011E-4</v>
      </c>
      <c r="Z35">
        <f t="shared" si="12"/>
        <v>1.5037307826797216E-2</v>
      </c>
      <c r="AA35">
        <f t="shared" si="13"/>
        <v>3.4251292830386284E-3</v>
      </c>
      <c r="AB35">
        <f t="shared" si="73"/>
        <v>-2.318372660788896E-6</v>
      </c>
      <c r="AC35">
        <f t="shared" si="74"/>
        <v>1.0187776768810595E-5</v>
      </c>
    </row>
    <row r="36" spans="1:29" ht="15">
      <c r="A36" s="131">
        <f t="shared" si="14"/>
        <v>20</v>
      </c>
      <c r="B36" s="101">
        <v>3.1978086E-5</v>
      </c>
      <c r="C36" s="101">
        <v>6.2563621999999999E-5</v>
      </c>
      <c r="D36" s="101">
        <v>1.2931084E-4</v>
      </c>
      <c r="E36" s="101">
        <v>8.0796902000000008E-6</v>
      </c>
      <c r="F36" s="101">
        <v>5.4853087999999999E-5</v>
      </c>
      <c r="G36" s="101">
        <v>3.8990840000000002E-5</v>
      </c>
      <c r="H36" s="101">
        <v>-1.1633803000000001E-6</v>
      </c>
      <c r="I36" s="101">
        <v>3.0557354000000002E-4</v>
      </c>
      <c r="J36" s="101">
        <v>7.4982963E-2</v>
      </c>
      <c r="K36" s="101">
        <v>3.1300620000000002E-4</v>
      </c>
      <c r="L36" s="101">
        <v>36.872304999999997</v>
      </c>
      <c r="M36" s="101">
        <v>7.3575394000000002E-2</v>
      </c>
      <c r="N36" s="101">
        <v>1.2466822999999999E-3</v>
      </c>
      <c r="O36" s="101">
        <v>36.187880999999997</v>
      </c>
      <c r="P36" s="106">
        <f t="shared" ref="P36:P42" si="75">(K36/O36)*1000000</f>
        <v>8.6494757733949683</v>
      </c>
      <c r="Q36" s="113">
        <f t="shared" ref="Q36:Q42" si="76">I36-((F36+G36)/2)</f>
        <v>2.5865157600000002E-4</v>
      </c>
      <c r="R36" s="113">
        <f t="shared" ref="R36:R42" si="77">H36-((E36+F36)/2)</f>
        <v>-3.2629769400000006E-5</v>
      </c>
      <c r="S36" s="113">
        <f t="shared" ref="S36:S42" si="78">N36-((D36+C36/2))</f>
        <v>1.0860896489999999E-3</v>
      </c>
      <c r="T36" s="113">
        <f t="shared" ref="T36:T42" si="79">J36-((B36+C36)/2)</f>
        <v>7.4935692146000002E-2</v>
      </c>
      <c r="U36" s="113">
        <f t="shared" ref="U36:U42" si="80">M36-((C36+B36)/2)</f>
        <v>7.3528123146000005E-2</v>
      </c>
      <c r="V36" s="4">
        <f t="shared" si="9"/>
        <v>492.16380687623536</v>
      </c>
      <c r="W36" s="4">
        <f t="shared" si="10"/>
        <v>1.4771078092710492E-2</v>
      </c>
      <c r="X36" s="4">
        <f t="shared" ref="X36:X42" si="81">IF(AND(A36&gt;0,NOT(A36="***")),Q36/T36,"")</f>
        <v>3.4516472537020077E-3</v>
      </c>
      <c r="Y36">
        <f t="shared" ref="Y36:Y42" si="82">IF(AND(A36&gt;0,NOT(A36="***")),1/3*($W$7/V36-1),"")</f>
        <v>-4.1703205505176178E-4</v>
      </c>
      <c r="Z36">
        <f t="shared" si="12"/>
        <v>1.4764918079658159E-2</v>
      </c>
      <c r="AA36">
        <f t="shared" si="13"/>
        <v>3.453086701249533E-3</v>
      </c>
      <c r="AB36">
        <f t="shared" ref="AB36:AB42" si="83">IF(AND(A36&gt;0,NOT(A36="***")),-X36/(3*V36),"")</f>
        <v>-2.3377360717966507E-6</v>
      </c>
      <c r="AC36">
        <f t="shared" ref="AC36:AC44" si="84">IF(AND(A36&gt;0,NOT(A36="***")),W36/(3*V36),"")</f>
        <v>1.0004174684889674E-5</v>
      </c>
    </row>
    <row r="37" spans="1:29" ht="15">
      <c r="A37" s="131">
        <f t="shared" si="14"/>
        <v>21</v>
      </c>
      <c r="B37" s="101">
        <v>2.7890856000000001E-5</v>
      </c>
      <c r="C37" s="101">
        <v>7.3965092999999995E-5</v>
      </c>
      <c r="D37" s="101">
        <v>1.0826751999999999E-4</v>
      </c>
      <c r="E37" s="101">
        <v>-1.0655306E-6</v>
      </c>
      <c r="F37" s="101">
        <v>3.2935036999999997E-5</v>
      </c>
      <c r="G37" s="101">
        <v>2.1928959000000001E-5</v>
      </c>
      <c r="H37" s="101">
        <v>-1.8610574E-5</v>
      </c>
      <c r="I37" s="101">
        <v>2.9372486000000001E-4</v>
      </c>
      <c r="J37" s="101">
        <v>6.9012293000000002E-2</v>
      </c>
      <c r="K37" s="101">
        <v>2.7538631999999999E-4</v>
      </c>
      <c r="L37" s="101">
        <v>33.937167000000002</v>
      </c>
      <c r="M37" s="101">
        <v>6.6846382999999995E-2</v>
      </c>
      <c r="N37" s="101">
        <v>1.1319587E-3</v>
      </c>
      <c r="O37" s="101">
        <v>32.861482000000002</v>
      </c>
      <c r="P37" s="106">
        <f t="shared" si="75"/>
        <v>8.3802160839854984</v>
      </c>
      <c r="Q37" s="113">
        <f t="shared" si="76"/>
        <v>2.6629286200000003E-4</v>
      </c>
      <c r="R37" s="113">
        <f t="shared" si="77"/>
        <v>-3.45453272E-5</v>
      </c>
      <c r="S37" s="113">
        <f t="shared" si="78"/>
        <v>9.8670863350000006E-4</v>
      </c>
      <c r="T37" s="113">
        <f t="shared" si="79"/>
        <v>6.8961365025500002E-2</v>
      </c>
      <c r="U37" s="113">
        <f t="shared" si="80"/>
        <v>6.6795455025499995E-2</v>
      </c>
      <c r="V37" s="4">
        <f t="shared" si="9"/>
        <v>491.97182633840464</v>
      </c>
      <c r="W37" s="4">
        <f t="shared" si="10"/>
        <v>1.4772092399450109E-2</v>
      </c>
      <c r="X37" s="4">
        <f t="shared" si="81"/>
        <v>3.8614789875683624E-3</v>
      </c>
      <c r="Y37">
        <f t="shared" si="82"/>
        <v>-2.8711922844193438E-4</v>
      </c>
      <c r="Z37">
        <f t="shared" si="12"/>
        <v>1.4767851047677905E-2</v>
      </c>
      <c r="AA37">
        <f t="shared" si="13"/>
        <v>3.8625876924359179E-3</v>
      </c>
      <c r="AB37">
        <f t="shared" si="83"/>
        <v>-2.6163279960617298E-6</v>
      </c>
      <c r="AC37">
        <f t="shared" si="84"/>
        <v>1.0008765819914433E-5</v>
      </c>
    </row>
    <row r="38" spans="1:29" ht="15">
      <c r="A38" s="131">
        <f t="shared" si="14"/>
        <v>22</v>
      </c>
      <c r="B38" s="101">
        <v>1.5809913000000001E-5</v>
      </c>
      <c r="C38" s="101">
        <v>6.1715825999999994E-5</v>
      </c>
      <c r="D38" s="101">
        <v>1.1124568E-4</v>
      </c>
      <c r="E38" s="101">
        <v>-5.8977868000000001E-6</v>
      </c>
      <c r="F38" s="101">
        <v>4.8531225999999998E-5</v>
      </c>
      <c r="G38" s="101">
        <v>3.9888048E-5</v>
      </c>
      <c r="H38" s="101">
        <v>-1.3597736E-5</v>
      </c>
      <c r="I38" s="101">
        <v>2.6701652E-4</v>
      </c>
      <c r="J38" s="101">
        <v>6.3387315E-2</v>
      </c>
      <c r="K38" s="101">
        <v>2.5250704000000002E-4</v>
      </c>
      <c r="L38" s="101">
        <v>31.174019000000001</v>
      </c>
      <c r="M38" s="101">
        <v>6.3222379999999995E-2</v>
      </c>
      <c r="N38" s="101">
        <v>1.0600097E-3</v>
      </c>
      <c r="O38" s="101">
        <v>31.086274</v>
      </c>
      <c r="P38" s="106">
        <f t="shared" si="75"/>
        <v>8.1227824215922446</v>
      </c>
      <c r="Q38" s="113">
        <f t="shared" si="76"/>
        <v>2.22806883E-4</v>
      </c>
      <c r="R38" s="113">
        <f t="shared" si="77"/>
        <v>-3.4914455599999999E-5</v>
      </c>
      <c r="S38" s="113">
        <f t="shared" si="78"/>
        <v>9.1790610700000002E-4</v>
      </c>
      <c r="T38" s="113">
        <f t="shared" si="79"/>
        <v>6.3348552130500002E-2</v>
      </c>
      <c r="U38" s="113">
        <f t="shared" si="80"/>
        <v>6.3183617130499997E-2</v>
      </c>
      <c r="V38" s="4">
        <f t="shared" si="9"/>
        <v>491.99896130976703</v>
      </c>
      <c r="W38" s="4">
        <f t="shared" si="10"/>
        <v>1.4527596688618645E-2</v>
      </c>
      <c r="X38" s="4">
        <f t="shared" si="81"/>
        <v>3.5171582539252175E-3</v>
      </c>
      <c r="Y38">
        <f t="shared" si="82"/>
        <v>-3.0548755885066259E-4</v>
      </c>
      <c r="Z38">
        <f t="shared" si="12"/>
        <v>1.4523158688570273E-2</v>
      </c>
      <c r="AA38">
        <f t="shared" si="13"/>
        <v>3.5182327020143005E-3</v>
      </c>
      <c r="AB38">
        <f t="shared" si="83"/>
        <v>-2.3829035767081512E-6</v>
      </c>
      <c r="AC38">
        <f t="shared" si="84"/>
        <v>9.8425659612127638E-6</v>
      </c>
    </row>
    <row r="39" spans="1:29" ht="15">
      <c r="A39" s="131">
        <f t="shared" si="14"/>
        <v>23</v>
      </c>
      <c r="B39" s="101">
        <v>4.6398731999999996E-6</v>
      </c>
      <c r="C39" s="101">
        <v>5.3610638000000002E-5</v>
      </c>
      <c r="D39" s="101">
        <v>1.2014251E-4</v>
      </c>
      <c r="E39" s="101">
        <v>5.3017271000000003E-7</v>
      </c>
      <c r="F39" s="101">
        <v>2.9748592E-5</v>
      </c>
      <c r="G39" s="101">
        <v>1.9003663000000001E-5</v>
      </c>
      <c r="H39" s="101">
        <v>9.7506777999999996E-6</v>
      </c>
      <c r="I39" s="101">
        <v>2.6618326000000001E-4</v>
      </c>
      <c r="J39" s="101">
        <v>6.2638814000000001E-2</v>
      </c>
      <c r="K39" s="101">
        <v>2.3836188000000001E-4</v>
      </c>
      <c r="L39" s="101">
        <v>30.8109</v>
      </c>
      <c r="M39" s="101">
        <v>6.2647930000000004E-2</v>
      </c>
      <c r="N39" s="101">
        <v>1.0513955000000001E-3</v>
      </c>
      <c r="O39" s="101">
        <v>30.811302000000001</v>
      </c>
      <c r="P39" s="106">
        <f t="shared" si="75"/>
        <v>7.7361833005304348</v>
      </c>
      <c r="Q39" s="113">
        <f t="shared" si="76"/>
        <v>2.4180713250000001E-4</v>
      </c>
      <c r="R39" s="113">
        <f t="shared" si="77"/>
        <v>-5.3887045550000011E-6</v>
      </c>
      <c r="S39" s="113">
        <f t="shared" si="78"/>
        <v>9.0444767100000009E-4</v>
      </c>
      <c r="T39" s="113">
        <f t="shared" si="79"/>
        <v>6.2609688744399997E-2</v>
      </c>
      <c r="U39" s="113">
        <f t="shared" si="80"/>
        <v>6.26188047444E-2</v>
      </c>
      <c r="V39" s="4">
        <f t="shared" si="9"/>
        <v>492.04551453460084</v>
      </c>
      <c r="W39" s="4">
        <f t="shared" si="10"/>
        <v>1.4443707041228455E-2</v>
      </c>
      <c r="X39" s="4">
        <f t="shared" si="81"/>
        <v>3.862135994433098E-3</v>
      </c>
      <c r="Y39">
        <f t="shared" si="82"/>
        <v>-3.3699586392058978E-4</v>
      </c>
      <c r="Z39">
        <f t="shared" si="12"/>
        <v>1.443883957169588E-2</v>
      </c>
      <c r="AA39">
        <f t="shared" si="13"/>
        <v>3.8634375182891208E-3</v>
      </c>
      <c r="AB39">
        <f t="shared" si="83"/>
        <v>-2.6163812630802953E-6</v>
      </c>
      <c r="AC39">
        <f t="shared" si="84"/>
        <v>9.7848041929549092E-6</v>
      </c>
    </row>
    <row r="40" spans="1:29" ht="15">
      <c r="A40" s="131">
        <f t="shared" si="14"/>
        <v>24</v>
      </c>
      <c r="B40" s="101">
        <v>1.0556065E-5</v>
      </c>
      <c r="C40" s="101">
        <v>5.4977333000000003E-5</v>
      </c>
      <c r="D40" s="101">
        <v>1.0055452E-4</v>
      </c>
      <c r="E40" s="101">
        <v>9.9684114999999991E-7</v>
      </c>
      <c r="F40" s="101">
        <v>2.5816709000000001E-5</v>
      </c>
      <c r="G40" s="101">
        <v>3.4610365000000001E-5</v>
      </c>
      <c r="H40" s="101">
        <v>1.364966E-5</v>
      </c>
      <c r="I40" s="101">
        <v>2.5780691000000001E-4</v>
      </c>
      <c r="J40" s="101">
        <v>6.1872492000000001E-2</v>
      </c>
      <c r="K40" s="101">
        <v>2.5353312000000002E-4</v>
      </c>
      <c r="L40" s="101">
        <v>30.431975999999999</v>
      </c>
      <c r="M40" s="101">
        <v>6.1556503999999998E-2</v>
      </c>
      <c r="N40" s="101">
        <v>1.0421629E-3</v>
      </c>
      <c r="O40" s="101">
        <v>30.282858999999998</v>
      </c>
      <c r="P40" s="106">
        <f t="shared" si="75"/>
        <v>8.3721659173593892</v>
      </c>
      <c r="Q40" s="113">
        <f t="shared" si="76"/>
        <v>2.2759337300000003E-4</v>
      </c>
      <c r="R40" s="113">
        <f t="shared" si="77"/>
        <v>2.4288492499999925E-7</v>
      </c>
      <c r="S40" s="113">
        <f t="shared" si="78"/>
        <v>9.1411971349999999E-4</v>
      </c>
      <c r="T40" s="113">
        <f t="shared" si="79"/>
        <v>6.1839725301000001E-2</v>
      </c>
      <c r="U40" s="113">
        <f t="shared" si="80"/>
        <v>6.1523737300999998E-2</v>
      </c>
      <c r="V40" s="4">
        <f t="shared" si="9"/>
        <v>492.21423028714133</v>
      </c>
      <c r="W40" s="4">
        <f t="shared" si="10"/>
        <v>1.4858000401174297E-2</v>
      </c>
      <c r="X40" s="4">
        <f t="shared" si="81"/>
        <v>3.6803749028995066E-3</v>
      </c>
      <c r="Y40">
        <f t="shared" si="82"/>
        <v>-4.5113666727895441E-4</v>
      </c>
      <c r="Z40">
        <f t="shared" si="12"/>
        <v>1.4851297412390881E-2</v>
      </c>
      <c r="AA40">
        <f t="shared" si="13"/>
        <v>3.6820352549675381E-3</v>
      </c>
      <c r="AB40">
        <f t="shared" si="83"/>
        <v>-2.4923936749739365E-6</v>
      </c>
      <c r="AC40">
        <f t="shared" si="84"/>
        <v>1.0062014658743636E-5</v>
      </c>
    </row>
    <row r="41" spans="1:29" ht="15">
      <c r="A41" s="131">
        <f t="shared" si="14"/>
        <v>25</v>
      </c>
      <c r="B41" s="101">
        <v>3.2620209999999997E-5</v>
      </c>
      <c r="C41" s="101">
        <v>3.3882455000000003E-5</v>
      </c>
      <c r="D41" s="101">
        <v>9.6297706999999997E-5</v>
      </c>
      <c r="E41" s="101">
        <v>9.5853896999999992E-6</v>
      </c>
      <c r="F41" s="101">
        <v>2.8033017000000001E-6</v>
      </c>
      <c r="G41" s="101">
        <v>4.1602803999999998E-5</v>
      </c>
      <c r="H41" s="101">
        <v>4.8048057000000003E-7</v>
      </c>
      <c r="I41" s="101">
        <v>2.3611689E-4</v>
      </c>
      <c r="J41" s="101">
        <v>6.1890687999999999E-2</v>
      </c>
      <c r="K41" s="101">
        <v>1.8482406E-4</v>
      </c>
      <c r="L41" s="101">
        <v>30.436582999999999</v>
      </c>
      <c r="M41" s="101">
        <v>6.2413880999999997E-2</v>
      </c>
      <c r="N41" s="101">
        <v>1.0764631E-3</v>
      </c>
      <c r="O41" s="101">
        <v>30.717006000000001</v>
      </c>
      <c r="P41" s="106">
        <f t="shared" si="75"/>
        <v>6.0169946250620905</v>
      </c>
      <c r="Q41" s="113">
        <f t="shared" si="76"/>
        <v>2.1391383714999999E-4</v>
      </c>
      <c r="R41" s="113">
        <f t="shared" si="77"/>
        <v>-5.7138651299999991E-6</v>
      </c>
      <c r="S41" s="113">
        <f t="shared" si="78"/>
        <v>9.6322416549999993E-4</v>
      </c>
      <c r="T41" s="113">
        <f t="shared" si="79"/>
        <v>6.1857436667500001E-2</v>
      </c>
      <c r="U41" s="113">
        <f t="shared" si="80"/>
        <v>6.23806296675E-2</v>
      </c>
      <c r="V41" s="4">
        <f t="shared" si="9"/>
        <v>492.41256723003886</v>
      </c>
      <c r="W41" s="4">
        <f t="shared" si="10"/>
        <v>1.5441077953751964E-2</v>
      </c>
      <c r="X41" s="4">
        <f t="shared" si="81"/>
        <v>3.458174936990085E-3</v>
      </c>
      <c r="Y41">
        <f t="shared" si="82"/>
        <v>-5.8521699265153449E-4</v>
      </c>
      <c r="Z41">
        <f t="shared" si="12"/>
        <v>1.543204157254857E-2</v>
      </c>
      <c r="AA41">
        <f t="shared" si="13"/>
        <v>3.4601987197267728E-3</v>
      </c>
      <c r="AB41">
        <f t="shared" si="83"/>
        <v>-2.3409739224997886E-6</v>
      </c>
      <c r="AC41">
        <f t="shared" si="84"/>
        <v>1.0452669828346334E-5</v>
      </c>
    </row>
    <row r="42" spans="1:29" ht="15">
      <c r="A42" s="131">
        <f t="shared" si="14"/>
        <v>26</v>
      </c>
      <c r="B42" s="101">
        <v>4.1567360999999996E-6</v>
      </c>
      <c r="C42" s="101">
        <v>3.5199708000000003E-5</v>
      </c>
      <c r="D42" s="101">
        <v>1.137138E-4</v>
      </c>
      <c r="E42" s="101">
        <v>-8.1993066000000006E-6</v>
      </c>
      <c r="F42" s="101">
        <v>6.8823780000000004E-7</v>
      </c>
      <c r="G42" s="101">
        <v>4.1887832999999999E-5</v>
      </c>
      <c r="H42" s="101">
        <v>4.7607470000000002E-6</v>
      </c>
      <c r="I42" s="101">
        <v>2.0695474E-4</v>
      </c>
      <c r="J42" s="101">
        <v>5.8791187000000002E-2</v>
      </c>
      <c r="K42" s="101">
        <v>2.0562643E-4</v>
      </c>
      <c r="L42" s="101">
        <v>28.925263999999999</v>
      </c>
      <c r="M42" s="101">
        <v>5.7799860000000002E-2</v>
      </c>
      <c r="N42" s="101">
        <v>9.972439200000001E-4</v>
      </c>
      <c r="O42" s="101">
        <v>28.441033000000001</v>
      </c>
      <c r="P42" s="106">
        <f t="shared" si="75"/>
        <v>7.2299212901303553</v>
      </c>
      <c r="Q42" s="113">
        <f t="shared" si="76"/>
        <v>1.856667046E-4</v>
      </c>
      <c r="R42" s="113">
        <f t="shared" si="77"/>
        <v>8.5162813999999995E-6</v>
      </c>
      <c r="S42" s="113">
        <f t="shared" si="78"/>
        <v>8.6593026600000013E-4</v>
      </c>
      <c r="T42" s="113">
        <f t="shared" si="79"/>
        <v>5.8771508777950003E-2</v>
      </c>
      <c r="U42" s="113">
        <f t="shared" si="80"/>
        <v>5.7780181777950003E-2</v>
      </c>
      <c r="V42" s="4">
        <f t="shared" si="9"/>
        <v>492.2281675973133</v>
      </c>
      <c r="W42" s="4">
        <f t="shared" si="10"/>
        <v>1.4986631044668249E-2</v>
      </c>
      <c r="X42" s="4">
        <f t="shared" si="81"/>
        <v>3.1591277552782304E-3</v>
      </c>
      <c r="Y42">
        <f t="shared" si="82"/>
        <v>-4.6056213849547201E-4</v>
      </c>
      <c r="Z42">
        <f t="shared" si="12"/>
        <v>1.4979728769825474E-2</v>
      </c>
      <c r="AA42">
        <f t="shared" si="13"/>
        <v>3.1605827299129815E-3</v>
      </c>
      <c r="AB42">
        <f t="shared" si="83"/>
        <v>-2.1393383280621736E-6</v>
      </c>
      <c r="AC42">
        <f t="shared" si="84"/>
        <v>1.014883749124021E-5</v>
      </c>
    </row>
    <row r="43" spans="1:29" ht="15">
      <c r="A43" s="13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6"/>
      <c r="Q43" s="113"/>
      <c r="R43" s="113"/>
      <c r="S43" s="113"/>
      <c r="T43" s="113"/>
      <c r="U43" s="113"/>
      <c r="V43" s="4"/>
      <c r="W43" s="4"/>
      <c r="X43" s="4"/>
      <c r="AC43" t="str">
        <f t="shared" si="84"/>
        <v/>
      </c>
    </row>
    <row r="44" spans="1:29" ht="15">
      <c r="A44" s="13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6"/>
      <c r="Q44" s="113"/>
      <c r="R44" s="113"/>
      <c r="S44" s="113"/>
      <c r="T44" s="113"/>
      <c r="U44" s="113"/>
      <c r="V44" s="4"/>
      <c r="W44" s="4"/>
      <c r="X44" s="4"/>
      <c r="AC44" t="str">
        <f t="shared" si="84"/>
        <v/>
      </c>
    </row>
    <row r="45" spans="1:29" ht="15">
      <c r="A45" s="13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6"/>
      <c r="Q45" s="113"/>
      <c r="R45" s="113"/>
      <c r="S45" s="113"/>
      <c r="T45" s="113"/>
      <c r="U45" s="113"/>
      <c r="V45" s="4"/>
      <c r="W45" s="4"/>
      <c r="X45" s="4"/>
    </row>
  </sheetData>
  <phoneticPr fontId="10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C35"/>
  <sheetViews>
    <sheetView topLeftCell="E1" workbookViewId="0">
      <selection activeCell="W7" sqref="W7"/>
    </sheetView>
  </sheetViews>
  <sheetFormatPr defaultColWidth="11" defaultRowHeight="12.75"/>
  <cols>
    <col min="1" max="1" width="8.625" bestFit="1" customWidth="1"/>
    <col min="2" max="4" width="9.375" bestFit="1" customWidth="1"/>
    <col min="5" max="5" width="10.375" bestFit="1" customWidth="1"/>
    <col min="6" max="11" width="9.375" bestFit="1" customWidth="1"/>
    <col min="12" max="12" width="8.625" bestFit="1" customWidth="1"/>
    <col min="13" max="13" width="8.375" bestFit="1" customWidth="1"/>
    <col min="14" max="14" width="9.375" customWidth="1"/>
    <col min="15" max="15" width="8.625" bestFit="1" customWidth="1"/>
    <col min="16" max="16" width="4.375" bestFit="1" customWidth="1"/>
    <col min="17" max="17" width="7.25" bestFit="1" customWidth="1"/>
    <col min="18" max="18" width="8.25" customWidth="1"/>
    <col min="19" max="19" width="9.875" bestFit="1" customWidth="1"/>
    <col min="20" max="21" width="7.25" bestFit="1" customWidth="1"/>
    <col min="22" max="23" width="12.375" bestFit="1" customWidth="1"/>
    <col min="24" max="24" width="11.75" bestFit="1" customWidth="1"/>
    <col min="25" max="25" width="12.75" bestFit="1" customWidth="1"/>
    <col min="26" max="27" width="11.875" bestFit="1" customWidth="1"/>
    <col min="28" max="28" width="13" bestFit="1" customWidth="1"/>
    <col min="29" max="29" width="11.875" bestFit="1" customWidth="1"/>
  </cols>
  <sheetData>
    <row r="1" spans="1:29" ht="15">
      <c r="S1" s="5"/>
    </row>
    <row r="6" spans="1:29">
      <c r="S6" s="12"/>
      <c r="W6" t="s">
        <v>4</v>
      </c>
    </row>
    <row r="7" spans="1:29">
      <c r="W7" s="138">
        <v>491.5480626248243</v>
      </c>
    </row>
    <row r="10" spans="1:29" ht="15">
      <c r="N10" s="18" t="s">
        <v>149</v>
      </c>
      <c r="P10" s="106">
        <f>(AVERAGE((P16:P20)))</f>
        <v>8.8101267837478208</v>
      </c>
      <c r="Q10" s="106"/>
      <c r="R10" s="107"/>
      <c r="S10" s="107"/>
      <c r="T10" s="107"/>
      <c r="U10" s="107"/>
    </row>
    <row r="11" spans="1:29">
      <c r="B11">
        <v>234.54</v>
      </c>
      <c r="C11">
        <v>235.54</v>
      </c>
      <c r="D11">
        <v>236.54</v>
      </c>
      <c r="E11">
        <v>232.54</v>
      </c>
      <c r="F11">
        <v>233.54</v>
      </c>
      <c r="G11">
        <v>234.54</v>
      </c>
      <c r="H11">
        <v>237.041</v>
      </c>
      <c r="I11" s="127">
        <v>234.041</v>
      </c>
      <c r="J11" s="127">
        <v>233.041</v>
      </c>
      <c r="K11" s="127">
        <v>236.041</v>
      </c>
      <c r="Q11">
        <v>234.041</v>
      </c>
      <c r="R11">
        <v>233.041</v>
      </c>
      <c r="S11">
        <v>236.041</v>
      </c>
      <c r="T11">
        <v>235.041</v>
      </c>
      <c r="U11">
        <v>235.041</v>
      </c>
      <c r="Y11" t="s">
        <v>126</v>
      </c>
      <c r="Z11" s="105">
        <f>AVERAGE(Z16:Z25)</f>
        <v>1.4783244695752684E-2</v>
      </c>
      <c r="AA11" s="105">
        <f>AVERAGE(AA16:AA25)</f>
        <v>3.6322767210452194E-3</v>
      </c>
    </row>
    <row r="12" spans="1:29">
      <c r="B12" s="105">
        <f t="shared" ref="B12:G12" si="0">AVERAGE(B16:B35)</f>
        <v>3.3020776600000005E-5</v>
      </c>
      <c r="C12" s="105">
        <f t="shared" si="0"/>
        <v>6.9183954700000009E-5</v>
      </c>
      <c r="D12" s="105">
        <f t="shared" si="0"/>
        <v>1.4831445299999998E-4</v>
      </c>
      <c r="E12" s="105">
        <f t="shared" si="0"/>
        <v>6.0396564000000002E-6</v>
      </c>
      <c r="F12" s="105">
        <f t="shared" si="0"/>
        <v>3.6351393999999996E-5</v>
      </c>
      <c r="G12" s="105">
        <f t="shared" si="0"/>
        <v>5.1761522599999999E-5</v>
      </c>
      <c r="H12" s="105">
        <f>AVERAGE(K16:K35)</f>
        <v>3.1997409200000001E-4</v>
      </c>
      <c r="I12" s="128">
        <f>AVERAGE(I16:I35)</f>
        <v>3.2701987500000003E-4</v>
      </c>
      <c r="J12" s="128">
        <f>AVERAGE(H16:H35)</f>
        <v>1.0038973580000001E-5</v>
      </c>
      <c r="K12" s="128">
        <f>AVERAGE(N16:N35)</f>
        <v>1.3439423399999998E-3</v>
      </c>
      <c r="P12" s="18" t="s">
        <v>151</v>
      </c>
      <c r="Q12" s="8">
        <f t="shared" ref="Q12:X12" si="1">AVERAGE(Q16:Q35)</f>
        <v>2.8296341670000003E-4</v>
      </c>
      <c r="R12" s="114">
        <f t="shared" si="1"/>
        <v>-1.1156551620000003E-5</v>
      </c>
      <c r="S12" s="8">
        <f t="shared" si="1"/>
        <v>1.16103590965E-3</v>
      </c>
      <c r="T12" s="8">
        <f t="shared" si="1"/>
        <v>7.7839121034350006E-2</v>
      </c>
      <c r="U12" s="8">
        <f t="shared" si="1"/>
        <v>7.8464133334349997E-2</v>
      </c>
      <c r="V12" s="4">
        <f t="shared" si="1"/>
        <v>491.52537984305508</v>
      </c>
      <c r="W12" s="4">
        <f t="shared" si="1"/>
        <v>1.4783011982111727E-2</v>
      </c>
      <c r="X12" s="4">
        <f t="shared" si="1"/>
        <v>3.6323319190856109E-3</v>
      </c>
      <c r="Y12" t="s">
        <v>127</v>
      </c>
      <c r="Z12" s="105">
        <f>STDEV(Z16:Z25)/SQRT(COUNT(Z16:Z35))</f>
        <v>6.4537869657310042E-5</v>
      </c>
      <c r="AA12" s="105">
        <f>STDEV(AA16:AA25)/SQRT(COUNT(AA16:AA35))</f>
        <v>4.715897595293944E-5</v>
      </c>
      <c r="AB12">
        <f>AVERAGE(AB16:AB35)</f>
        <v>-2.4633043978172144E-6</v>
      </c>
      <c r="AC12">
        <f>AVERAGE(AC16:AC35)</f>
        <v>1.0025272702795912E-5</v>
      </c>
    </row>
    <row r="13" spans="1:29" ht="15">
      <c r="R13" s="107"/>
      <c r="S13" s="107"/>
      <c r="T13" s="107"/>
      <c r="U13" s="107"/>
    </row>
    <row r="14" spans="1:29" ht="15">
      <c r="B14" s="108" t="s">
        <v>12</v>
      </c>
      <c r="C14" s="108" t="s">
        <v>13</v>
      </c>
      <c r="D14" s="108" t="s">
        <v>12</v>
      </c>
      <c r="E14" s="109" t="s">
        <v>13</v>
      </c>
      <c r="F14" s="109" t="s">
        <v>13</v>
      </c>
      <c r="G14" s="109" t="s">
        <v>13</v>
      </c>
      <c r="H14" s="110" t="s">
        <v>14</v>
      </c>
      <c r="I14" s="110" t="s">
        <v>14</v>
      </c>
      <c r="J14" s="110" t="s">
        <v>14</v>
      </c>
      <c r="K14" s="110" t="s">
        <v>14</v>
      </c>
      <c r="L14" s="110" t="s">
        <v>14</v>
      </c>
      <c r="M14" s="111" t="s">
        <v>152</v>
      </c>
      <c r="N14" s="111" t="s">
        <v>152</v>
      </c>
      <c r="O14" s="111" t="s">
        <v>152</v>
      </c>
      <c r="P14" s="111"/>
      <c r="Q14" s="111" t="s">
        <v>14</v>
      </c>
      <c r="R14" s="111" t="s">
        <v>14</v>
      </c>
      <c r="S14" s="111" t="s">
        <v>152</v>
      </c>
      <c r="T14" s="111" t="s">
        <v>14</v>
      </c>
      <c r="U14" s="111" t="s">
        <v>152</v>
      </c>
      <c r="V14" s="13" t="s">
        <v>72</v>
      </c>
      <c r="W14" s="13" t="s">
        <v>73</v>
      </c>
      <c r="X14" s="13" t="s">
        <v>74</v>
      </c>
      <c r="Y14" s="13" t="s">
        <v>75</v>
      </c>
      <c r="Z14" s="13" t="s">
        <v>76</v>
      </c>
      <c r="AA14" s="13" t="s">
        <v>120</v>
      </c>
      <c r="AB14" s="13" t="s">
        <v>119</v>
      </c>
      <c r="AC14" s="13" t="s">
        <v>101</v>
      </c>
    </row>
    <row r="15" spans="1:29" ht="15">
      <c r="A15" t="s">
        <v>6</v>
      </c>
      <c r="B15" s="112" t="s">
        <v>153</v>
      </c>
      <c r="C15" s="112" t="s">
        <v>154</v>
      </c>
      <c r="D15" s="112" t="s">
        <v>155</v>
      </c>
      <c r="E15" s="112" t="s">
        <v>156</v>
      </c>
      <c r="F15" s="112" t="s">
        <v>157</v>
      </c>
      <c r="G15" s="112" t="s">
        <v>153</v>
      </c>
      <c r="H15" t="s">
        <v>158</v>
      </c>
      <c r="I15" t="s">
        <v>159</v>
      </c>
      <c r="J15" t="s">
        <v>8</v>
      </c>
      <c r="K15" s="112" t="s">
        <v>160</v>
      </c>
      <c r="L15" t="s">
        <v>9</v>
      </c>
      <c r="M15" t="s">
        <v>161</v>
      </c>
      <c r="N15" t="s">
        <v>162</v>
      </c>
      <c r="O15" t="s">
        <v>163</v>
      </c>
      <c r="Q15" s="107" t="s">
        <v>159</v>
      </c>
      <c r="R15" s="107" t="s">
        <v>158</v>
      </c>
      <c r="S15" s="107" t="s">
        <v>162</v>
      </c>
      <c r="T15" s="107" t="s">
        <v>8</v>
      </c>
      <c r="U15" s="107" t="s">
        <v>161</v>
      </c>
    </row>
    <row r="16" spans="1:29" ht="15">
      <c r="A16" s="131">
        <v>1</v>
      </c>
      <c r="B16" s="101">
        <v>4.3478018999999998E-5</v>
      </c>
      <c r="C16" s="101">
        <v>5.8744401000000002E-5</v>
      </c>
      <c r="D16" s="101">
        <v>1.4672572E-4</v>
      </c>
      <c r="E16" s="101">
        <v>1.4798805999999999E-5</v>
      </c>
      <c r="F16" s="101">
        <v>5.6290547999999997E-5</v>
      </c>
      <c r="G16" s="101">
        <v>5.345603E-5</v>
      </c>
      <c r="H16" s="101">
        <v>2.4962457999999999E-5</v>
      </c>
      <c r="I16" s="101">
        <v>3.1248528000000001E-4</v>
      </c>
      <c r="J16" s="101">
        <v>7.2709625999999999E-2</v>
      </c>
      <c r="K16" s="101">
        <v>3.1688708000000002E-4</v>
      </c>
      <c r="L16" s="101">
        <v>35.708008</v>
      </c>
      <c r="M16" s="101">
        <v>7.2730657000000004E-2</v>
      </c>
      <c r="N16" s="101">
        <v>1.2588301999999999E-3</v>
      </c>
      <c r="O16" s="101">
        <v>35.714244999999998</v>
      </c>
      <c r="P16" s="106">
        <f t="shared" ref="P16:P18" si="2">(K16/O16)*1000000</f>
        <v>8.8728483550471271</v>
      </c>
      <c r="Q16" s="113">
        <f t="shared" ref="Q16:Q18" si="3">I16-((F16+G16)/2)</f>
        <v>2.5761199099999998E-4</v>
      </c>
      <c r="R16" s="113">
        <f t="shared" ref="R16:R18" si="4">H16-((E16+F16)/2)</f>
        <v>-1.0582218999999997E-5</v>
      </c>
      <c r="S16" s="113">
        <f>N16-((D16+C16/2))</f>
        <v>1.0827322794999998E-3</v>
      </c>
      <c r="T16" s="113">
        <f>J16-((B16+C16)/2)</f>
        <v>7.2658514790000003E-2</v>
      </c>
      <c r="U16" s="113">
        <f>M16-((C16+B16)/2)</f>
        <v>7.2679545790000008E-2</v>
      </c>
      <c r="V16" s="4">
        <f>IF(AND(A16&gt;0,NOT(A16="***")),O16/U16,"")</f>
        <v>491.39334336503146</v>
      </c>
      <c r="W16" s="4">
        <f>IF(AND(A16&gt;0,NOT(A16="***")),S16/U16,"")</f>
        <v>1.4897345157170385E-2</v>
      </c>
      <c r="X16" s="4">
        <f>IF(AND(A16&gt;0,NOT(A16="***")),Q16/T16,"")</f>
        <v>3.5455168846288492E-3</v>
      </c>
      <c r="Y16">
        <f>IF(AND(A16&gt;0,NOT(A16="***")),1/3*($W$7/V16-1),"")</f>
        <v>1.0495275789542309E-4</v>
      </c>
      <c r="Z16">
        <f t="shared" ref="Z16:Z25" si="5">IF(AND(A16&gt;0,NOT(A16="***")),W16*(1+Y16),"")</f>
        <v>1.489890867462995E-2</v>
      </c>
      <c r="AA16">
        <f t="shared" ref="AA16:AA25" si="6">IF(AND(A16&gt;0,NOT(A16="***")),X16*(1-Y16),"")</f>
        <v>3.5451447728536423E-3</v>
      </c>
      <c r="AB16">
        <f>IF(AND(A16&gt;0,NOT(A16="***")),-X16/(3*V16),"")</f>
        <v>-2.405077271600362E-6</v>
      </c>
      <c r="AC16">
        <f>IF(AND(A16&gt;0,NOT(A16="***")),W16/(3*V16),"")</f>
        <v>1.0105512795617918E-5</v>
      </c>
    </row>
    <row r="17" spans="1:29" ht="15">
      <c r="A17" s="131">
        <f>A16+1</f>
        <v>2</v>
      </c>
      <c r="B17" s="101">
        <v>4.6669621000000002E-5</v>
      </c>
      <c r="C17" s="101">
        <v>6.2440246999999994E-5</v>
      </c>
      <c r="D17" s="101">
        <v>1.4382414999999999E-4</v>
      </c>
      <c r="E17" s="101">
        <v>1.7229720999999999E-5</v>
      </c>
      <c r="F17" s="101">
        <v>3.8150284000000003E-5</v>
      </c>
      <c r="G17" s="101">
        <v>5.3273318E-5</v>
      </c>
      <c r="H17" s="101">
        <v>8.6618890000000008E-6</v>
      </c>
      <c r="I17" s="101">
        <v>3.1348565000000002E-4</v>
      </c>
      <c r="J17" s="101">
        <v>7.2114106999999997E-2</v>
      </c>
      <c r="K17" s="101">
        <v>3.1156370999999998E-4</v>
      </c>
      <c r="L17" s="101">
        <v>35.423799000000002</v>
      </c>
      <c r="M17" s="101">
        <v>7.1628849999999994E-2</v>
      </c>
      <c r="N17" s="101">
        <v>1.2272735E-3</v>
      </c>
      <c r="O17" s="101">
        <v>35.181148999999998</v>
      </c>
      <c r="P17" s="106">
        <f t="shared" si="2"/>
        <v>8.8559844932864475</v>
      </c>
      <c r="Q17" s="113">
        <f t="shared" si="3"/>
        <v>2.6777384900000004E-4</v>
      </c>
      <c r="R17" s="113">
        <f t="shared" si="4"/>
        <v>-1.9028113500000002E-5</v>
      </c>
      <c r="S17" s="113">
        <f>N17-((D17+C17/2))</f>
        <v>1.0522292265E-3</v>
      </c>
      <c r="T17" s="113">
        <f t="shared" ref="T17:T18" si="7">J17-((B17+C17)/2)</f>
        <v>7.2059552065999996E-2</v>
      </c>
      <c r="U17" s="113">
        <f t="shared" ref="U17:U18" si="8">M17-((C17+B17)/2)</f>
        <v>7.1574295065999993E-2</v>
      </c>
      <c r="V17" s="4">
        <f t="shared" ref="V17:V25" si="9">IF(AND(A17&gt;0,NOT(A17="***")),O17/U17,"")</f>
        <v>491.53329372729138</v>
      </c>
      <c r="W17" s="4">
        <f t="shared" ref="W17:W25" si="10">IF(AND(A17&gt;0,NOT(A17="***")),S17/U17,"")</f>
        <v>1.4701216764059217E-2</v>
      </c>
      <c r="X17" s="4">
        <f t="shared" ref="X17:X18" si="11">IF(AND(A17&gt;0,NOT(A17="***")),Q17/T17,"")</f>
        <v>3.7160076814624597E-3</v>
      </c>
      <c r="Y17">
        <f>IF(AND(A17&gt;0,NOT(A17="***")),1/3*($W$7/V17-1),"")</f>
        <v>1.0015528769150942E-5</v>
      </c>
      <c r="Z17">
        <f t="shared" si="5"/>
        <v>1.470136400451866E-2</v>
      </c>
      <c r="AA17">
        <f t="shared" si="6"/>
        <v>3.7159704636806198E-3</v>
      </c>
      <c r="AB17">
        <f>IF(AND(A17&gt;0,NOT(A17="***")),-X17/(3*V17),"")</f>
        <v>-2.5200108374375593E-6</v>
      </c>
      <c r="AC17">
        <f>IF(AND(A17&gt;0,NOT(A17="***")),W17/(3*V17),"")</f>
        <v>9.9696310515611656E-6</v>
      </c>
    </row>
    <row r="18" spans="1:29" ht="15">
      <c r="A18" s="131">
        <f t="shared" ref="A18:A34" si="12">A17+1</f>
        <v>3</v>
      </c>
      <c r="B18" s="101">
        <v>4.3671901E-5</v>
      </c>
      <c r="C18" s="101">
        <v>6.2967150000000006E-5</v>
      </c>
      <c r="D18" s="101">
        <v>1.5532816E-4</v>
      </c>
      <c r="E18" s="101">
        <v>2.1644159999999999E-5</v>
      </c>
      <c r="F18" s="101">
        <v>2.8809304E-5</v>
      </c>
      <c r="G18" s="101">
        <v>4.3209581000000002E-5</v>
      </c>
      <c r="H18" s="101">
        <v>4.2530980999999998E-5</v>
      </c>
      <c r="I18" s="101">
        <v>2.8072448000000002E-4</v>
      </c>
      <c r="J18" s="101">
        <v>7.0958240000000006E-2</v>
      </c>
      <c r="K18" s="101">
        <v>3.2807679E-4</v>
      </c>
      <c r="L18" s="101">
        <v>34.849291000000001</v>
      </c>
      <c r="M18" s="101">
        <v>7.0763208999999994E-2</v>
      </c>
      <c r="N18" s="101">
        <v>1.212114E-3</v>
      </c>
      <c r="O18" s="101">
        <v>34.752242000000003</v>
      </c>
      <c r="P18" s="106">
        <f t="shared" si="2"/>
        <v>9.4404496262428186</v>
      </c>
      <c r="Q18" s="113">
        <f t="shared" si="3"/>
        <v>2.4471503750000002E-4</v>
      </c>
      <c r="R18" s="113">
        <f t="shared" si="4"/>
        <v>1.7304248999999997E-5</v>
      </c>
      <c r="S18" s="113">
        <f t="shared" ref="S18" si="13">N18-((D18+C18/2))</f>
        <v>1.0253022650000001E-3</v>
      </c>
      <c r="T18" s="113">
        <f t="shared" si="7"/>
        <v>7.0904920474500005E-2</v>
      </c>
      <c r="U18" s="113">
        <f t="shared" si="8"/>
        <v>7.0709889474499993E-2</v>
      </c>
      <c r="V18" s="4">
        <f t="shared" si="9"/>
        <v>491.47640108435826</v>
      </c>
      <c r="W18" s="4">
        <f t="shared" si="10"/>
        <v>1.4500125408479862E-2</v>
      </c>
      <c r="X18" s="4">
        <f t="shared" si="11"/>
        <v>3.4513124880805484E-3</v>
      </c>
      <c r="Y18">
        <f t="shared" ref="Y18" si="14">IF(AND(A18&gt;0,NOT(A18="***")),1/3*($W$7/V18-1),"")</f>
        <v>4.8602903623962135E-5</v>
      </c>
      <c r="Z18">
        <f t="shared" si="5"/>
        <v>1.4500830156677625E-2</v>
      </c>
      <c r="AA18">
        <f t="shared" si="6"/>
        <v>3.4511447442723141E-3</v>
      </c>
      <c r="AB18">
        <f t="shared" ref="AB18" si="15">IF(AND(A18&gt;0,NOT(A18="***")),-X18/(3*V18),"")</f>
        <v>-2.3407787097988972E-6</v>
      </c>
      <c r="AC18">
        <f t="shared" ref="AC18" si="16">IF(AND(A18&gt;0,NOT(A18="***")),W18/(3*V18),"")</f>
        <v>9.8343992213989159E-6</v>
      </c>
    </row>
    <row r="19" spans="1:29" ht="15">
      <c r="A19" s="131">
        <f t="shared" si="12"/>
        <v>4</v>
      </c>
      <c r="B19" s="101">
        <v>4.6155086000000003E-5</v>
      </c>
      <c r="C19" s="101">
        <v>6.9756705000000003E-5</v>
      </c>
      <c r="D19" s="101">
        <v>1.5122061000000001E-4</v>
      </c>
      <c r="E19" s="101">
        <v>2.3508371000000001E-5</v>
      </c>
      <c r="F19" s="101">
        <v>3.7563176999999997E-5</v>
      </c>
      <c r="G19" s="101">
        <v>5.4457294000000001E-5</v>
      </c>
      <c r="H19" s="101">
        <v>2.5969135000000001E-5</v>
      </c>
      <c r="I19" s="101">
        <v>2.9730863000000001E-4</v>
      </c>
      <c r="J19" s="101">
        <v>7.1036756000000006E-2</v>
      </c>
      <c r="K19" s="101">
        <v>2.8482813999999997E-4</v>
      </c>
      <c r="L19" s="101">
        <v>34.880339999999997</v>
      </c>
      <c r="M19" s="101">
        <v>7.2094039999999998E-2</v>
      </c>
      <c r="N19" s="101">
        <v>1.2307471E-3</v>
      </c>
      <c r="O19" s="101">
        <v>35.418430000000001</v>
      </c>
      <c r="P19" s="106">
        <f t="shared" ref="P19:P25" si="17">(K19/O19)*1000000</f>
        <v>8.0418059185570883</v>
      </c>
      <c r="Q19" s="113">
        <f t="shared" ref="Q19:Q25" si="18">I19-((F19+G19)/2)</f>
        <v>2.512983945E-4</v>
      </c>
      <c r="R19" s="113">
        <f t="shared" ref="R19:R25" si="19">H19-((E19+F19)/2)</f>
        <v>-4.5666390000000013E-6</v>
      </c>
      <c r="S19" s="113">
        <f t="shared" ref="S19:S25" si="20">N19-((D19+C19/2))</f>
        <v>1.0446481374999999E-3</v>
      </c>
      <c r="T19" s="113">
        <f t="shared" ref="T19:T25" si="21">J19-((B19+C19)/2)</f>
        <v>7.0978800104500001E-2</v>
      </c>
      <c r="U19" s="113">
        <f t="shared" ref="U19:U25" si="22">M19-((C19+B19)/2)</f>
        <v>7.2036084104499992E-2</v>
      </c>
      <c r="V19" s="4">
        <f t="shared" si="9"/>
        <v>491.67622643979149</v>
      </c>
      <c r="W19" s="4">
        <f t="shared" si="10"/>
        <v>1.4501734102933313E-2</v>
      </c>
      <c r="X19" s="4">
        <f t="shared" ref="X19:X25" si="23">IF(AND(A19&gt;0,NOT(A19="***")),Q19/T19,"")</f>
        <v>3.5404711565991641E-3</v>
      </c>
      <c r="Y19">
        <f t="shared" ref="Y19:Y25" si="24">IF(AND(A19&gt;0,NOT(A19="***")),1/3*($W$7/V19-1),"")</f>
        <v>-8.6889032575513753E-5</v>
      </c>
      <c r="Z19">
        <f t="shared" si="5"/>
        <v>1.4500474061286442E-2</v>
      </c>
      <c r="AA19">
        <f t="shared" si="6"/>
        <v>3.5407787847128226E-3</v>
      </c>
      <c r="AB19">
        <f t="shared" ref="AB19:AB25" si="25">IF(AND(A19&gt;0,NOT(A19="***")),-X19/(3*V19),"")</f>
        <v>-2.4002727582441659E-6</v>
      </c>
      <c r="AC19">
        <f t="shared" ref="AC19:AC25" si="26">IF(AND(A19&gt;0,NOT(A19="***")),W19/(3*V19),"")</f>
        <v>9.8314929779025569E-6</v>
      </c>
    </row>
    <row r="20" spans="1:29" ht="15">
      <c r="A20" s="131">
        <f t="shared" si="12"/>
        <v>5</v>
      </c>
      <c r="B20" s="101">
        <v>3.0599862000000001E-5</v>
      </c>
      <c r="C20" s="101">
        <v>7.7304709999999999E-5</v>
      </c>
      <c r="D20" s="101">
        <v>1.4041828999999999E-4</v>
      </c>
      <c r="E20" s="101">
        <v>1.8989529000000001E-5</v>
      </c>
      <c r="F20" s="101">
        <v>2.2945832000000001E-5</v>
      </c>
      <c r="G20" s="101">
        <v>5.1833547E-5</v>
      </c>
      <c r="H20" s="101">
        <v>2.5805084000000001E-5</v>
      </c>
      <c r="I20" s="101">
        <v>3.1989927999999997E-4</v>
      </c>
      <c r="J20" s="101">
        <v>7.2946461000000004E-2</v>
      </c>
      <c r="K20" s="101">
        <v>3.1918684000000001E-4</v>
      </c>
      <c r="L20" s="101">
        <v>35.829331000000003</v>
      </c>
      <c r="M20" s="101">
        <v>7.3508006000000001E-2</v>
      </c>
      <c r="N20" s="101">
        <v>1.2635541999999999E-3</v>
      </c>
      <c r="O20" s="101">
        <v>36.108964999999998</v>
      </c>
      <c r="P20" s="106">
        <f t="shared" si="17"/>
        <v>8.8395455256056223</v>
      </c>
      <c r="Q20" s="113">
        <f t="shared" si="18"/>
        <v>2.8250959049999999E-4</v>
      </c>
      <c r="R20" s="113">
        <f t="shared" si="19"/>
        <v>4.8374034999999983E-6</v>
      </c>
      <c r="S20" s="113">
        <f t="shared" si="20"/>
        <v>1.084483555E-3</v>
      </c>
      <c r="T20" s="113">
        <f t="shared" si="21"/>
        <v>7.2892508714000007E-2</v>
      </c>
      <c r="U20" s="113">
        <f t="shared" si="22"/>
        <v>7.3454053714000003E-2</v>
      </c>
      <c r="V20" s="4">
        <f t="shared" si="9"/>
        <v>491.58573522155109</v>
      </c>
      <c r="W20" s="4">
        <f t="shared" si="10"/>
        <v>1.4764107631452646E-2</v>
      </c>
      <c r="X20" s="4">
        <f t="shared" si="23"/>
        <v>3.8757012961160458E-3</v>
      </c>
      <c r="Y20">
        <f t="shared" si="24"/>
        <v>-2.5544948403788403E-5</v>
      </c>
      <c r="Z20">
        <f t="shared" si="5"/>
        <v>1.4763730483084972E-2</v>
      </c>
      <c r="AA20">
        <f t="shared" si="6"/>
        <v>3.875800300705683E-3</v>
      </c>
      <c r="AB20">
        <f t="shared" si="25"/>
        <v>-2.6280266888876256E-6</v>
      </c>
      <c r="AC20">
        <f t="shared" si="26"/>
        <v>1.0011212404823384E-5</v>
      </c>
    </row>
    <row r="21" spans="1:29" ht="15">
      <c r="A21" s="131">
        <f t="shared" si="12"/>
        <v>6</v>
      </c>
      <c r="B21" s="101">
        <v>5.6354392999999998E-5</v>
      </c>
      <c r="C21" s="101">
        <v>5.8712787000000002E-5</v>
      </c>
      <c r="D21" s="101">
        <v>1.4404002000000001E-4</v>
      </c>
      <c r="E21" s="101">
        <v>1.9221812999999998E-5</v>
      </c>
      <c r="F21" s="101">
        <v>3.1904820999999997E-5</v>
      </c>
      <c r="G21" s="101">
        <v>5.9226140000000001E-5</v>
      </c>
      <c r="H21" s="101">
        <v>7.7825928999999999E-6</v>
      </c>
      <c r="I21" s="101">
        <v>3.1730817E-4</v>
      </c>
      <c r="J21" s="101">
        <v>7.6007186000000004E-2</v>
      </c>
      <c r="K21" s="101">
        <v>2.9343076999999997E-4</v>
      </c>
      <c r="L21" s="101">
        <v>37.327545999999998</v>
      </c>
      <c r="M21" s="101">
        <v>7.6713760000000006E-2</v>
      </c>
      <c r="N21" s="101">
        <v>1.3147963999999999E-3</v>
      </c>
      <c r="O21" s="101">
        <v>37.689250999999999</v>
      </c>
      <c r="P21" s="106">
        <f t="shared" si="17"/>
        <v>7.7855293542447939</v>
      </c>
      <c r="Q21" s="113">
        <f t="shared" si="18"/>
        <v>2.7174268950000001E-4</v>
      </c>
      <c r="R21" s="113">
        <f t="shared" si="19"/>
        <v>-1.7780724100000001E-5</v>
      </c>
      <c r="S21" s="113">
        <f t="shared" si="20"/>
        <v>1.1413999864999999E-3</v>
      </c>
      <c r="T21" s="113">
        <f t="shared" si="21"/>
        <v>7.5949652409999999E-2</v>
      </c>
      <c r="U21" s="113">
        <f t="shared" si="22"/>
        <v>7.665622641E-2</v>
      </c>
      <c r="V21" s="4">
        <f t="shared" si="9"/>
        <v>491.66587979973065</v>
      </c>
      <c r="W21" s="4">
        <f t="shared" si="10"/>
        <v>1.4889853570343522E-2</v>
      </c>
      <c r="X21" s="4">
        <f t="shared" si="23"/>
        <v>3.5779319704196655E-3</v>
      </c>
      <c r="Y21">
        <f t="shared" si="24"/>
        <v>-7.9876178618376592E-5</v>
      </c>
      <c r="Z21">
        <f t="shared" si="5"/>
        <v>1.4888664225740136E-2</v>
      </c>
      <c r="AA21">
        <f t="shared" si="6"/>
        <v>3.5782177619528197E-3</v>
      </c>
      <c r="AB21">
        <f t="shared" si="25"/>
        <v>-2.4257204722558459E-6</v>
      </c>
      <c r="AC21">
        <f t="shared" si="26"/>
        <v>1.0094832135737233E-5</v>
      </c>
    </row>
    <row r="22" spans="1:29" ht="15">
      <c r="A22" s="131">
        <f t="shared" si="12"/>
        <v>7</v>
      </c>
      <c r="B22" s="101">
        <v>1.4956822000000001E-5</v>
      </c>
      <c r="C22" s="101">
        <v>7.2187883000000001E-5</v>
      </c>
      <c r="D22" s="101">
        <v>1.5101789999999999E-4</v>
      </c>
      <c r="E22" s="101">
        <v>-1.7108192000000001E-5</v>
      </c>
      <c r="F22" s="101">
        <v>3.9771897000000003E-5</v>
      </c>
      <c r="G22" s="101">
        <v>5.0667783999999999E-5</v>
      </c>
      <c r="H22" s="101">
        <v>1.5024372000000001E-6</v>
      </c>
      <c r="I22" s="101">
        <v>3.2147729000000001E-4</v>
      </c>
      <c r="J22" s="101">
        <v>7.8736552000000001E-2</v>
      </c>
      <c r="K22" s="101">
        <v>3.0470923999999998E-4</v>
      </c>
      <c r="L22" s="101">
        <v>38.669894999999997</v>
      </c>
      <c r="M22" s="101">
        <v>7.9671500000000006E-2</v>
      </c>
      <c r="N22" s="101">
        <v>1.3650559999999999E-3</v>
      </c>
      <c r="O22" s="101">
        <v>39.141275</v>
      </c>
      <c r="P22" s="106">
        <f t="shared" si="17"/>
        <v>7.7848572893959123</v>
      </c>
      <c r="Q22" s="113">
        <f t="shared" si="18"/>
        <v>2.7625744950000001E-4</v>
      </c>
      <c r="R22" s="113">
        <f t="shared" si="19"/>
        <v>-9.8294153000000003E-6</v>
      </c>
      <c r="S22" s="113">
        <f t="shared" si="20"/>
        <v>1.1779441584999998E-3</v>
      </c>
      <c r="T22" s="113">
        <f t="shared" si="21"/>
        <v>7.8692979647500008E-2</v>
      </c>
      <c r="U22" s="113">
        <f t="shared" si="22"/>
        <v>7.9627927647500013E-2</v>
      </c>
      <c r="V22" s="4">
        <f t="shared" si="9"/>
        <v>491.55209932465038</v>
      </c>
      <c r="W22" s="4">
        <f t="shared" si="10"/>
        <v>1.4793103290526013E-2</v>
      </c>
      <c r="X22" s="4">
        <f t="shared" si="23"/>
        <v>3.5105729982201333E-3</v>
      </c>
      <c r="Y22">
        <f t="shared" si="24"/>
        <v>-2.7373835053134954E-6</v>
      </c>
      <c r="Z22">
        <f t="shared" si="5"/>
        <v>1.4793062796129073E-2</v>
      </c>
      <c r="AA22">
        <f t="shared" si="6"/>
        <v>3.5105826080047524E-3</v>
      </c>
      <c r="AB22">
        <f t="shared" si="25"/>
        <v>-2.3806042147199682E-6</v>
      </c>
      <c r="AC22">
        <f t="shared" si="26"/>
        <v>1.0031560107158831E-5</v>
      </c>
    </row>
    <row r="23" spans="1:29" ht="15">
      <c r="A23" s="131">
        <f t="shared" si="12"/>
        <v>8</v>
      </c>
      <c r="B23" s="101">
        <v>1.1637177E-5</v>
      </c>
      <c r="C23" s="101">
        <v>7.6088014000000006E-5</v>
      </c>
      <c r="D23" s="101">
        <v>1.5417187999999999E-4</v>
      </c>
      <c r="E23" s="101">
        <v>-1.1722960000000001E-6</v>
      </c>
      <c r="F23" s="101">
        <v>3.7400582E-5</v>
      </c>
      <c r="G23" s="101">
        <v>4.9651624999999999E-5</v>
      </c>
      <c r="H23" s="101">
        <v>-1.9321350000000001E-5</v>
      </c>
      <c r="I23" s="101">
        <v>3.4973927000000001E-4</v>
      </c>
      <c r="J23" s="101">
        <v>8.3311096000000001E-2</v>
      </c>
      <c r="K23" s="101">
        <v>3.2772523000000001E-4</v>
      </c>
      <c r="L23" s="101">
        <v>40.919899000000001</v>
      </c>
      <c r="M23" s="101">
        <v>8.3889386999999996E-2</v>
      </c>
      <c r="N23" s="101">
        <v>1.4273929000000001E-3</v>
      </c>
      <c r="O23" s="101">
        <v>41.206629</v>
      </c>
      <c r="P23" s="106">
        <f t="shared" si="17"/>
        <v>7.953216216740274</v>
      </c>
      <c r="Q23" s="113">
        <f t="shared" si="18"/>
        <v>3.0621316650000004E-4</v>
      </c>
      <c r="R23" s="113">
        <f t="shared" si="19"/>
        <v>-3.7435493000000005E-5</v>
      </c>
      <c r="S23" s="113">
        <f t="shared" si="20"/>
        <v>1.235177013E-3</v>
      </c>
      <c r="T23" s="113">
        <f t="shared" si="21"/>
        <v>8.3267233404499999E-2</v>
      </c>
      <c r="U23" s="113">
        <f t="shared" si="22"/>
        <v>8.3845524404499994E-2</v>
      </c>
      <c r="V23" s="4">
        <f t="shared" si="9"/>
        <v>491.45889768909882</v>
      </c>
      <c r="W23" s="4">
        <f t="shared" si="10"/>
        <v>1.4731579553859979E-2</v>
      </c>
      <c r="X23" s="4">
        <f t="shared" si="23"/>
        <v>3.6774749680040576E-3</v>
      </c>
      <c r="Y23">
        <f t="shared" si="24"/>
        <v>6.0476360040621437E-5</v>
      </c>
      <c r="Z23">
        <f t="shared" si="5"/>
        <v>1.4732470466169045E-2</v>
      </c>
      <c r="AA23">
        <f t="shared" si="6"/>
        <v>3.6772525677038525E-3</v>
      </c>
      <c r="AB23">
        <f t="shared" si="25"/>
        <v>-2.4942573938505709E-6</v>
      </c>
      <c r="AC23">
        <f t="shared" si="26"/>
        <v>9.9917338785465809E-6</v>
      </c>
    </row>
    <row r="24" spans="1:29" ht="15">
      <c r="A24" s="131">
        <f t="shared" si="12"/>
        <v>9</v>
      </c>
      <c r="B24" s="101">
        <v>2.2915222000000001E-5</v>
      </c>
      <c r="C24" s="101">
        <v>7.5566007E-5</v>
      </c>
      <c r="D24" s="101">
        <v>1.5311052000000001E-4</v>
      </c>
      <c r="E24" s="101">
        <v>-1.8720426999999998E-5</v>
      </c>
      <c r="F24" s="101">
        <v>3.0614775999999998E-5</v>
      </c>
      <c r="G24" s="101">
        <v>4.6121422000000002E-5</v>
      </c>
      <c r="H24" s="101">
        <v>-5.1514062999999999E-6</v>
      </c>
      <c r="I24" s="101">
        <v>3.8059326999999998E-4</v>
      </c>
      <c r="J24" s="101">
        <v>8.8358885999999998E-2</v>
      </c>
      <c r="K24" s="101">
        <v>3.5030369E-4</v>
      </c>
      <c r="L24" s="101">
        <v>43.396419999999999</v>
      </c>
      <c r="M24" s="101">
        <v>8.9592152999999994E-2</v>
      </c>
      <c r="N24" s="101">
        <v>1.520525E-3</v>
      </c>
      <c r="O24" s="101">
        <v>44.010295999999997</v>
      </c>
      <c r="P24" s="106">
        <f t="shared" si="17"/>
        <v>7.9595849571200343</v>
      </c>
      <c r="Q24" s="113">
        <f t="shared" si="18"/>
        <v>3.4222517100000001E-4</v>
      </c>
      <c r="R24" s="113">
        <f t="shared" si="19"/>
        <v>-1.1098580800000001E-5</v>
      </c>
      <c r="S24" s="113">
        <f t="shared" si="20"/>
        <v>1.3296314765E-3</v>
      </c>
      <c r="T24" s="113">
        <f t="shared" si="21"/>
        <v>8.8309645385499999E-2</v>
      </c>
      <c r="U24" s="113">
        <f t="shared" si="22"/>
        <v>8.9542912385499995E-2</v>
      </c>
      <c r="V24" s="4">
        <f t="shared" si="9"/>
        <v>491.4994925620349</v>
      </c>
      <c r="W24" s="4">
        <f t="shared" si="10"/>
        <v>1.4849097947313494E-2</v>
      </c>
      <c r="X24" s="4">
        <f t="shared" si="23"/>
        <v>3.8752864367881572E-3</v>
      </c>
      <c r="Y24">
        <f t="shared" si="24"/>
        <v>3.2940056245841135E-5</v>
      </c>
      <c r="Z24">
        <f t="shared" si="5"/>
        <v>1.4849587077435077E-2</v>
      </c>
      <c r="AA24">
        <f t="shared" si="6"/>
        <v>3.8751587846349604E-3</v>
      </c>
      <c r="AB24">
        <f t="shared" si="25"/>
        <v>-2.6282064684593992E-6</v>
      </c>
      <c r="AC24">
        <f t="shared" si="26"/>
        <v>1.0070609208505816E-5</v>
      </c>
    </row>
    <row r="25" spans="1:29" ht="15">
      <c r="A25" s="131">
        <f t="shared" si="12"/>
        <v>10</v>
      </c>
      <c r="B25" s="101">
        <v>1.3769663E-5</v>
      </c>
      <c r="C25" s="101">
        <v>7.8071642999999997E-5</v>
      </c>
      <c r="D25" s="101">
        <v>1.4328727999999999E-4</v>
      </c>
      <c r="E25" s="101">
        <v>-1.7994921E-5</v>
      </c>
      <c r="F25" s="101">
        <v>4.0062718999999997E-5</v>
      </c>
      <c r="G25" s="101">
        <v>5.5718484999999998E-5</v>
      </c>
      <c r="H25" s="101">
        <v>-1.2352085000000001E-5</v>
      </c>
      <c r="I25" s="101">
        <v>3.7717742999999999E-4</v>
      </c>
      <c r="J25" s="101">
        <v>9.2723323999999996E-2</v>
      </c>
      <c r="K25" s="101">
        <v>3.6302943000000003E-4</v>
      </c>
      <c r="L25" s="101">
        <v>45.525666999999999</v>
      </c>
      <c r="M25" s="101">
        <v>9.4560795000000003E-2</v>
      </c>
      <c r="N25" s="101">
        <v>1.6191341E-3</v>
      </c>
      <c r="O25" s="101">
        <v>46.445784000000003</v>
      </c>
      <c r="P25" s="106">
        <f t="shared" si="17"/>
        <v>7.8161976983745181</v>
      </c>
      <c r="Q25" s="113">
        <f t="shared" si="18"/>
        <v>3.2928682799999998E-4</v>
      </c>
      <c r="R25" s="113">
        <f t="shared" si="19"/>
        <v>-2.3385983999999999E-5</v>
      </c>
      <c r="S25" s="113">
        <f t="shared" si="20"/>
        <v>1.4368109984999999E-3</v>
      </c>
      <c r="T25" s="113">
        <f t="shared" si="21"/>
        <v>9.267740334699999E-2</v>
      </c>
      <c r="U25" s="113">
        <f t="shared" si="22"/>
        <v>9.4514874346999997E-2</v>
      </c>
      <c r="V25" s="4">
        <f t="shared" si="9"/>
        <v>491.41242921701291</v>
      </c>
      <c r="W25" s="4">
        <f t="shared" si="10"/>
        <v>1.5201956394978858E-2</v>
      </c>
      <c r="X25" s="4">
        <f t="shared" si="23"/>
        <v>3.5530433105370246E-3</v>
      </c>
      <c r="Y25">
        <f t="shared" si="24"/>
        <v>9.200242657506999E-5</v>
      </c>
      <c r="Z25">
        <f t="shared" si="5"/>
        <v>1.5203355011855886E-2</v>
      </c>
      <c r="AA25">
        <f t="shared" si="6"/>
        <v>3.5527164219307291E-3</v>
      </c>
      <c r="AB25">
        <f t="shared" si="25"/>
        <v>-2.4100891629177491E-6</v>
      </c>
      <c r="AC25">
        <f t="shared" si="26"/>
        <v>1.0311743246706737E-5</v>
      </c>
    </row>
    <row r="26" spans="1:29" ht="15">
      <c r="A26" s="131">
        <f t="shared" si="12"/>
        <v>11</v>
      </c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6"/>
      <c r="Q26" s="113"/>
      <c r="R26" s="113"/>
      <c r="S26" s="113"/>
      <c r="T26" s="113"/>
      <c r="U26" s="113"/>
      <c r="V26" s="4"/>
      <c r="W26" s="4"/>
      <c r="X26" s="4"/>
    </row>
    <row r="27" spans="1:29" ht="15">
      <c r="A27" s="131">
        <f t="shared" si="12"/>
        <v>12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6"/>
      <c r="Q27" s="113"/>
      <c r="R27" s="113"/>
      <c r="S27" s="113"/>
      <c r="T27" s="113"/>
      <c r="U27" s="113"/>
      <c r="V27" s="4"/>
      <c r="W27" s="4"/>
      <c r="X27" s="4"/>
    </row>
    <row r="28" spans="1:29" ht="15">
      <c r="A28" s="131">
        <f t="shared" si="12"/>
        <v>13</v>
      </c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6"/>
      <c r="Q28" s="113"/>
      <c r="R28" s="113"/>
      <c r="S28" s="113"/>
      <c r="T28" s="113"/>
      <c r="U28" s="113"/>
      <c r="V28" s="4"/>
      <c r="W28" s="4"/>
      <c r="X28" s="4"/>
    </row>
    <row r="29" spans="1:29" ht="15">
      <c r="A29" s="131">
        <f t="shared" si="12"/>
        <v>14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6"/>
      <c r="Q29" s="113"/>
      <c r="R29" s="113"/>
      <c r="S29" s="113"/>
      <c r="T29" s="113"/>
      <c r="U29" s="113"/>
      <c r="V29" s="4"/>
      <c r="W29" s="4"/>
      <c r="X29" s="4"/>
    </row>
    <row r="30" spans="1:29" ht="15">
      <c r="A30" s="131">
        <f t="shared" si="12"/>
        <v>15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6"/>
      <c r="Q30" s="113"/>
      <c r="R30" s="113"/>
      <c r="S30" s="113"/>
      <c r="T30" s="113"/>
      <c r="U30" s="113"/>
      <c r="V30" s="4"/>
      <c r="W30" s="4"/>
      <c r="X30" s="4"/>
    </row>
    <row r="31" spans="1:29" ht="15">
      <c r="A31" s="131">
        <f t="shared" si="12"/>
        <v>16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6"/>
      <c r="Q31" s="113"/>
      <c r="R31" s="113"/>
      <c r="S31" s="113"/>
      <c r="T31" s="113"/>
      <c r="U31" s="113"/>
      <c r="V31" s="4"/>
      <c r="W31" s="4"/>
      <c r="X31" s="4"/>
    </row>
    <row r="32" spans="1:29" ht="15">
      <c r="A32" s="131">
        <f t="shared" si="12"/>
        <v>17</v>
      </c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6"/>
      <c r="Q32" s="113"/>
      <c r="R32" s="113"/>
      <c r="S32" s="113"/>
      <c r="T32" s="113"/>
      <c r="U32" s="113"/>
      <c r="V32" s="4"/>
      <c r="W32" s="4"/>
      <c r="X32" s="4"/>
    </row>
    <row r="33" spans="1:24" ht="15">
      <c r="A33" s="131">
        <f t="shared" si="12"/>
        <v>18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6"/>
      <c r="Q33" s="113"/>
      <c r="R33" s="113"/>
      <c r="S33" s="113"/>
      <c r="T33" s="113"/>
      <c r="U33" s="113"/>
      <c r="V33" s="4"/>
      <c r="W33" s="4"/>
      <c r="X33" s="4"/>
    </row>
    <row r="34" spans="1:24" ht="15">
      <c r="A34" s="131">
        <f t="shared" si="12"/>
        <v>19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6"/>
      <c r="Q34" s="113"/>
      <c r="R34" s="113"/>
      <c r="S34" s="113"/>
      <c r="T34" s="113"/>
      <c r="U34" s="113"/>
      <c r="V34" s="4"/>
      <c r="W34" s="4"/>
      <c r="X34" s="4"/>
    </row>
    <row r="35" spans="1:24" ht="15">
      <c r="A35" s="13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6"/>
      <c r="Q35" s="113"/>
      <c r="R35" s="113"/>
      <c r="S35" s="113"/>
      <c r="T35" s="113"/>
      <c r="U35" s="113"/>
      <c r="V35" s="4"/>
      <c r="W35" s="4"/>
      <c r="X35" s="4"/>
    </row>
  </sheetData>
  <phoneticPr fontId="10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C85"/>
  <sheetViews>
    <sheetView topLeftCell="O1" workbookViewId="0">
      <selection activeCell="Y16" sqref="Y16"/>
    </sheetView>
  </sheetViews>
  <sheetFormatPr defaultColWidth="11" defaultRowHeight="12.75"/>
  <cols>
    <col min="1" max="1" width="8.625" bestFit="1" customWidth="1"/>
    <col min="2" max="4" width="9.375" bestFit="1" customWidth="1"/>
    <col min="5" max="5" width="10.375" bestFit="1" customWidth="1"/>
    <col min="6" max="11" width="9.375" bestFit="1" customWidth="1"/>
    <col min="12" max="12" width="9.125" bestFit="1" customWidth="1"/>
    <col min="13" max="13" width="8.375" bestFit="1" customWidth="1"/>
    <col min="14" max="14" width="9.375" customWidth="1"/>
    <col min="15" max="15" width="9.125" bestFit="1" customWidth="1"/>
    <col min="16" max="16" width="4.375" bestFit="1" customWidth="1"/>
    <col min="17" max="17" width="7.25" bestFit="1" customWidth="1"/>
    <col min="18" max="18" width="8.25" customWidth="1"/>
    <col min="19" max="19" width="9.875" bestFit="1" customWidth="1"/>
    <col min="20" max="21" width="7.25" bestFit="1" customWidth="1"/>
    <col min="22" max="22" width="12.875" customWidth="1"/>
    <col min="23" max="23" width="12.375" bestFit="1" customWidth="1"/>
    <col min="24" max="24" width="11.75" bestFit="1" customWidth="1"/>
    <col min="25" max="25" width="12.75" bestFit="1" customWidth="1"/>
    <col min="26" max="27" width="11.875" bestFit="1" customWidth="1"/>
    <col min="28" max="28" width="13" bestFit="1" customWidth="1"/>
    <col min="29" max="29" width="11.875" bestFit="1" customWidth="1"/>
  </cols>
  <sheetData>
    <row r="1" spans="1:29" ht="15">
      <c r="S1" s="5"/>
    </row>
    <row r="6" spans="1:29">
      <c r="S6" s="12"/>
      <c r="W6" t="s">
        <v>4</v>
      </c>
    </row>
    <row r="7" spans="1:29">
      <c r="W7" s="138">
        <v>491.5480626248243</v>
      </c>
    </row>
    <row r="10" spans="1:29" ht="15">
      <c r="N10" s="18" t="s">
        <v>149</v>
      </c>
      <c r="P10" s="106">
        <f>(AVERAGE((P16:P20)))</f>
        <v>5.8984901280082287</v>
      </c>
      <c r="Q10" s="106"/>
      <c r="R10" s="107"/>
      <c r="S10" s="107"/>
      <c r="T10" s="107"/>
      <c r="U10" s="107"/>
    </row>
    <row r="11" spans="1:29">
      <c r="B11">
        <v>234.54</v>
      </c>
      <c r="C11">
        <v>235.54</v>
      </c>
      <c r="D11">
        <v>236.54</v>
      </c>
      <c r="E11">
        <v>232.54</v>
      </c>
      <c r="F11">
        <v>233.54</v>
      </c>
      <c r="G11">
        <v>234.54</v>
      </c>
      <c r="H11">
        <v>237.041</v>
      </c>
      <c r="I11" s="127">
        <v>234.041</v>
      </c>
      <c r="J11" s="127">
        <v>233.041</v>
      </c>
      <c r="K11" s="127">
        <v>236.041</v>
      </c>
      <c r="Q11">
        <v>234.041</v>
      </c>
      <c r="R11">
        <v>233.041</v>
      </c>
      <c r="S11">
        <v>236.041</v>
      </c>
      <c r="T11">
        <v>235.041</v>
      </c>
      <c r="U11">
        <v>235.041</v>
      </c>
      <c r="Y11" t="s">
        <v>126</v>
      </c>
      <c r="Z11" s="105">
        <f>AVERAGE(Z54:Z85)</f>
        <v>1.5378590444060454E-2</v>
      </c>
      <c r="AA11" s="105">
        <f>AVERAGE(AA16:AA85)</f>
        <v>3.5869928094206566E-3</v>
      </c>
    </row>
    <row r="12" spans="1:29">
      <c r="B12" s="105">
        <f t="shared" ref="B12:G12" si="0">AVERAGE(B16:B85)</f>
        <v>7.3223996342857132E-6</v>
      </c>
      <c r="C12" s="105">
        <f t="shared" si="0"/>
        <v>3.0956702874857133E-5</v>
      </c>
      <c r="D12" s="105">
        <f t="shared" si="0"/>
        <v>9.4801510442857134E-5</v>
      </c>
      <c r="E12" s="105">
        <f t="shared" si="0"/>
        <v>-9.6459752971428599E-6</v>
      </c>
      <c r="F12" s="105">
        <f t="shared" si="0"/>
        <v>-4.1837863085714316E-7</v>
      </c>
      <c r="G12" s="105">
        <f t="shared" si="0"/>
        <v>2.6064941004285713E-5</v>
      </c>
      <c r="H12" s="105">
        <f>AVERAGE(K16:K85)</f>
        <v>2.1368291985714291E-4</v>
      </c>
      <c r="I12" s="128">
        <f>AVERAGE(I16:I85)</f>
        <v>3.132390808571428E-4</v>
      </c>
      <c r="J12" s="128">
        <f>AVERAGE(H16:H85)</f>
        <v>-8.844389172142856E-6</v>
      </c>
      <c r="K12" s="128">
        <f>AVERAGE(N16:N85)</f>
        <v>1.3865249271428574E-3</v>
      </c>
      <c r="P12" s="18" t="s">
        <v>151</v>
      </c>
      <c r="Q12" s="8">
        <f t="shared" ref="Q12:X12" si="1">AVERAGE(Q16:Q85)</f>
        <v>3.0041579967042846E-4</v>
      </c>
      <c r="R12" s="114">
        <f t="shared" si="1"/>
        <v>-3.812212208142858E-6</v>
      </c>
      <c r="S12" s="8">
        <f t="shared" si="1"/>
        <v>1.2762450652625719E-3</v>
      </c>
      <c r="T12" s="8">
        <f t="shared" si="1"/>
        <v>8.3694739263031115E-2</v>
      </c>
      <c r="U12" s="8">
        <f t="shared" si="1"/>
        <v>8.3646693905888261E-2</v>
      </c>
      <c r="V12" s="4">
        <f t="shared" si="1"/>
        <v>491.4816899243155</v>
      </c>
      <c r="W12" s="4">
        <f t="shared" si="1"/>
        <v>1.5256923534746255E-2</v>
      </c>
      <c r="X12" s="4">
        <f t="shared" si="1"/>
        <v>3.5871347697193539E-3</v>
      </c>
      <c r="Y12" t="s">
        <v>127</v>
      </c>
      <c r="Z12" s="105">
        <f>STDEV(Z54:Z85)/SQRT(COUNT(Z54:Z85))</f>
        <v>3.201198239160268E-5</v>
      </c>
      <c r="AA12" s="105">
        <f>STDEV(AA16:AA85)/SQRT(COUNT(AA16:AA85))</f>
        <v>1.9446888183921128E-5</v>
      </c>
      <c r="AB12">
        <f>AVERAGE(AB16:AB85)</f>
        <v>-2.4328313773009182E-6</v>
      </c>
      <c r="AC12">
        <f>AVERAGE(AC16:AC85)</f>
        <v>1.0347722554493767E-5</v>
      </c>
    </row>
    <row r="13" spans="1:29" ht="15">
      <c r="R13" s="107"/>
      <c r="S13" s="107"/>
      <c r="T13" s="107"/>
      <c r="U13" s="107"/>
    </row>
    <row r="14" spans="1:29" ht="15">
      <c r="B14" s="108" t="s">
        <v>12</v>
      </c>
      <c r="C14" s="108" t="s">
        <v>13</v>
      </c>
      <c r="D14" s="108" t="s">
        <v>12</v>
      </c>
      <c r="E14" s="109" t="s">
        <v>13</v>
      </c>
      <c r="F14" s="109" t="s">
        <v>13</v>
      </c>
      <c r="G14" s="109" t="s">
        <v>13</v>
      </c>
      <c r="H14" s="110" t="s">
        <v>14</v>
      </c>
      <c r="I14" s="110" t="s">
        <v>14</v>
      </c>
      <c r="J14" s="110" t="s">
        <v>14</v>
      </c>
      <c r="K14" s="110" t="s">
        <v>14</v>
      </c>
      <c r="L14" s="110" t="s">
        <v>14</v>
      </c>
      <c r="M14" s="111" t="s">
        <v>152</v>
      </c>
      <c r="N14" s="111" t="s">
        <v>152</v>
      </c>
      <c r="O14" s="111" t="s">
        <v>152</v>
      </c>
      <c r="P14" s="111"/>
      <c r="Q14" s="111" t="s">
        <v>14</v>
      </c>
      <c r="R14" s="111" t="s">
        <v>14</v>
      </c>
      <c r="S14" s="111" t="s">
        <v>152</v>
      </c>
      <c r="T14" s="111" t="s">
        <v>14</v>
      </c>
      <c r="U14" s="111" t="s">
        <v>152</v>
      </c>
      <c r="V14" s="13" t="s">
        <v>72</v>
      </c>
      <c r="W14" s="13" t="s">
        <v>73</v>
      </c>
      <c r="X14" s="13" t="s">
        <v>74</v>
      </c>
      <c r="Y14" s="13" t="s">
        <v>75</v>
      </c>
      <c r="Z14" s="13" t="s">
        <v>76</v>
      </c>
      <c r="AA14" s="13" t="s">
        <v>120</v>
      </c>
      <c r="AB14" s="13" t="s">
        <v>119</v>
      </c>
      <c r="AC14" s="13" t="s">
        <v>101</v>
      </c>
    </row>
    <row r="15" spans="1:29" ht="15">
      <c r="A15" t="s">
        <v>6</v>
      </c>
      <c r="B15" s="112" t="s">
        <v>153</v>
      </c>
      <c r="C15" s="112" t="s">
        <v>154</v>
      </c>
      <c r="D15" s="112" t="s">
        <v>155</v>
      </c>
      <c r="E15" s="112" t="s">
        <v>156</v>
      </c>
      <c r="F15" s="112" t="s">
        <v>157</v>
      </c>
      <c r="G15" s="112" t="s">
        <v>153</v>
      </c>
      <c r="H15" t="s">
        <v>158</v>
      </c>
      <c r="I15" t="s">
        <v>159</v>
      </c>
      <c r="J15" t="s">
        <v>8</v>
      </c>
      <c r="K15" s="112" t="s">
        <v>160</v>
      </c>
      <c r="L15" t="s">
        <v>9</v>
      </c>
      <c r="M15" t="s">
        <v>161</v>
      </c>
      <c r="N15" t="s">
        <v>162</v>
      </c>
      <c r="O15" t="s">
        <v>163</v>
      </c>
      <c r="Q15" s="107" t="s">
        <v>159</v>
      </c>
      <c r="R15" s="107" t="s">
        <v>158</v>
      </c>
      <c r="S15" s="107" t="s">
        <v>162</v>
      </c>
      <c r="T15" s="107" t="s">
        <v>8</v>
      </c>
      <c r="U15" s="107" t="s">
        <v>161</v>
      </c>
    </row>
    <row r="16" spans="1:29" ht="15">
      <c r="A16" s="131">
        <v>1</v>
      </c>
      <c r="B16" s="101">
        <v>2.1917110000000001E-5</v>
      </c>
      <c r="C16" s="101">
        <v>6.5541160999999995E-5</v>
      </c>
      <c r="D16" s="101">
        <v>1.1775129E-4</v>
      </c>
      <c r="E16" s="101">
        <v>2.2058791000000002E-5</v>
      </c>
      <c r="F16" s="101">
        <v>2.2387933999999999E-5</v>
      </c>
      <c r="G16" s="101">
        <v>4.6589728000000002E-5</v>
      </c>
      <c r="H16" s="101">
        <v>1.3960627E-5</v>
      </c>
      <c r="I16" s="101">
        <v>3.1398694000000002E-4</v>
      </c>
      <c r="J16" s="101">
        <v>7.7254883999999996E-2</v>
      </c>
      <c r="K16" s="101">
        <v>2.4235051E-4</v>
      </c>
      <c r="L16" s="101">
        <v>37.949801000000001</v>
      </c>
      <c r="M16" s="101">
        <v>7.7597894000000001E-2</v>
      </c>
      <c r="N16" s="101">
        <v>1.3149582E-3</v>
      </c>
      <c r="O16" s="101">
        <v>38.135105000000003</v>
      </c>
      <c r="P16" s="106">
        <f t="shared" ref="P16:P25" si="2">(K16/O16)*1000000</f>
        <v>6.3550502876549047</v>
      </c>
      <c r="Q16" s="113">
        <f t="shared" ref="Q16:Q25" si="3">I16-((F16+G16)/2)</f>
        <v>2.7949810900000004E-4</v>
      </c>
      <c r="R16" s="113">
        <f t="shared" ref="R16:R25" si="4">H16-((E16+F16)/2)</f>
        <v>-8.2627355000000018E-6</v>
      </c>
      <c r="S16" s="113">
        <f>N16-((D16+C16/2))</f>
        <v>1.1644363295E-3</v>
      </c>
      <c r="T16" s="113">
        <f>J16-((B16+C16)/2)</f>
        <v>7.721115486449999E-2</v>
      </c>
      <c r="U16" s="113">
        <f>M16-((C16+B16)/2)</f>
        <v>7.7554164864499994E-2</v>
      </c>
      <c r="V16" s="4">
        <f>IF(AND(A16&gt;0,NOT(A16="***")),O16/T16,"")</f>
        <v>493.90667795248447</v>
      </c>
      <c r="W16" s="4">
        <f>IF(AND(A16&gt;0,NOT(A16="***")),S16/T16,"")</f>
        <v>1.5081193016002699E-2</v>
      </c>
      <c r="X16" s="4">
        <f>IF(AND(A16&gt;0,NOT(A16="***")),Q16/T16,"")</f>
        <v>3.6199187732718035E-3</v>
      </c>
      <c r="Y16">
        <f>IF(AND(A16&gt;0,NOT(A16="***")),1/3*($W$7/V16-1),"")</f>
        <v>-1.5918090285381714E-3</v>
      </c>
      <c r="Z16">
        <f t="shared" ref="Z16:Z54" si="5">IF(AND(A16&gt;0,NOT(A16="***")),W16*(1+Y16),"")</f>
        <v>1.5057186636798699E-2</v>
      </c>
      <c r="AA16">
        <f t="shared" ref="AA16:AA54" si="6">IF(AND(A16&gt;0,NOT(A16="***")),X16*(1-Y16),"")</f>
        <v>3.6256809926576727E-3</v>
      </c>
      <c r="AB16">
        <f>IF(AND(A16&gt;0,NOT(A16="***")),-X16/(3*V16),"")</f>
        <v>-2.4430517847881459E-6</v>
      </c>
      <c r="AC16">
        <f>IF(AND(A16&gt;0,NOT(A16="***")),W16/(3*V16),"")</f>
        <v>1.0178166368406922E-5</v>
      </c>
    </row>
    <row r="17" spans="1:29" ht="15">
      <c r="A17" s="131">
        <f>A16+1</f>
        <v>2</v>
      </c>
      <c r="B17" s="101">
        <v>2.5242893999999999E-5</v>
      </c>
      <c r="C17" s="101">
        <v>5.5048125999999997E-5</v>
      </c>
      <c r="D17" s="101">
        <v>1.1224061E-4</v>
      </c>
      <c r="E17" s="101">
        <v>1.2588567999999999E-5</v>
      </c>
      <c r="F17" s="101">
        <v>6.3254388999999997E-6</v>
      </c>
      <c r="G17" s="101">
        <v>2.4094369999999999E-5</v>
      </c>
      <c r="H17" s="101">
        <v>2.9543862E-6</v>
      </c>
      <c r="I17" s="101">
        <v>3.0300325000000002E-4</v>
      </c>
      <c r="J17" s="101">
        <v>7.8696803999999995E-2</v>
      </c>
      <c r="K17" s="101">
        <v>2.1180601E-4</v>
      </c>
      <c r="L17" s="101">
        <v>38.655031999999999</v>
      </c>
      <c r="M17" s="101">
        <v>7.8960205000000006E-2</v>
      </c>
      <c r="N17" s="101">
        <v>1.3222348999999999E-3</v>
      </c>
      <c r="O17" s="101">
        <v>38.804898999999999</v>
      </c>
      <c r="P17" s="106">
        <f t="shared" si="2"/>
        <v>5.458228611804917</v>
      </c>
      <c r="Q17" s="113">
        <f t="shared" si="3"/>
        <v>2.8779334555000002E-4</v>
      </c>
      <c r="R17" s="113">
        <f t="shared" si="4"/>
        <v>-6.5026172499999999E-6</v>
      </c>
      <c r="S17" s="113">
        <f>N17-((D17+C17/2))</f>
        <v>1.1824702269999999E-3</v>
      </c>
      <c r="T17" s="113">
        <f t="shared" ref="T17:T25" si="7">J17-((B17+C17)/2)</f>
        <v>7.8656658489999989E-2</v>
      </c>
      <c r="U17" s="113">
        <f t="shared" ref="U17:U25" si="8">M17-((C17+B17)/2)</f>
        <v>7.892005949E-2</v>
      </c>
      <c r="V17" s="4">
        <f t="shared" ref="V17:V25" si="9">IF(AND(A17&gt;0,NOT(A17="***")),O17/T17,"")</f>
        <v>493.34537908107876</v>
      </c>
      <c r="W17" s="4">
        <f>IF(AND(A17&gt;0,NOT(A17="***")),S17/T17,"")</f>
        <v>1.5033313767712789E-2</v>
      </c>
      <c r="X17" s="4">
        <f t="shared" ref="X17:X25" si="10">IF(AND(A17&gt;0,NOT(A17="***")),Q17/T17,"")</f>
        <v>3.6588554748558078E-3</v>
      </c>
      <c r="Y17">
        <f>IF(AND(A17&gt;0,NOT(A17="***")),1/3*($W$7/V17-1),"")</f>
        <v>-1.2143733595601316E-3</v>
      </c>
      <c r="Z17">
        <f t="shared" si="5"/>
        <v>1.5015057711967371E-2</v>
      </c>
      <c r="AA17">
        <f t="shared" si="6"/>
        <v>3.6632986914709536E-3</v>
      </c>
      <c r="AB17">
        <f>IF(AND(A17&gt;0,NOT(A17="***")),-X17/(3*V17),"")</f>
        <v>-2.4721392828089398E-6</v>
      </c>
      <c r="AC17">
        <f>IF(AND(A17&gt;0,NOT(A17="***")),W17/(3*V17),"")</f>
        <v>1.0157396423924035E-5</v>
      </c>
    </row>
    <row r="18" spans="1:29" ht="15">
      <c r="A18" s="131">
        <f t="shared" ref="A18:A81" si="11">A17+1</f>
        <v>3</v>
      </c>
      <c r="B18" s="101">
        <v>3.0380731E-5</v>
      </c>
      <c r="C18" s="101">
        <v>5.8307428E-5</v>
      </c>
      <c r="D18" s="101">
        <v>1.0990918000000001E-4</v>
      </c>
      <c r="E18" s="101">
        <v>1.338645E-5</v>
      </c>
      <c r="F18" s="101">
        <v>2.7784809999999999E-5</v>
      </c>
      <c r="G18" s="101">
        <v>4.0377507999999999E-5</v>
      </c>
      <c r="H18" s="101">
        <v>2.5287636E-5</v>
      </c>
      <c r="I18" s="101">
        <v>3.1705002000000001E-4</v>
      </c>
      <c r="J18" s="101">
        <v>8.0233636999999997E-2</v>
      </c>
      <c r="K18" s="101">
        <v>2.4644479E-4</v>
      </c>
      <c r="L18" s="101">
        <v>39.403852000000001</v>
      </c>
      <c r="M18" s="101">
        <v>8.0524750000000006E-2</v>
      </c>
      <c r="N18" s="101">
        <v>1.35034E-3</v>
      </c>
      <c r="O18" s="101">
        <v>39.557239000000003</v>
      </c>
      <c r="P18" s="106">
        <f t="shared" si="2"/>
        <v>6.2300806686735637</v>
      </c>
      <c r="Q18" s="113">
        <f t="shared" si="3"/>
        <v>2.8296886100000001E-4</v>
      </c>
      <c r="R18" s="113">
        <f t="shared" si="4"/>
        <v>4.7020059999999998E-6</v>
      </c>
      <c r="S18" s="113">
        <f t="shared" ref="S18:S25" si="12">N18-((D18+C18/2))</f>
        <v>1.211277106E-3</v>
      </c>
      <c r="T18" s="113">
        <f t="shared" si="7"/>
        <v>8.0189292920499991E-2</v>
      </c>
      <c r="U18" s="113">
        <f t="shared" si="8"/>
        <v>8.0480405920500001E-2</v>
      </c>
      <c r="V18" s="4">
        <f t="shared" si="9"/>
        <v>493.29826413630082</v>
      </c>
      <c r="W18" s="4">
        <f t="shared" ref="W18:W25" si="13">IF(AND(A18&gt;0,NOT(A18="***")),S18/T18,"")</f>
        <v>1.5105222429144815E-2</v>
      </c>
      <c r="X18" s="4">
        <f t="shared" si="10"/>
        <v>3.5287611437169867E-3</v>
      </c>
      <c r="Y18">
        <f t="shared" ref="Y18:Y25" si="14">IF(AND(A18&gt;0,NOT(A18="***")),1/3*($W$7/V18-1),"")</f>
        <v>-1.1826526591310151E-3</v>
      </c>
      <c r="Z18">
        <f t="shared" si="5"/>
        <v>1.5087358197672223E-2</v>
      </c>
      <c r="AA18">
        <f t="shared" si="6"/>
        <v>3.5329344424670415E-3</v>
      </c>
      <c r="AB18">
        <f t="shared" ref="AB18:AB25" si="15">IF(AND(A18&gt;0,NOT(A18="***")),-X18/(3*V18),"")</f>
        <v>-2.3844675728421455E-6</v>
      </c>
      <c r="AC18">
        <f t="shared" ref="AC18:AC25" si="16">IF(AND(A18&gt;0,NOT(A18="***")),W18/(3*V18),"")</f>
        <v>1.0206956944930693E-5</v>
      </c>
    </row>
    <row r="19" spans="1:29" ht="15">
      <c r="A19" s="131">
        <f t="shared" si="11"/>
        <v>4</v>
      </c>
      <c r="B19" s="101">
        <v>1.6652551E-5</v>
      </c>
      <c r="C19" s="101">
        <v>4.7400473000000001E-5</v>
      </c>
      <c r="D19" s="101">
        <v>1.1481323E-4</v>
      </c>
      <c r="E19" s="101">
        <v>1.0083075999999999E-5</v>
      </c>
      <c r="F19" s="101">
        <v>2.0174998E-5</v>
      </c>
      <c r="G19" s="101">
        <v>2.6725378999999999E-5</v>
      </c>
      <c r="H19" s="101">
        <v>2.1245988999999999E-5</v>
      </c>
      <c r="I19" s="101">
        <v>3.2874837E-4</v>
      </c>
      <c r="J19" s="101">
        <v>8.1749959999999997E-2</v>
      </c>
      <c r="K19" s="101">
        <v>2.3288772E-4</v>
      </c>
      <c r="L19" s="101">
        <v>40.147139000000003</v>
      </c>
      <c r="M19" s="101">
        <v>8.2013865000000005E-2</v>
      </c>
      <c r="N19" s="101">
        <v>1.3744321999999999E-3</v>
      </c>
      <c r="O19" s="101">
        <v>40.287106999999999</v>
      </c>
      <c r="P19" s="106">
        <f t="shared" si="2"/>
        <v>5.7807010069002969</v>
      </c>
      <c r="Q19" s="113">
        <f t="shared" si="3"/>
        <v>3.052981815E-4</v>
      </c>
      <c r="R19" s="113">
        <f t="shared" si="4"/>
        <v>6.1169519999999996E-6</v>
      </c>
      <c r="S19" s="113">
        <f t="shared" si="12"/>
        <v>1.2359187335E-3</v>
      </c>
      <c r="T19" s="113">
        <f t="shared" si="7"/>
        <v>8.1717933487999994E-2</v>
      </c>
      <c r="U19" s="113">
        <f t="shared" si="8"/>
        <v>8.1981838488000003E-2</v>
      </c>
      <c r="V19" s="4">
        <f t="shared" si="9"/>
        <v>493.00202881312492</v>
      </c>
      <c r="W19" s="4">
        <f t="shared" si="13"/>
        <v>1.5124204452398329E-2</v>
      </c>
      <c r="X19" s="4">
        <f t="shared" si="10"/>
        <v>3.7359997795934478E-3</v>
      </c>
      <c r="Y19">
        <f t="shared" si="14"/>
        <v>-9.8306978019339431E-4</v>
      </c>
      <c r="Z19">
        <f t="shared" si="5"/>
        <v>1.510933630405171E-2</v>
      </c>
      <c r="AA19">
        <f t="shared" si="6"/>
        <v>3.7396725280755753E-3</v>
      </c>
      <c r="AB19">
        <f t="shared" si="15"/>
        <v>-2.5260205578921319E-6</v>
      </c>
      <c r="AC19">
        <f t="shared" si="16"/>
        <v>1.0225924417125973E-5</v>
      </c>
    </row>
    <row r="20" spans="1:29" ht="15">
      <c r="A20" s="131">
        <f t="shared" si="11"/>
        <v>5</v>
      </c>
      <c r="B20" s="101">
        <v>3.8203118000000003E-5</v>
      </c>
      <c r="C20" s="101">
        <v>6.2229143999999997E-5</v>
      </c>
      <c r="D20" s="101">
        <v>1.2171987E-4</v>
      </c>
      <c r="E20" s="101">
        <v>1.2767532E-5</v>
      </c>
      <c r="F20" s="101">
        <v>4.3840118999999999E-5</v>
      </c>
      <c r="G20" s="101">
        <v>3.5970509999999998E-5</v>
      </c>
      <c r="H20" s="101">
        <v>8.9645539999999997E-6</v>
      </c>
      <c r="I20" s="101">
        <v>3.3236932000000002E-4</v>
      </c>
      <c r="J20" s="101">
        <v>8.3311921999999997E-2</v>
      </c>
      <c r="K20" s="101">
        <v>2.3302344000000001E-4</v>
      </c>
      <c r="L20" s="101">
        <v>40.927010000000003</v>
      </c>
      <c r="M20" s="101">
        <v>8.3674571000000003E-2</v>
      </c>
      <c r="N20" s="101">
        <v>1.4103990999999999E-3</v>
      </c>
      <c r="O20" s="101">
        <v>41.109281000000003</v>
      </c>
      <c r="P20" s="106">
        <f t="shared" si="2"/>
        <v>5.6683900650074612</v>
      </c>
      <c r="Q20" s="113">
        <f t="shared" si="3"/>
        <v>2.9246400550000002E-4</v>
      </c>
      <c r="R20" s="113">
        <f t="shared" si="4"/>
        <v>-1.9339271499999998E-5</v>
      </c>
      <c r="S20" s="113">
        <f t="shared" si="12"/>
        <v>1.2575646580000001E-3</v>
      </c>
      <c r="T20" s="113">
        <f t="shared" si="7"/>
        <v>8.3261705869000002E-2</v>
      </c>
      <c r="U20" s="113">
        <f t="shared" si="8"/>
        <v>8.3624354869000009E-2</v>
      </c>
      <c r="V20" s="4">
        <f t="shared" si="9"/>
        <v>493.73575248001026</v>
      </c>
      <c r="W20" s="4">
        <f t="shared" si="13"/>
        <v>1.5103758022668817E-2</v>
      </c>
      <c r="X20" s="4">
        <f t="shared" si="10"/>
        <v>3.5125872386058115E-3</v>
      </c>
      <c r="Y20">
        <f t="shared" si="14"/>
        <v>-1.4769640401080344E-3</v>
      </c>
      <c r="Z20">
        <f t="shared" si="5"/>
        <v>1.5081450315198842E-2</v>
      </c>
      <c r="AA20">
        <f t="shared" si="6"/>
        <v>3.5177752036449745E-3</v>
      </c>
      <c r="AB20">
        <f t="shared" si="15"/>
        <v>-2.3714353416527359E-6</v>
      </c>
      <c r="AC20">
        <f t="shared" si="16"/>
        <v>1.0196924128479243E-5</v>
      </c>
    </row>
    <row r="21" spans="1:29" ht="15">
      <c r="A21" s="131">
        <f t="shared" si="11"/>
        <v>6</v>
      </c>
      <c r="B21" s="101">
        <v>3.4182440000000003E-5</v>
      </c>
      <c r="C21" s="101">
        <v>6.6152434999999996E-5</v>
      </c>
      <c r="D21" s="101">
        <v>1.2988946999999999E-4</v>
      </c>
      <c r="E21" s="101">
        <v>-8.6236270000000004E-6</v>
      </c>
      <c r="F21" s="101">
        <v>1.9374309999999999E-5</v>
      </c>
      <c r="G21" s="101">
        <v>3.5394678000000002E-5</v>
      </c>
      <c r="H21" s="101">
        <v>-2.0261043999999998E-5</v>
      </c>
      <c r="I21" s="101">
        <v>3.2641461000000002E-4</v>
      </c>
      <c r="J21" s="101">
        <v>8.4889072999999995E-2</v>
      </c>
      <c r="K21" s="101">
        <v>2.0686718E-4</v>
      </c>
      <c r="L21" s="101">
        <v>41.705354999999997</v>
      </c>
      <c r="M21" s="101">
        <v>8.5225883000000002E-2</v>
      </c>
      <c r="N21" s="101">
        <v>1.4295378999999999E-3</v>
      </c>
      <c r="O21" s="101">
        <v>41.874580999999999</v>
      </c>
      <c r="P21" s="106">
        <f t="shared" si="2"/>
        <v>4.9401611922994526</v>
      </c>
      <c r="Q21" s="113">
        <f t="shared" si="3"/>
        <v>2.9903011600000001E-4</v>
      </c>
      <c r="R21" s="113">
        <f t="shared" si="4"/>
        <v>-2.5636385499999998E-5</v>
      </c>
      <c r="S21" s="113">
        <f t="shared" si="12"/>
        <v>1.2665722124999999E-3</v>
      </c>
      <c r="T21" s="113">
        <f t="shared" si="7"/>
        <v>8.4838905562499997E-2</v>
      </c>
      <c r="U21" s="113">
        <f t="shared" si="8"/>
        <v>8.5175715562500004E-2</v>
      </c>
      <c r="V21" s="4">
        <f t="shared" si="9"/>
        <v>493.57757177986463</v>
      </c>
      <c r="W21" s="4">
        <f t="shared" si="13"/>
        <v>1.4929143700079068E-2</v>
      </c>
      <c r="X21" s="4">
        <f t="shared" si="10"/>
        <v>3.5246814420502801E-3</v>
      </c>
      <c r="Y21">
        <f t="shared" si="14"/>
        <v>-1.3706114101591134E-3</v>
      </c>
      <c r="Z21">
        <f t="shared" si="5"/>
        <v>1.4908681645379835E-2</v>
      </c>
      <c r="AA21">
        <f t="shared" si="6"/>
        <v>3.5295124106519298E-3</v>
      </c>
      <c r="AB21">
        <f t="shared" si="15"/>
        <v>-2.3803630496824157E-6</v>
      </c>
      <c r="AC21">
        <f t="shared" si="16"/>
        <v>1.008226774854177E-5</v>
      </c>
    </row>
    <row r="22" spans="1:29" ht="15">
      <c r="A22" s="131">
        <f t="shared" si="11"/>
        <v>7</v>
      </c>
      <c r="B22" s="101">
        <v>-1.3526308999999999E-5</v>
      </c>
      <c r="C22" s="101">
        <v>6.5570771000000007E-5</v>
      </c>
      <c r="D22" s="101">
        <v>1.2087174E-4</v>
      </c>
      <c r="E22" s="101">
        <v>-3.1070233999999999E-5</v>
      </c>
      <c r="F22" s="101">
        <v>1.3356623E-5</v>
      </c>
      <c r="G22" s="101">
        <v>4.5338025E-5</v>
      </c>
      <c r="H22" s="101">
        <v>-2.0817994999999999E-5</v>
      </c>
      <c r="I22" s="101">
        <v>3.4410581E-4</v>
      </c>
      <c r="J22" s="101">
        <v>8.6375903000000004E-2</v>
      </c>
      <c r="K22" s="101">
        <v>2.3648304000000001E-4</v>
      </c>
      <c r="L22" s="101">
        <v>42.436045</v>
      </c>
      <c r="M22" s="101">
        <v>8.6638296000000004E-2</v>
      </c>
      <c r="N22" s="101">
        <v>1.4403389999999999E-3</v>
      </c>
      <c r="O22" s="101">
        <v>42.574919999999999</v>
      </c>
      <c r="P22" s="106">
        <f t="shared" si="2"/>
        <v>5.5545151934519206</v>
      </c>
      <c r="Q22" s="113">
        <f t="shared" si="3"/>
        <v>3.1475848600000001E-4</v>
      </c>
      <c r="R22" s="113">
        <f t="shared" si="4"/>
        <v>-1.19611895E-5</v>
      </c>
      <c r="S22" s="113">
        <f t="shared" si="12"/>
        <v>1.2866818744999998E-3</v>
      </c>
      <c r="T22" s="113">
        <f t="shared" si="7"/>
        <v>8.6349880769000006E-2</v>
      </c>
      <c r="U22" s="113">
        <f t="shared" si="8"/>
        <v>8.6612273769000006E-2</v>
      </c>
      <c r="V22" s="4">
        <f t="shared" si="9"/>
        <v>493.0512887897882</v>
      </c>
      <c r="W22" s="4">
        <f t="shared" si="13"/>
        <v>1.4900795033430137E-2</v>
      </c>
      <c r="X22" s="4">
        <f t="shared" si="10"/>
        <v>3.6451525259430318E-3</v>
      </c>
      <c r="Y22">
        <f t="shared" si="14"/>
        <v>-1.0162743708696334E-3</v>
      </c>
      <c r="Z22">
        <f t="shared" si="5"/>
        <v>1.4885651737332081E-2</v>
      </c>
      <c r="AA22">
        <f t="shared" si="6"/>
        <v>3.6488570010330588E-3</v>
      </c>
      <c r="AB22">
        <f t="shared" si="15"/>
        <v>-2.4643497940414998E-6</v>
      </c>
      <c r="AC22">
        <f t="shared" si="16"/>
        <v>1.0073864100429703E-5</v>
      </c>
    </row>
    <row r="23" spans="1:29" ht="15">
      <c r="A23" s="131">
        <f t="shared" si="11"/>
        <v>8</v>
      </c>
      <c r="B23" s="101">
        <v>-2.4049769999999999E-5</v>
      </c>
      <c r="C23" s="101">
        <v>5.7248538999999999E-5</v>
      </c>
      <c r="D23" s="101">
        <v>1.2095454E-4</v>
      </c>
      <c r="E23" s="101">
        <v>-3.3730375999999999E-5</v>
      </c>
      <c r="F23" s="101">
        <v>3.6778827999999998E-5</v>
      </c>
      <c r="G23" s="101">
        <v>4.7656398000000001E-5</v>
      </c>
      <c r="H23" s="101">
        <v>-3.5027466999999999E-5</v>
      </c>
      <c r="I23" s="101">
        <v>3.4664914000000002E-4</v>
      </c>
      <c r="J23" s="101">
        <v>8.7372849000000002E-2</v>
      </c>
      <c r="K23" s="101">
        <v>2.5166407999999997E-4</v>
      </c>
      <c r="L23" s="101">
        <v>42.928955000000002</v>
      </c>
      <c r="M23" s="101">
        <v>8.7480962999999995E-2</v>
      </c>
      <c r="N23" s="101">
        <v>1.4634028E-3</v>
      </c>
      <c r="O23" s="101">
        <v>42.981377999999999</v>
      </c>
      <c r="P23" s="106">
        <f t="shared" si="2"/>
        <v>5.855188728476783</v>
      </c>
      <c r="Q23" s="113">
        <f t="shared" si="3"/>
        <v>3.0443152700000004E-4</v>
      </c>
      <c r="R23" s="113">
        <f t="shared" si="4"/>
        <v>-3.6551692999999999E-5</v>
      </c>
      <c r="S23" s="113">
        <f t="shared" si="12"/>
        <v>1.3138239904999999E-3</v>
      </c>
      <c r="T23" s="113">
        <f t="shared" si="7"/>
        <v>8.7356249615500009E-2</v>
      </c>
      <c r="U23" s="113">
        <f t="shared" si="8"/>
        <v>8.7464363615500001E-2</v>
      </c>
      <c r="V23" s="4">
        <f t="shared" si="9"/>
        <v>492.02407600123922</v>
      </c>
      <c r="W23" s="4">
        <f t="shared" si="13"/>
        <v>1.5039839694158326E-2</v>
      </c>
      <c r="X23" s="4">
        <f t="shared" si="10"/>
        <v>3.4849427297985029E-3</v>
      </c>
      <c r="Y23">
        <f t="shared" si="14"/>
        <v>-3.2248650667909828E-4</v>
      </c>
      <c r="Z23">
        <f t="shared" si="5"/>
        <v>1.5034989548794344E-2</v>
      </c>
      <c r="AA23">
        <f t="shared" si="6"/>
        <v>3.4860665768054124E-3</v>
      </c>
      <c r="AB23">
        <f t="shared" si="15"/>
        <v>-2.3609567768317404E-6</v>
      </c>
      <c r="AC23">
        <f t="shared" si="16"/>
        <v>1.0189094685765232E-5</v>
      </c>
    </row>
    <row r="24" spans="1:29" ht="15">
      <c r="A24" s="131">
        <f t="shared" si="11"/>
        <v>9</v>
      </c>
      <c r="B24" s="101">
        <v>-3.7563020000000001E-5</v>
      </c>
      <c r="C24" s="101">
        <v>5.3937563000000002E-5</v>
      </c>
      <c r="D24" s="101">
        <v>1.1953941E-4</v>
      </c>
      <c r="E24" s="101">
        <v>-4.4737278000000003E-5</v>
      </c>
      <c r="F24" s="101">
        <v>7.6223298000000004E-6</v>
      </c>
      <c r="G24" s="101">
        <v>3.5635546E-5</v>
      </c>
      <c r="H24" s="101">
        <v>-4.2949213999999997E-5</v>
      </c>
      <c r="I24" s="101">
        <v>3.6145626000000001E-4</v>
      </c>
      <c r="J24" s="101">
        <v>8.7889653999999998E-2</v>
      </c>
      <c r="K24" s="101">
        <v>2.6895773000000002E-4</v>
      </c>
      <c r="L24" s="101">
        <v>43.183883000000002</v>
      </c>
      <c r="M24" s="101">
        <v>8.8138121999999999E-2</v>
      </c>
      <c r="N24" s="101">
        <v>1.4729087E-3</v>
      </c>
      <c r="O24" s="101">
        <v>43.316519999999997</v>
      </c>
      <c r="P24" s="106">
        <f t="shared" si="2"/>
        <v>6.209125987036817</v>
      </c>
      <c r="Q24" s="113">
        <f t="shared" si="3"/>
        <v>3.398273221E-4</v>
      </c>
      <c r="R24" s="113">
        <f t="shared" si="4"/>
        <v>-2.4391739899999997E-5</v>
      </c>
      <c r="S24" s="113">
        <f t="shared" si="12"/>
        <v>1.3264005085000001E-3</v>
      </c>
      <c r="T24" s="113">
        <f t="shared" si="7"/>
        <v>8.7881466728500002E-2</v>
      </c>
      <c r="U24" s="113">
        <f t="shared" si="8"/>
        <v>8.8129934728500003E-2</v>
      </c>
      <c r="V24" s="4">
        <f t="shared" si="9"/>
        <v>492.89709892782696</v>
      </c>
      <c r="W24" s="4">
        <f t="shared" si="13"/>
        <v>1.5093062938944414E-2</v>
      </c>
      <c r="X24" s="4">
        <f t="shared" si="10"/>
        <v>3.8668826858552401E-3</v>
      </c>
      <c r="Y24">
        <f t="shared" si="14"/>
        <v>-9.1231774065159144E-4</v>
      </c>
      <c r="Z24">
        <f t="shared" si="5"/>
        <v>1.5079293269864444E-2</v>
      </c>
      <c r="AA24">
        <f t="shared" si="6"/>
        <v>3.8704105115305643E-3</v>
      </c>
      <c r="AB24">
        <f t="shared" si="15"/>
        <v>-2.6150709713830503E-6</v>
      </c>
      <c r="AC24">
        <f t="shared" si="16"/>
        <v>1.0207041166588021E-5</v>
      </c>
    </row>
    <row r="25" spans="1:29" ht="15">
      <c r="A25" s="131">
        <f t="shared" si="11"/>
        <v>10</v>
      </c>
      <c r="B25" s="101">
        <v>-2.8959703000000001E-5</v>
      </c>
      <c r="C25" s="101">
        <v>4.6107594999999998E-5</v>
      </c>
      <c r="D25" s="101">
        <v>1.4163220999999999E-4</v>
      </c>
      <c r="E25" s="101">
        <v>-4.7609898000000001E-5</v>
      </c>
      <c r="F25" s="101">
        <v>1.8770302000000001E-5</v>
      </c>
      <c r="G25" s="101">
        <v>4.2131454999999998E-5</v>
      </c>
      <c r="H25" s="101">
        <v>-4.7617226E-5</v>
      </c>
      <c r="I25" s="101">
        <v>3.4738005999999997E-4</v>
      </c>
      <c r="J25" s="101">
        <v>8.8495899000000003E-2</v>
      </c>
      <c r="K25" s="101">
        <v>2.6055938E-4</v>
      </c>
      <c r="L25" s="101">
        <v>43.490630000000003</v>
      </c>
      <c r="M25" s="101">
        <v>8.8744221999999998E-2</v>
      </c>
      <c r="N25" s="101">
        <v>1.4894877000000001E-3</v>
      </c>
      <c r="O25" s="101">
        <v>43.611640999999999</v>
      </c>
      <c r="P25" s="106">
        <f t="shared" si="2"/>
        <v>5.9745373947290821</v>
      </c>
      <c r="Q25" s="113">
        <f t="shared" si="3"/>
        <v>3.1692918149999995E-4</v>
      </c>
      <c r="R25" s="113">
        <f t="shared" si="4"/>
        <v>-3.3197427999999998E-5</v>
      </c>
      <c r="S25" s="113">
        <f t="shared" si="12"/>
        <v>1.3248016925000001E-3</v>
      </c>
      <c r="T25" s="113">
        <f t="shared" si="7"/>
        <v>8.8487325054000004E-2</v>
      </c>
      <c r="U25" s="113">
        <f t="shared" si="8"/>
        <v>8.8735648053999999E-2</v>
      </c>
      <c r="V25" s="4">
        <f t="shared" si="9"/>
        <v>492.8574908709885</v>
      </c>
      <c r="W25" s="4">
        <f t="shared" si="13"/>
        <v>1.4971654886070187E-2</v>
      </c>
      <c r="X25" s="4">
        <f t="shared" si="10"/>
        <v>3.5816336555161061E-3</v>
      </c>
      <c r="Y25">
        <f t="shared" si="14"/>
        <v>-8.856030194111334E-4</v>
      </c>
      <c r="Z25">
        <f t="shared" si="5"/>
        <v>1.4958395943297502E-2</v>
      </c>
      <c r="AA25">
        <f t="shared" si="6"/>
        <v>3.5848055610958555E-3</v>
      </c>
      <c r="AB25">
        <f t="shared" si="15"/>
        <v>-2.4223592159717169E-6</v>
      </c>
      <c r="AC25">
        <f t="shared" si="16"/>
        <v>1.0125749777832635E-5</v>
      </c>
    </row>
    <row r="26" spans="1:29" ht="15">
      <c r="A26" s="131">
        <f t="shared" si="11"/>
        <v>11</v>
      </c>
      <c r="B26" s="101">
        <v>-4.0021853E-6</v>
      </c>
      <c r="C26" s="101">
        <v>4.8257412000000003E-5</v>
      </c>
      <c r="D26" s="101">
        <v>1.127816E-4</v>
      </c>
      <c r="E26" s="101">
        <v>-1.0682189000000001E-5</v>
      </c>
      <c r="F26" s="101">
        <v>1.6504234E-5</v>
      </c>
      <c r="G26" s="101">
        <v>1.6603524E-5</v>
      </c>
      <c r="H26" s="101">
        <v>-3.5396309999999999E-5</v>
      </c>
      <c r="I26" s="101">
        <v>3.5838025999999999E-4</v>
      </c>
      <c r="J26" s="101">
        <v>9.2417118000000006E-2</v>
      </c>
      <c r="K26" s="101">
        <v>2.5237422000000002E-4</v>
      </c>
      <c r="L26" s="101">
        <v>45.432496999999998</v>
      </c>
      <c r="M26" s="101">
        <v>9.2524411000000001E-2</v>
      </c>
      <c r="N26" s="101">
        <v>1.5421326000000001E-3</v>
      </c>
      <c r="O26" s="101">
        <v>45.484341000000001</v>
      </c>
      <c r="P26" s="106">
        <f t="shared" ref="P26:P45" si="17">(K26/O26)*1000000</f>
        <v>5.5485957244054607</v>
      </c>
      <c r="Q26" s="113">
        <f t="shared" ref="Q26:Q45" si="18">I26-((F26+G26)/2)</f>
        <v>3.4182638099999999E-4</v>
      </c>
      <c r="R26" s="113">
        <f t="shared" ref="R26:R45" si="19">H26-((E26+F26)/2)</f>
        <v>-3.8307332499999997E-5</v>
      </c>
      <c r="S26" s="113">
        <f t="shared" ref="S26:S45" si="20">N26-((D26+C26/2))</f>
        <v>1.4052222940000002E-3</v>
      </c>
      <c r="T26" s="113">
        <f t="shared" ref="T26:T45" si="21">J26-((B26+C26)/2)</f>
        <v>9.239499038665E-2</v>
      </c>
      <c r="U26" s="113">
        <f t="shared" ref="U26:U45" si="22">M26-((C26+B26)/2)</f>
        <v>9.2502283386649994E-2</v>
      </c>
      <c r="V26" s="4">
        <f t="shared" ref="V26:V45" si="23">IF(AND(A26&gt;0,NOT(A26="***")),O26/T26,"")</f>
        <v>492.28146255180474</v>
      </c>
      <c r="W26" s="4">
        <f t="shared" ref="W26:W45" si="24">IF(AND(A26&gt;0,NOT(A26="***")),S26/T26,"")</f>
        <v>1.5208858057341585E-2</v>
      </c>
      <c r="X26" s="4">
        <f t="shared" ref="X26:X45" si="25">IF(AND(A26&gt;0,NOT(A26="***")),Q26/T26,"")</f>
        <v>3.6996202886059276E-3</v>
      </c>
      <c r="Y26">
        <f t="shared" ref="Y26:Y54" si="26">IF(AND(A26&gt;0,NOT(A26="***")),1/3*($W$7/V26-1),"")</f>
        <v>-4.9659932563698528E-4</v>
      </c>
      <c r="Z26">
        <f t="shared" si="5"/>
        <v>1.52013053486866E-2</v>
      </c>
      <c r="AA26">
        <f t="shared" si="6"/>
        <v>3.7014575175463621E-3</v>
      </c>
      <c r="AB26">
        <f t="shared" ref="AB26:AB54" si="27">IF(AND(A26&gt;0,NOT(A26="***")),-X26/(3*V26),"")</f>
        <v>-2.5050847059650702E-6</v>
      </c>
      <c r="AC26">
        <f t="shared" ref="AC26:AC54" si="28">IF(AND(A26&gt;0,NOT(A26="***")),W26/(3*V26),"")</f>
        <v>1.0298212990121883E-5</v>
      </c>
    </row>
    <row r="27" spans="1:29" ht="15">
      <c r="A27" s="131">
        <f t="shared" si="11"/>
        <v>12</v>
      </c>
      <c r="B27" s="101">
        <v>1.9465229E-6</v>
      </c>
      <c r="C27" s="101">
        <v>6.9465851999999997E-5</v>
      </c>
      <c r="D27" s="101">
        <v>1.0608505E-4</v>
      </c>
      <c r="E27" s="101">
        <v>-3.0420361000000001E-5</v>
      </c>
      <c r="F27" s="101">
        <v>3.1986367999999998E-6</v>
      </c>
      <c r="G27" s="101">
        <v>1.2107002999999999E-5</v>
      </c>
      <c r="H27" s="101">
        <v>-1.5854259999999999E-5</v>
      </c>
      <c r="I27" s="101">
        <v>3.5304420000000002E-4</v>
      </c>
      <c r="J27" s="101">
        <v>9.3268207000000006E-2</v>
      </c>
      <c r="K27" s="101">
        <v>2.5129021000000002E-4</v>
      </c>
      <c r="L27" s="101">
        <v>45.850271999999997</v>
      </c>
      <c r="M27" s="101">
        <v>9.3375075000000002E-2</v>
      </c>
      <c r="N27" s="101">
        <v>1.5499683E-3</v>
      </c>
      <c r="O27" s="101">
        <v>45.884737000000001</v>
      </c>
      <c r="P27" s="106">
        <f t="shared" si="17"/>
        <v>5.476553347140249</v>
      </c>
      <c r="Q27" s="113">
        <f t="shared" si="18"/>
        <v>3.4539138009999999E-4</v>
      </c>
      <c r="R27" s="113">
        <f t="shared" si="19"/>
        <v>-2.2433978999999991E-6</v>
      </c>
      <c r="S27" s="113">
        <f t="shared" si="20"/>
        <v>1.4091503240000001E-3</v>
      </c>
      <c r="T27" s="113">
        <f t="shared" si="21"/>
        <v>9.3232500812550009E-2</v>
      </c>
      <c r="U27" s="113">
        <f t="shared" si="22"/>
        <v>9.3339368812550005E-2</v>
      </c>
      <c r="V27" s="4">
        <f t="shared" si="23"/>
        <v>492.15387981766401</v>
      </c>
      <c r="W27" s="4">
        <f t="shared" si="24"/>
        <v>1.5114367969525866E-2</v>
      </c>
      <c r="X27" s="4">
        <f t="shared" si="25"/>
        <v>3.7046242146226644E-3</v>
      </c>
      <c r="Y27">
        <f t="shared" si="26"/>
        <v>-4.1031692029884026E-4</v>
      </c>
      <c r="Z27">
        <f t="shared" si="5"/>
        <v>1.5108166288608347E-2</v>
      </c>
      <c r="AA27">
        <f t="shared" si="6"/>
        <v>3.7061442846212729E-3</v>
      </c>
      <c r="AB27">
        <f t="shared" si="27"/>
        <v>-2.5091232414241214E-6</v>
      </c>
      <c r="AC27">
        <f t="shared" si="28"/>
        <v>1.0236884972592666E-5</v>
      </c>
    </row>
    <row r="28" spans="1:29" ht="15">
      <c r="A28" s="131">
        <f t="shared" si="11"/>
        <v>13</v>
      </c>
      <c r="B28" s="101">
        <v>2.9643663000000001E-6</v>
      </c>
      <c r="C28" s="101">
        <v>5.7615745000000001E-5</v>
      </c>
      <c r="D28" s="101">
        <v>1.0697245E-4</v>
      </c>
      <c r="E28" s="101">
        <v>-2.6311415000000001E-5</v>
      </c>
      <c r="F28" s="101">
        <v>3.4991029E-6</v>
      </c>
      <c r="G28" s="101">
        <v>2.0943468999999999E-5</v>
      </c>
      <c r="H28" s="101">
        <v>-1.9578738999999999E-5</v>
      </c>
      <c r="I28" s="101">
        <v>3.6749666E-4</v>
      </c>
      <c r="J28" s="101">
        <v>9.3635315999999996E-2</v>
      </c>
      <c r="K28" s="101">
        <v>2.6389187999999999E-4</v>
      </c>
      <c r="L28" s="101">
        <v>46.027558999999997</v>
      </c>
      <c r="M28" s="101">
        <v>9.3678616000000006E-2</v>
      </c>
      <c r="N28" s="101">
        <v>1.5587667000000001E-3</v>
      </c>
      <c r="O28" s="101">
        <v>46.052430999999999</v>
      </c>
      <c r="P28" s="106">
        <f t="shared" si="17"/>
        <v>5.7302486376886375</v>
      </c>
      <c r="Q28" s="113">
        <f t="shared" si="18"/>
        <v>3.5527537405000002E-4</v>
      </c>
      <c r="R28" s="113">
        <f t="shared" si="19"/>
        <v>-8.172582949999998E-6</v>
      </c>
      <c r="S28" s="113">
        <f t="shared" si="20"/>
        <v>1.4229863775E-3</v>
      </c>
      <c r="T28" s="113">
        <f t="shared" si="21"/>
        <v>9.3605025944349995E-2</v>
      </c>
      <c r="U28" s="113">
        <f t="shared" si="22"/>
        <v>9.3648325944350005E-2</v>
      </c>
      <c r="V28" s="4">
        <f t="shared" si="23"/>
        <v>491.98673399630337</v>
      </c>
      <c r="W28" s="4">
        <f t="shared" si="24"/>
        <v>1.5202029625481788E-2</v>
      </c>
      <c r="X28" s="4">
        <f t="shared" si="25"/>
        <v>3.795473271501662E-3</v>
      </c>
      <c r="Y28">
        <f t="shared" si="26"/>
        <v>-2.9721084002668852E-4</v>
      </c>
      <c r="Z28">
        <f t="shared" si="5"/>
        <v>1.519751141748669E-2</v>
      </c>
      <c r="AA28">
        <f t="shared" si="6"/>
        <v>3.7966013273009842E-3</v>
      </c>
      <c r="AB28">
        <f t="shared" si="27"/>
        <v>-2.5715281932311752E-6</v>
      </c>
      <c r="AC28">
        <f t="shared" si="28"/>
        <v>1.0299755782707759E-5</v>
      </c>
    </row>
    <row r="29" spans="1:29" ht="15">
      <c r="A29" s="131">
        <f t="shared" si="11"/>
        <v>14</v>
      </c>
      <c r="B29" s="101">
        <v>-1.3878923999999999E-5</v>
      </c>
      <c r="C29" s="101">
        <v>5.7241996000000001E-5</v>
      </c>
      <c r="D29" s="101">
        <v>1.0868015000000001E-4</v>
      </c>
      <c r="E29" s="101">
        <v>-4.0108360000000001E-5</v>
      </c>
      <c r="F29" s="101">
        <v>2.5012196999999999E-5</v>
      </c>
      <c r="G29" s="101">
        <v>3.0451146E-5</v>
      </c>
      <c r="H29" s="101">
        <v>-2.0717190000000001E-5</v>
      </c>
      <c r="I29" s="101">
        <v>3.6250692999999999E-4</v>
      </c>
      <c r="J29" s="101">
        <v>9.4135871999999995E-2</v>
      </c>
      <c r="K29" s="101">
        <v>2.4288919000000001E-4</v>
      </c>
      <c r="L29" s="101">
        <v>46.265093</v>
      </c>
      <c r="M29" s="101">
        <v>9.4169129000000004E-2</v>
      </c>
      <c r="N29" s="101">
        <v>1.5561473E-3</v>
      </c>
      <c r="O29" s="101">
        <v>46.285136000000001</v>
      </c>
      <c r="P29" s="106">
        <f t="shared" si="17"/>
        <v>5.2476715202910924</v>
      </c>
      <c r="Q29" s="113">
        <f t="shared" si="18"/>
        <v>3.3477525849999999E-4</v>
      </c>
      <c r="R29" s="113">
        <f t="shared" si="19"/>
        <v>-1.3169108500000001E-5</v>
      </c>
      <c r="S29" s="113">
        <f t="shared" si="20"/>
        <v>1.4188461519999999E-3</v>
      </c>
      <c r="T29" s="113">
        <f t="shared" si="21"/>
        <v>9.4114190463999992E-2</v>
      </c>
      <c r="U29" s="113">
        <f t="shared" si="22"/>
        <v>9.4147447464E-2</v>
      </c>
      <c r="V29" s="4">
        <f t="shared" si="23"/>
        <v>491.79763191720508</v>
      </c>
      <c r="W29" s="4">
        <f t="shared" si="24"/>
        <v>1.5075794043436294E-2</v>
      </c>
      <c r="X29" s="4">
        <f t="shared" si="25"/>
        <v>3.5571177614076833E-3</v>
      </c>
      <c r="Y29">
        <f t="shared" si="26"/>
        <v>-1.6915446258377226E-4</v>
      </c>
      <c r="Z29">
        <f t="shared" si="5"/>
        <v>1.5073243905596853E-2</v>
      </c>
      <c r="AA29">
        <f t="shared" si="6"/>
        <v>3.5577194637509612E-3</v>
      </c>
      <c r="AB29">
        <f t="shared" si="27"/>
        <v>-2.4109630537400459E-6</v>
      </c>
      <c r="AC29">
        <f t="shared" si="28"/>
        <v>1.0218155507490209E-5</v>
      </c>
    </row>
    <row r="30" spans="1:29" ht="15">
      <c r="A30" s="131">
        <f t="shared" si="11"/>
        <v>15</v>
      </c>
      <c r="B30" s="101">
        <v>-1.4625330000000001E-5</v>
      </c>
      <c r="C30" s="101">
        <v>3.8877183000000001E-5</v>
      </c>
      <c r="D30" s="101">
        <v>1.027199E-4</v>
      </c>
      <c r="E30" s="101">
        <v>-2.1146936000000001E-5</v>
      </c>
      <c r="F30" s="101">
        <v>4.9354785999999999E-6</v>
      </c>
      <c r="G30" s="101">
        <v>3.3210253999999997E-5</v>
      </c>
      <c r="H30" s="101">
        <v>-1.3916621000000001E-5</v>
      </c>
      <c r="I30" s="101">
        <v>3.6761393E-4</v>
      </c>
      <c r="J30" s="101">
        <v>9.4677687999999996E-2</v>
      </c>
      <c r="K30" s="101">
        <v>2.5834381999999999E-4</v>
      </c>
      <c r="L30" s="101">
        <v>46.520646999999997</v>
      </c>
      <c r="M30" s="101">
        <v>9.4707558999999997E-2</v>
      </c>
      <c r="N30" s="101">
        <v>1.5767890999999999E-3</v>
      </c>
      <c r="O30" s="101">
        <v>46.557699</v>
      </c>
      <c r="P30" s="106">
        <f t="shared" si="17"/>
        <v>5.5488957905759042</v>
      </c>
      <c r="Q30" s="113">
        <f t="shared" si="18"/>
        <v>3.4854106369999998E-4</v>
      </c>
      <c r="R30" s="113">
        <f t="shared" si="19"/>
        <v>-5.8108923000000002E-6</v>
      </c>
      <c r="S30" s="113">
        <f t="shared" si="20"/>
        <v>1.4546306084999999E-3</v>
      </c>
      <c r="T30" s="113">
        <f t="shared" si="21"/>
        <v>9.4665562073499993E-2</v>
      </c>
      <c r="U30" s="113">
        <f t="shared" si="22"/>
        <v>9.4695433073499993E-2</v>
      </c>
      <c r="V30" s="4">
        <f t="shared" si="23"/>
        <v>491.81241816165198</v>
      </c>
      <c r="W30" s="4">
        <f t="shared" si="24"/>
        <v>1.53659955810604E-2</v>
      </c>
      <c r="X30" s="4">
        <f t="shared" si="25"/>
        <v>3.6818147599375858E-3</v>
      </c>
      <c r="Y30">
        <f t="shared" si="26"/>
        <v>-1.791709786533498E-4</v>
      </c>
      <c r="Z30">
        <f t="shared" si="5"/>
        <v>1.5363242440594158E-2</v>
      </c>
      <c r="AA30">
        <f t="shared" si="6"/>
        <v>3.6824744342913445E-3</v>
      </c>
      <c r="AB30">
        <f t="shared" si="27"/>
        <v>-2.4954058525672985E-6</v>
      </c>
      <c r="AC30">
        <f t="shared" si="28"/>
        <v>1.0414536798736552E-5</v>
      </c>
    </row>
    <row r="31" spans="1:29" ht="15">
      <c r="A31" s="131">
        <f t="shared" si="11"/>
        <v>16</v>
      </c>
      <c r="B31" s="101">
        <v>5.1390619999999997E-5</v>
      </c>
      <c r="C31" s="101">
        <v>1.7429297000000001E-5</v>
      </c>
      <c r="D31" s="101">
        <v>1.2240834000000001E-4</v>
      </c>
      <c r="E31" s="101">
        <v>2.6192739000000001E-5</v>
      </c>
      <c r="F31" s="101">
        <v>-2.4743224999999999E-5</v>
      </c>
      <c r="G31" s="101">
        <v>2.9804828999999999E-5</v>
      </c>
      <c r="H31" s="101">
        <v>9.6459488999999993E-6</v>
      </c>
      <c r="I31" s="101">
        <v>3.3822181E-4</v>
      </c>
      <c r="J31" s="101">
        <v>9.5316043000000003E-2</v>
      </c>
      <c r="K31" s="101">
        <v>2.2250547999999999E-4</v>
      </c>
      <c r="L31" s="101">
        <v>46.842502000000003</v>
      </c>
      <c r="M31" s="101">
        <v>9.5384358000000002E-2</v>
      </c>
      <c r="N31" s="101">
        <v>1.5804161000000001E-3</v>
      </c>
      <c r="O31" s="101">
        <v>46.907066999999998</v>
      </c>
      <c r="P31" s="106">
        <f t="shared" si="17"/>
        <v>4.7435385375939196</v>
      </c>
      <c r="Q31" s="113">
        <f t="shared" si="18"/>
        <v>3.3569100800000002E-4</v>
      </c>
      <c r="R31" s="113">
        <f t="shared" si="19"/>
        <v>8.9211918999999984E-6</v>
      </c>
      <c r="S31" s="113">
        <f t="shared" si="20"/>
        <v>1.4492931115000001E-3</v>
      </c>
      <c r="T31" s="113">
        <f t="shared" si="21"/>
        <v>9.5281633041500002E-2</v>
      </c>
      <c r="U31" s="113">
        <f t="shared" si="22"/>
        <v>9.5349948041500002E-2</v>
      </c>
      <c r="V31" s="4">
        <f t="shared" si="23"/>
        <v>492.29915045189853</v>
      </c>
      <c r="W31" s="4">
        <f t="shared" si="24"/>
        <v>1.5210624180515034E-2</v>
      </c>
      <c r="X31" s="4">
        <f t="shared" si="25"/>
        <v>3.5231449890640466E-3</v>
      </c>
      <c r="Y31">
        <f t="shared" si="26"/>
        <v>-5.0855787338843772E-4</v>
      </c>
      <c r="Z31">
        <f t="shared" si="5"/>
        <v>1.5202888697828881E-2</v>
      </c>
      <c r="AA31">
        <f t="shared" si="6"/>
        <v>3.5249367121873237E-3</v>
      </c>
      <c r="AB31">
        <f t="shared" si="27"/>
        <v>-2.385504143046648E-6</v>
      </c>
      <c r="AC31">
        <f t="shared" si="28"/>
        <v>1.0299038817185766E-5</v>
      </c>
    </row>
    <row r="32" spans="1:29" ht="15">
      <c r="A32" s="131">
        <f t="shared" si="11"/>
        <v>17</v>
      </c>
      <c r="B32" s="101">
        <v>2.0952404E-5</v>
      </c>
      <c r="C32" s="101">
        <v>9.5734377999999996E-6</v>
      </c>
      <c r="D32" s="101">
        <v>1.0926038999999999E-4</v>
      </c>
      <c r="E32" s="101">
        <v>-6.1697146E-6</v>
      </c>
      <c r="F32" s="101">
        <v>-2.9960460999999999E-5</v>
      </c>
      <c r="G32" s="101">
        <v>2.3737096999999999E-5</v>
      </c>
      <c r="H32" s="101">
        <v>-2.9368454000000002E-7</v>
      </c>
      <c r="I32" s="101">
        <v>3.2301980999999998E-4</v>
      </c>
      <c r="J32" s="101">
        <v>9.5813019999999999E-2</v>
      </c>
      <c r="K32" s="101">
        <v>2.4544007999999999E-4</v>
      </c>
      <c r="L32" s="101">
        <v>47.101819999999996</v>
      </c>
      <c r="M32" s="101">
        <v>9.5782545999999996E-2</v>
      </c>
      <c r="N32" s="101">
        <v>1.58577E-3</v>
      </c>
      <c r="O32" s="101">
        <v>47.102555000000002</v>
      </c>
      <c r="P32" s="106">
        <f t="shared" si="17"/>
        <v>5.210759373881098</v>
      </c>
      <c r="Q32" s="113">
        <f t="shared" si="18"/>
        <v>3.26131492E-4</v>
      </c>
      <c r="R32" s="113">
        <f t="shared" si="19"/>
        <v>1.7771403259999998E-5</v>
      </c>
      <c r="S32" s="113">
        <f t="shared" si="20"/>
        <v>1.4717228911E-3</v>
      </c>
      <c r="T32" s="113">
        <f t="shared" si="21"/>
        <v>9.5797757079100002E-2</v>
      </c>
      <c r="U32" s="113">
        <f t="shared" si="22"/>
        <v>9.5767283079099999E-2</v>
      </c>
      <c r="V32" s="4">
        <f t="shared" si="23"/>
        <v>491.68745110710188</v>
      </c>
      <c r="W32" s="4">
        <f t="shared" si="24"/>
        <v>1.5362811572767842E-2</v>
      </c>
      <c r="X32" s="4">
        <f t="shared" si="25"/>
        <v>3.4043750286419957E-3</v>
      </c>
      <c r="Y32">
        <f t="shared" si="26"/>
        <v>-9.4496671251720343E-5</v>
      </c>
      <c r="Z32">
        <f t="shared" si="5"/>
        <v>1.5361359838213148E-2</v>
      </c>
      <c r="AA32">
        <f t="shared" si="6"/>
        <v>3.4046967307498951E-3</v>
      </c>
      <c r="AB32">
        <f t="shared" si="27"/>
        <v>-2.3079533017547208E-6</v>
      </c>
      <c r="AC32">
        <f t="shared" si="28"/>
        <v>1.0415025194139326E-5</v>
      </c>
    </row>
    <row r="33" spans="1:29" ht="15">
      <c r="A33" s="131">
        <f t="shared" si="11"/>
        <v>18</v>
      </c>
      <c r="B33" s="101">
        <v>2.5798067999999999E-5</v>
      </c>
      <c r="C33" s="101">
        <v>2.0791805E-5</v>
      </c>
      <c r="D33" s="101">
        <v>1.2625601000000001E-4</v>
      </c>
      <c r="E33" s="101">
        <v>-4.2914351999999999E-6</v>
      </c>
      <c r="F33" s="101">
        <v>-2.0061261000000001E-5</v>
      </c>
      <c r="G33" s="101">
        <v>4.7070222000000002E-5</v>
      </c>
      <c r="H33" s="101">
        <v>-5.1903786999999997E-6</v>
      </c>
      <c r="I33" s="101">
        <v>3.2514627000000001E-4</v>
      </c>
      <c r="J33" s="101">
        <v>9.6056824999999998E-2</v>
      </c>
      <c r="K33" s="101">
        <v>2.4903472000000002E-4</v>
      </c>
      <c r="L33" s="101">
        <v>47.222557000000002</v>
      </c>
      <c r="M33" s="101">
        <v>9.6181971000000005E-2</v>
      </c>
      <c r="N33" s="101">
        <v>1.5993088999999999E-3</v>
      </c>
      <c r="O33" s="101">
        <v>47.311219999999999</v>
      </c>
      <c r="P33" s="106">
        <f t="shared" si="17"/>
        <v>5.2637560392651048</v>
      </c>
      <c r="Q33" s="113">
        <f t="shared" si="18"/>
        <v>3.1164178950000002E-4</v>
      </c>
      <c r="R33" s="113">
        <f t="shared" si="19"/>
        <v>6.9859694000000005E-6</v>
      </c>
      <c r="S33" s="113">
        <f t="shared" si="20"/>
        <v>1.4626569874999999E-3</v>
      </c>
      <c r="T33" s="113">
        <f t="shared" si="21"/>
        <v>9.6033530063500003E-2</v>
      </c>
      <c r="U33" s="113">
        <f t="shared" si="22"/>
        <v>9.6158676063500009E-2</v>
      </c>
      <c r="V33" s="4">
        <f t="shared" si="23"/>
        <v>492.65313863518838</v>
      </c>
      <c r="W33" s="4">
        <f t="shared" si="24"/>
        <v>1.523069064037166E-2</v>
      </c>
      <c r="X33" s="4">
        <f t="shared" si="25"/>
        <v>3.2451352074003106E-3</v>
      </c>
      <c r="Y33">
        <f t="shared" si="26"/>
        <v>-7.4770389394418491E-4</v>
      </c>
      <c r="Z33">
        <f t="shared" si="5"/>
        <v>1.5219302593672395E-2</v>
      </c>
      <c r="AA33">
        <f t="shared" si="6"/>
        <v>3.2475616076312586E-3</v>
      </c>
      <c r="AB33">
        <f t="shared" si="27"/>
        <v>-2.1956862769550231E-6</v>
      </c>
      <c r="AC33">
        <f t="shared" si="28"/>
        <v>1.0305215743045027E-5</v>
      </c>
    </row>
    <row r="34" spans="1:29" ht="15">
      <c r="A34" s="131">
        <f t="shared" si="11"/>
        <v>19</v>
      </c>
      <c r="B34" s="101">
        <v>4.3691604E-6</v>
      </c>
      <c r="C34" s="101">
        <v>1.1473314000000001E-5</v>
      </c>
      <c r="D34" s="101">
        <v>1.2060543E-4</v>
      </c>
      <c r="E34" s="101">
        <v>-1.3836272999999999E-5</v>
      </c>
      <c r="F34" s="101">
        <v>-2.8520446000000001E-5</v>
      </c>
      <c r="G34" s="101">
        <v>3.3871989E-5</v>
      </c>
      <c r="H34" s="101">
        <v>-1.5509898999999999E-5</v>
      </c>
      <c r="I34" s="101">
        <v>3.2771009000000001E-4</v>
      </c>
      <c r="J34" s="101">
        <v>9.6744626E-2</v>
      </c>
      <c r="K34" s="101">
        <v>2.5443417000000002E-4</v>
      </c>
      <c r="L34" s="101">
        <v>47.546208999999998</v>
      </c>
      <c r="M34" s="101">
        <v>9.6774092000000006E-2</v>
      </c>
      <c r="N34" s="101">
        <v>1.6035260000000001E-3</v>
      </c>
      <c r="O34" s="101">
        <v>47.592888000000002</v>
      </c>
      <c r="P34" s="106">
        <f t="shared" si="17"/>
        <v>5.3460544356963586</v>
      </c>
      <c r="Q34" s="113">
        <f t="shared" si="18"/>
        <v>3.2503431850000001E-4</v>
      </c>
      <c r="R34" s="113">
        <f t="shared" si="19"/>
        <v>5.6684605000000003E-6</v>
      </c>
      <c r="S34" s="113">
        <f t="shared" si="20"/>
        <v>1.477183913E-3</v>
      </c>
      <c r="T34" s="113">
        <f t="shared" si="21"/>
        <v>9.6736704762799997E-2</v>
      </c>
      <c r="U34" s="113">
        <f t="shared" si="22"/>
        <v>9.6766170762800002E-2</v>
      </c>
      <c r="V34" s="4">
        <f t="shared" si="23"/>
        <v>491.98376269585111</v>
      </c>
      <c r="W34" s="4">
        <f t="shared" si="24"/>
        <v>1.527014918093478E-2</v>
      </c>
      <c r="X34" s="4">
        <f t="shared" si="25"/>
        <v>3.3599895644263419E-3</v>
      </c>
      <c r="Y34">
        <f t="shared" si="26"/>
        <v>-2.9519949238391663E-4</v>
      </c>
      <c r="Z34">
        <f t="shared" si="5"/>
        <v>1.5265641440647942E-2</v>
      </c>
      <c r="AA34">
        <f t="shared" si="6"/>
        <v>3.3609814316401757E-3</v>
      </c>
      <c r="AB34">
        <f t="shared" si="27"/>
        <v>-2.2764908242873037E-6</v>
      </c>
      <c r="AC34">
        <f t="shared" si="28"/>
        <v>1.0345970970844775E-5</v>
      </c>
    </row>
    <row r="35" spans="1:29" ht="15">
      <c r="A35" s="131">
        <f t="shared" si="11"/>
        <v>20</v>
      </c>
      <c r="B35" s="101">
        <v>-2.3619927000000002E-6</v>
      </c>
      <c r="C35" s="101">
        <v>-3.6553668E-6</v>
      </c>
      <c r="D35" s="101">
        <v>1.2457768999999999E-4</v>
      </c>
      <c r="E35" s="101">
        <v>-1.3383151E-5</v>
      </c>
      <c r="F35" s="101">
        <v>-1.7135965000000001E-5</v>
      </c>
      <c r="G35" s="101">
        <v>3.5850613000000001E-5</v>
      </c>
      <c r="H35" s="101">
        <v>-2.2452858000000002E-5</v>
      </c>
      <c r="I35" s="101">
        <v>3.3550715000000002E-4</v>
      </c>
      <c r="J35" s="101">
        <v>9.7149027999999998E-2</v>
      </c>
      <c r="K35" s="101">
        <v>2.8887495E-4</v>
      </c>
      <c r="L35" s="101">
        <v>47.753728000000002</v>
      </c>
      <c r="M35" s="101">
        <v>9.7418922000000005E-2</v>
      </c>
      <c r="N35" s="101">
        <v>1.6218764999999999E-3</v>
      </c>
      <c r="O35" s="101">
        <v>47.892319000000001</v>
      </c>
      <c r="P35" s="106">
        <f t="shared" si="17"/>
        <v>6.0317594978017244</v>
      </c>
      <c r="Q35" s="113">
        <f t="shared" si="18"/>
        <v>3.2614982600000003E-4</v>
      </c>
      <c r="R35" s="113">
        <f t="shared" si="19"/>
        <v>-7.1933000000000011E-6</v>
      </c>
      <c r="S35" s="113">
        <f t="shared" si="20"/>
        <v>1.4991264934E-3</v>
      </c>
      <c r="T35" s="113">
        <f t="shared" si="21"/>
        <v>9.7152036679750003E-2</v>
      </c>
      <c r="U35" s="113">
        <f t="shared" si="22"/>
        <v>9.742193067975001E-2</v>
      </c>
      <c r="V35" s="4">
        <f t="shared" si="23"/>
        <v>492.9625835624143</v>
      </c>
      <c r="W35" s="4">
        <f t="shared" si="24"/>
        <v>1.543072636080384E-2</v>
      </c>
      <c r="X35" s="4">
        <f t="shared" si="25"/>
        <v>3.3571074487621262E-3</v>
      </c>
      <c r="Y35">
        <f t="shared" si="26"/>
        <v>-9.5647620107249432E-4</v>
      </c>
      <c r="Z35">
        <f t="shared" si="5"/>
        <v>1.5415967238274469E-2</v>
      </c>
      <c r="AA35">
        <f t="shared" si="6"/>
        <v>3.3603184421413107E-3</v>
      </c>
      <c r="AB35">
        <f t="shared" si="27"/>
        <v>-2.2700218101083533E-6</v>
      </c>
      <c r="AC35">
        <f t="shared" si="28"/>
        <v>1.0434007823537074E-5</v>
      </c>
    </row>
    <row r="36" spans="1:29" ht="15">
      <c r="A36" s="131">
        <f t="shared" si="11"/>
        <v>21</v>
      </c>
      <c r="B36" s="101">
        <v>1.7889705999999999E-5</v>
      </c>
      <c r="C36" s="101">
        <v>5.5671436999999998E-5</v>
      </c>
      <c r="D36" s="101">
        <v>1.2816037999999999E-4</v>
      </c>
      <c r="E36" s="101">
        <v>5.8763753999999999E-6</v>
      </c>
      <c r="F36" s="101">
        <v>2.4712527000000002E-5</v>
      </c>
      <c r="G36" s="101">
        <v>3.2254071000000001E-5</v>
      </c>
      <c r="H36" s="101">
        <v>-1.2459486E-5</v>
      </c>
      <c r="I36" s="101">
        <v>3.9783610999999998E-4</v>
      </c>
      <c r="J36" s="101">
        <v>0.10149182</v>
      </c>
      <c r="K36" s="101">
        <v>3.2736153999999998E-4</v>
      </c>
      <c r="L36" s="101">
        <v>49.891432000000002</v>
      </c>
      <c r="M36" s="101">
        <v>0.10151417</v>
      </c>
      <c r="N36" s="101">
        <v>1.6995648E-3</v>
      </c>
      <c r="O36" s="101">
        <v>49.900526999999997</v>
      </c>
      <c r="P36" s="106">
        <f t="shared" si="17"/>
        <v>6.5602822190635379</v>
      </c>
      <c r="Q36" s="113">
        <f t="shared" si="18"/>
        <v>3.69352811E-4</v>
      </c>
      <c r="R36" s="113">
        <f t="shared" si="19"/>
        <v>-2.77539372E-5</v>
      </c>
      <c r="S36" s="113">
        <f t="shared" si="20"/>
        <v>1.5435687015E-3</v>
      </c>
      <c r="T36" s="113">
        <f t="shared" si="21"/>
        <v>0.1014550394285</v>
      </c>
      <c r="U36" s="113">
        <f t="shared" si="22"/>
        <v>0.1014773894285</v>
      </c>
      <c r="V36" s="4">
        <f t="shared" si="23"/>
        <v>491.84867780931847</v>
      </c>
      <c r="W36" s="4">
        <f t="shared" si="24"/>
        <v>1.5214312765486857E-2</v>
      </c>
      <c r="X36" s="4">
        <f t="shared" si="25"/>
        <v>3.6405565763965803E-3</v>
      </c>
      <c r="Y36">
        <f t="shared" si="26"/>
        <v>-2.0373148494445825E-4</v>
      </c>
      <c r="Z36">
        <f t="shared" si="5"/>
        <v>1.5211213130954734E-2</v>
      </c>
      <c r="AA36">
        <f t="shared" si="6"/>
        <v>3.6412982723939141E-3</v>
      </c>
      <c r="AB36">
        <f t="shared" si="27"/>
        <v>-2.4672605895858907E-6</v>
      </c>
      <c r="AC36">
        <f t="shared" si="28"/>
        <v>1.0310971274912587E-5</v>
      </c>
    </row>
    <row r="37" spans="1:29" ht="15">
      <c r="A37" s="131">
        <f t="shared" si="11"/>
        <v>22</v>
      </c>
      <c r="B37" s="101">
        <v>1.4223969E-5</v>
      </c>
      <c r="C37" s="101">
        <v>6.4566092999999999E-5</v>
      </c>
      <c r="D37" s="101">
        <v>1.3342310000000001E-4</v>
      </c>
      <c r="E37" s="101">
        <v>-2.7872852000000001E-6</v>
      </c>
      <c r="F37" s="101">
        <v>9.8619516000000004E-6</v>
      </c>
      <c r="G37" s="101">
        <v>3.6483692999999999E-5</v>
      </c>
      <c r="H37" s="101">
        <v>1.1476557E-5</v>
      </c>
      <c r="I37" s="101">
        <v>3.9535075999999999E-4</v>
      </c>
      <c r="J37" s="101">
        <v>0.10200902000000001</v>
      </c>
      <c r="K37" s="101">
        <v>2.9889438000000001E-4</v>
      </c>
      <c r="L37" s="101">
        <v>50.140182000000003</v>
      </c>
      <c r="M37" s="101">
        <v>0.10199556999999999</v>
      </c>
      <c r="N37" s="101">
        <v>1.7049749E-3</v>
      </c>
      <c r="O37" s="101">
        <v>50.136569000000001</v>
      </c>
      <c r="P37" s="106">
        <f t="shared" si="17"/>
        <v>5.9616041935378554</v>
      </c>
      <c r="Q37" s="113">
        <f t="shared" si="18"/>
        <v>3.7217793770000002E-4</v>
      </c>
      <c r="R37" s="113">
        <f t="shared" si="19"/>
        <v>7.9392237999999992E-6</v>
      </c>
      <c r="S37" s="113">
        <f t="shared" si="20"/>
        <v>1.5392687535000001E-3</v>
      </c>
      <c r="T37" s="113">
        <f t="shared" si="21"/>
        <v>0.101969624969</v>
      </c>
      <c r="U37" s="113">
        <f t="shared" si="22"/>
        <v>0.10195617496899999</v>
      </c>
      <c r="V37" s="4">
        <f t="shared" si="23"/>
        <v>491.6814101772182</v>
      </c>
      <c r="W37" s="4">
        <f t="shared" si="24"/>
        <v>1.5095365447974889E-2</v>
      </c>
      <c r="X37" s="4">
        <f t="shared" si="25"/>
        <v>3.6498902277334708E-3</v>
      </c>
      <c r="Y37">
        <f t="shared" si="26"/>
        <v>-9.0402409387994404E-5</v>
      </c>
      <c r="Z37">
        <f t="shared" si="5"/>
        <v>1.50940007905678E-2</v>
      </c>
      <c r="AA37">
        <f t="shared" si="6"/>
        <v>3.6502201866040595E-3</v>
      </c>
      <c r="AB37">
        <f t="shared" si="27"/>
        <v>-2.4744276491410227E-6</v>
      </c>
      <c r="AC37">
        <f t="shared" si="28"/>
        <v>1.0233839186323261E-5</v>
      </c>
    </row>
    <row r="38" spans="1:29" ht="15">
      <c r="A38" s="131">
        <f t="shared" si="11"/>
        <v>23</v>
      </c>
      <c r="B38" s="101">
        <v>1.0776533E-5</v>
      </c>
      <c r="C38" s="101">
        <v>6.6597915000000003E-5</v>
      </c>
      <c r="D38" s="101">
        <v>1.2978142000000001E-4</v>
      </c>
      <c r="E38" s="101">
        <v>-1.331756E-5</v>
      </c>
      <c r="F38" s="101">
        <v>2.4661368E-5</v>
      </c>
      <c r="G38" s="101">
        <v>4.3902537999999999E-5</v>
      </c>
      <c r="H38" s="101">
        <v>-1.150356E-5</v>
      </c>
      <c r="I38" s="101">
        <v>4.1630105000000001E-4</v>
      </c>
      <c r="J38" s="101">
        <v>0.10238255</v>
      </c>
      <c r="K38" s="101">
        <v>3.0372435999999998E-4</v>
      </c>
      <c r="L38" s="101">
        <v>50.323732</v>
      </c>
      <c r="M38" s="101">
        <v>0.10249965</v>
      </c>
      <c r="N38" s="101">
        <v>1.7025075E-3</v>
      </c>
      <c r="O38" s="101">
        <v>50.390115999999999</v>
      </c>
      <c r="P38" s="106">
        <f t="shared" si="17"/>
        <v>6.0274590358156743</v>
      </c>
      <c r="Q38" s="113">
        <f t="shared" si="18"/>
        <v>3.8201909700000004E-4</v>
      </c>
      <c r="R38" s="113">
        <f t="shared" si="19"/>
        <v>-1.7175464E-5</v>
      </c>
      <c r="S38" s="113">
        <f t="shared" si="20"/>
        <v>1.5394271225000001E-3</v>
      </c>
      <c r="T38" s="113">
        <f t="shared" si="21"/>
        <v>0.10234386277600001</v>
      </c>
      <c r="U38" s="113">
        <f t="shared" si="22"/>
        <v>0.102460962776</v>
      </c>
      <c r="V38" s="4">
        <f t="shared" si="23"/>
        <v>492.36089622969223</v>
      </c>
      <c r="W38" s="4">
        <f t="shared" si="24"/>
        <v>1.5041714087627745E-2</v>
      </c>
      <c r="X38" s="4">
        <f t="shared" si="25"/>
        <v>3.7327015674220266E-3</v>
      </c>
      <c r="Y38">
        <f t="shared" si="26"/>
        <v>-5.5029661581732869E-4</v>
      </c>
      <c r="Z38">
        <f t="shared" si="5"/>
        <v>1.5033436683269232E-2</v>
      </c>
      <c r="AA38">
        <f t="shared" si="6"/>
        <v>3.7347556604624349E-3</v>
      </c>
      <c r="AB38">
        <f t="shared" si="27"/>
        <v>-2.5270769172271801E-6</v>
      </c>
      <c r="AC38">
        <f t="shared" si="28"/>
        <v>1.0183393389423168E-5</v>
      </c>
    </row>
    <row r="39" spans="1:29" ht="15">
      <c r="A39" s="131">
        <f t="shared" si="11"/>
        <v>24</v>
      </c>
      <c r="B39" s="101">
        <v>1.8213375999999998E-5</v>
      </c>
      <c r="C39" s="101">
        <v>6.2826622000000006E-5</v>
      </c>
      <c r="D39" s="101">
        <v>1.3095760999999999E-4</v>
      </c>
      <c r="E39" s="101">
        <v>-1.1262697E-5</v>
      </c>
      <c r="F39" s="101">
        <v>3.0360242999999999E-6</v>
      </c>
      <c r="G39" s="101">
        <v>3.5292461000000001E-5</v>
      </c>
      <c r="H39" s="101">
        <v>1.6085159999999999E-6</v>
      </c>
      <c r="I39" s="101">
        <v>4.1037994999999999E-4</v>
      </c>
      <c r="J39" s="101">
        <v>0.10272058000000001</v>
      </c>
      <c r="K39" s="101">
        <v>3.0400286999999999E-4</v>
      </c>
      <c r="L39" s="101">
        <v>50.500604000000003</v>
      </c>
      <c r="M39" s="101">
        <v>0.10264557000000001</v>
      </c>
      <c r="N39" s="101">
        <v>1.7176515999999999E-3</v>
      </c>
      <c r="O39" s="101">
        <v>50.461962999999997</v>
      </c>
      <c r="P39" s="106">
        <f t="shared" si="17"/>
        <v>6.024396434994018</v>
      </c>
      <c r="Q39" s="113">
        <f t="shared" si="18"/>
        <v>3.9121570735000001E-4</v>
      </c>
      <c r="R39" s="113">
        <f t="shared" si="19"/>
        <v>5.7218523499999995E-6</v>
      </c>
      <c r="S39" s="113">
        <f t="shared" si="20"/>
        <v>1.5552806789999999E-3</v>
      </c>
      <c r="T39" s="113">
        <f t="shared" si="21"/>
        <v>0.10268006000100001</v>
      </c>
      <c r="U39" s="113">
        <f t="shared" si="22"/>
        <v>0.10260505000100001</v>
      </c>
      <c r="V39" s="4">
        <f t="shared" si="23"/>
        <v>491.44851492596075</v>
      </c>
      <c r="W39" s="4">
        <f t="shared" si="24"/>
        <v>1.5146861805348116E-2</v>
      </c>
      <c r="X39" s="4">
        <f t="shared" si="25"/>
        <v>3.810045566258823E-3</v>
      </c>
      <c r="Y39">
        <f t="shared" si="26"/>
        <v>6.7519923817149774E-5</v>
      </c>
      <c r="Z39">
        <f t="shared" si="5"/>
        <v>1.5147884520303282E-2</v>
      </c>
      <c r="AA39">
        <f t="shared" si="6"/>
        <v>3.8097883122724494E-3</v>
      </c>
      <c r="AB39">
        <f t="shared" si="27"/>
        <v>-2.5842283579680274E-6</v>
      </c>
      <c r="AC39">
        <f t="shared" si="28"/>
        <v>1.0273617239186672E-5</v>
      </c>
    </row>
    <row r="40" spans="1:29" ht="15">
      <c r="A40" s="131">
        <f t="shared" si="11"/>
        <v>25</v>
      </c>
      <c r="B40" s="101">
        <v>2.4731949E-5</v>
      </c>
      <c r="C40" s="101">
        <v>4.9100992000000001E-5</v>
      </c>
      <c r="D40" s="101">
        <v>1.2543101999999999E-4</v>
      </c>
      <c r="E40" s="101">
        <v>-5.0755027999999999E-6</v>
      </c>
      <c r="F40" s="101">
        <v>2.2731949999999998E-5</v>
      </c>
      <c r="G40" s="101">
        <v>3.1658456999999998E-5</v>
      </c>
      <c r="H40" s="101">
        <v>-6.1949521000000005E-7</v>
      </c>
      <c r="I40" s="101">
        <v>4.0372059000000002E-4</v>
      </c>
      <c r="J40" s="101">
        <v>0.10299277</v>
      </c>
      <c r="K40" s="101">
        <v>3.1198447999999999E-4</v>
      </c>
      <c r="L40" s="101">
        <v>50.636957000000002</v>
      </c>
      <c r="M40" s="101">
        <v>0.10310812</v>
      </c>
      <c r="N40" s="101">
        <v>1.7165272999999999E-3</v>
      </c>
      <c r="O40" s="101">
        <v>50.675009000000003</v>
      </c>
      <c r="P40" s="106">
        <f t="shared" si="17"/>
        <v>6.156574732922099</v>
      </c>
      <c r="Q40" s="113">
        <f t="shared" si="18"/>
        <v>3.7652538650000003E-4</v>
      </c>
      <c r="R40" s="113">
        <f t="shared" si="19"/>
        <v>-9.4477188099999996E-6</v>
      </c>
      <c r="S40" s="113">
        <f t="shared" si="20"/>
        <v>1.5665457839999998E-3</v>
      </c>
      <c r="T40" s="113">
        <f t="shared" si="21"/>
        <v>0.1029558535295</v>
      </c>
      <c r="U40" s="113">
        <f t="shared" si="22"/>
        <v>0.1030712035295</v>
      </c>
      <c r="V40" s="4">
        <f t="shared" si="23"/>
        <v>492.20133933890475</v>
      </c>
      <c r="W40" s="4">
        <f t="shared" si="24"/>
        <v>1.5215703918681385E-2</v>
      </c>
      <c r="X40" s="4">
        <f t="shared" si="25"/>
        <v>3.6571537566061165E-3</v>
      </c>
      <c r="Y40">
        <f t="shared" si="26"/>
        <v>-4.4241835055947032E-4</v>
      </c>
      <c r="Z40">
        <f t="shared" si="5"/>
        <v>1.5208972212051081E-2</v>
      </c>
      <c r="AA40">
        <f t="shared" si="6"/>
        <v>3.6587717485388571E-3</v>
      </c>
      <c r="AB40">
        <f t="shared" si="27"/>
        <v>-2.4767329033265028E-6</v>
      </c>
      <c r="AC40">
        <f t="shared" si="28"/>
        <v>1.030452560945771E-5</v>
      </c>
    </row>
    <row r="41" spans="1:29" ht="15">
      <c r="A41" s="131">
        <f t="shared" si="11"/>
        <v>26</v>
      </c>
      <c r="B41" s="101">
        <v>5.9210604999999999E-5</v>
      </c>
      <c r="C41" s="101">
        <v>3.6052990000000001E-5</v>
      </c>
      <c r="D41" s="101">
        <v>1.1010366E-4</v>
      </c>
      <c r="E41" s="101">
        <v>2.4630971999999999E-5</v>
      </c>
      <c r="F41" s="101">
        <v>-1.1375602E-5</v>
      </c>
      <c r="G41" s="101">
        <v>2.5794172000000001E-5</v>
      </c>
      <c r="H41" s="101">
        <v>1.5689828999999999E-5</v>
      </c>
      <c r="I41" s="101">
        <v>3.0478579E-4</v>
      </c>
      <c r="J41" s="101">
        <v>8.6373828E-2</v>
      </c>
      <c r="K41" s="101">
        <v>1.9900941000000001E-4</v>
      </c>
      <c r="L41" s="101">
        <v>42.463968000000001</v>
      </c>
      <c r="M41" s="101">
        <v>8.3354080999999997E-2</v>
      </c>
      <c r="N41" s="101">
        <v>1.3906402999999999E-3</v>
      </c>
      <c r="O41" s="101">
        <v>40.997033999999999</v>
      </c>
      <c r="P41" s="106">
        <f t="shared" si="17"/>
        <v>4.8542392115488164</v>
      </c>
      <c r="Q41" s="113">
        <f t="shared" si="18"/>
        <v>2.9757650500000001E-4</v>
      </c>
      <c r="R41" s="113">
        <f t="shared" si="19"/>
        <v>9.0621439999999995E-6</v>
      </c>
      <c r="S41" s="113">
        <f t="shared" si="20"/>
        <v>1.262510145E-3</v>
      </c>
      <c r="T41" s="113">
        <f t="shared" si="21"/>
        <v>8.6326196202499997E-2</v>
      </c>
      <c r="U41" s="113">
        <f t="shared" si="22"/>
        <v>8.3306449202499994E-2</v>
      </c>
      <c r="V41" s="4">
        <f t="shared" si="23"/>
        <v>474.90838011478064</v>
      </c>
      <c r="W41" s="4">
        <f t="shared" si="24"/>
        <v>1.4624878664159626E-2</v>
      </c>
      <c r="X41" s="4">
        <f t="shared" si="25"/>
        <v>3.44711707558571E-3</v>
      </c>
      <c r="Y41">
        <f t="shared" si="26"/>
        <v>1.1679222917356569E-2</v>
      </c>
      <c r="Z41">
        <f t="shared" si="5"/>
        <v>1.4795685882217639E-2</v>
      </c>
      <c r="AA41">
        <f t="shared" si="6"/>
        <v>3.4068574268377181E-3</v>
      </c>
      <c r="AB41">
        <f t="shared" si="27"/>
        <v>-2.4194962087582564E-6</v>
      </c>
      <c r="AC41">
        <f t="shared" si="28"/>
        <v>1.0265052710886351E-5</v>
      </c>
    </row>
    <row r="42" spans="1:29" ht="15">
      <c r="A42" s="131">
        <f t="shared" si="11"/>
        <v>27</v>
      </c>
      <c r="B42" s="101">
        <v>2.5674980999999999E-5</v>
      </c>
      <c r="C42" s="101">
        <v>1.8582208000000002E-5</v>
      </c>
      <c r="D42" s="101">
        <v>9.1978476000000001E-5</v>
      </c>
      <c r="E42" s="101">
        <v>-1.2087606000000001E-5</v>
      </c>
      <c r="F42" s="101">
        <v>-2.1341269E-5</v>
      </c>
      <c r="G42" s="101">
        <v>1.6812168000000001E-5</v>
      </c>
      <c r="H42" s="101">
        <v>-1.4197914E-5</v>
      </c>
      <c r="I42" s="101">
        <v>2.8492045000000002E-4</v>
      </c>
      <c r="J42" s="101">
        <v>7.6982814999999996E-2</v>
      </c>
      <c r="K42" s="101">
        <v>1.8368873999999999E-4</v>
      </c>
      <c r="L42" s="101">
        <v>37.838164999999996</v>
      </c>
      <c r="M42" s="101">
        <v>7.7038676E-2</v>
      </c>
      <c r="N42" s="101">
        <v>1.2913167000000001E-3</v>
      </c>
      <c r="O42" s="101">
        <v>37.879533000000002</v>
      </c>
      <c r="P42" s="106">
        <f t="shared" si="17"/>
        <v>4.8492873446987845</v>
      </c>
      <c r="Q42" s="113">
        <f t="shared" si="18"/>
        <v>2.8718500050000002E-4</v>
      </c>
      <c r="R42" s="113">
        <f t="shared" si="19"/>
        <v>2.5165234999999997E-6</v>
      </c>
      <c r="S42" s="113">
        <f t="shared" si="20"/>
        <v>1.19004712E-3</v>
      </c>
      <c r="T42" s="113">
        <f t="shared" si="21"/>
        <v>7.6960686405499995E-2</v>
      </c>
      <c r="U42" s="113">
        <f t="shared" si="22"/>
        <v>7.7016547405499999E-2</v>
      </c>
      <c r="V42" s="4">
        <f t="shared" si="23"/>
        <v>492.19328424925459</v>
      </c>
      <c r="W42" s="4">
        <f t="shared" si="24"/>
        <v>1.5463052313875326E-2</v>
      </c>
      <c r="X42" s="4">
        <f t="shared" si="25"/>
        <v>3.731580549929663E-3</v>
      </c>
      <c r="Y42">
        <f t="shared" si="26"/>
        <v>-4.3697035634719195E-4</v>
      </c>
      <c r="Z42">
        <f t="shared" si="5"/>
        <v>1.5456295418395518E-2</v>
      </c>
      <c r="AA42">
        <f t="shared" si="6"/>
        <v>3.733211140012304E-3</v>
      </c>
      <c r="AB42">
        <f t="shared" si="27"/>
        <v>-2.5271782917703869E-6</v>
      </c>
      <c r="AC42">
        <f t="shared" si="28"/>
        <v>1.0472208655089105E-5</v>
      </c>
    </row>
    <row r="43" spans="1:29" ht="15">
      <c r="A43" s="131">
        <f t="shared" si="11"/>
        <v>28</v>
      </c>
      <c r="B43" s="101">
        <v>-9.8418135999999997E-7</v>
      </c>
      <c r="C43" s="101">
        <v>1.9432781999999999E-5</v>
      </c>
      <c r="D43" s="101">
        <v>9.8994636999999997E-5</v>
      </c>
      <c r="E43" s="101">
        <v>-1.5077828999999999E-5</v>
      </c>
      <c r="F43" s="101">
        <v>-2.6293959000000001E-5</v>
      </c>
      <c r="G43" s="101">
        <v>3.4695864999999999E-5</v>
      </c>
      <c r="H43" s="101">
        <v>-1.7746239999999999E-6</v>
      </c>
      <c r="I43" s="101">
        <v>2.6463946E-4</v>
      </c>
      <c r="J43" s="101">
        <v>7.7292696999999994E-2</v>
      </c>
      <c r="K43" s="101">
        <v>2.0427218000000001E-4</v>
      </c>
      <c r="L43" s="101">
        <v>37.988545999999999</v>
      </c>
      <c r="M43" s="101">
        <v>7.7393529000000003E-2</v>
      </c>
      <c r="N43" s="101">
        <v>1.2819194E-3</v>
      </c>
      <c r="O43" s="101">
        <v>38.056721000000003</v>
      </c>
      <c r="P43" s="106">
        <f t="shared" si="17"/>
        <v>5.3675717358833932</v>
      </c>
      <c r="Q43" s="113">
        <f t="shared" si="18"/>
        <v>2.6043850700000002E-4</v>
      </c>
      <c r="R43" s="113">
        <f t="shared" si="19"/>
        <v>1.8911270000000001E-5</v>
      </c>
      <c r="S43" s="113">
        <f t="shared" si="20"/>
        <v>1.1732083720000001E-3</v>
      </c>
      <c r="T43" s="113">
        <f t="shared" si="21"/>
        <v>7.728347269968E-2</v>
      </c>
      <c r="U43" s="113">
        <f t="shared" si="22"/>
        <v>7.7384304699680009E-2</v>
      </c>
      <c r="V43" s="4">
        <f t="shared" si="23"/>
        <v>492.43026575535316</v>
      </c>
      <c r="W43" s="4">
        <f t="shared" si="24"/>
        <v>1.5180585589871634E-2</v>
      </c>
      <c r="X43" s="4">
        <f t="shared" si="25"/>
        <v>3.3699120640198455E-3</v>
      </c>
      <c r="Y43">
        <f t="shared" si="26"/>
        <v>-5.9717635293032867E-4</v>
      </c>
      <c r="Z43">
        <f t="shared" si="5"/>
        <v>1.5171520103133728E-2</v>
      </c>
      <c r="AA43">
        <f t="shared" si="6"/>
        <v>3.3719244958159331E-3</v>
      </c>
      <c r="AB43">
        <f t="shared" si="27"/>
        <v>-2.2811433404014671E-6</v>
      </c>
      <c r="AC43">
        <f t="shared" si="28"/>
        <v>1.0275963011456854E-5</v>
      </c>
    </row>
    <row r="44" spans="1:29" ht="15">
      <c r="A44" s="131">
        <f t="shared" si="11"/>
        <v>29</v>
      </c>
      <c r="B44" s="101">
        <v>8.8292904999999993E-6</v>
      </c>
      <c r="C44" s="101">
        <v>8.3226874999999999E-6</v>
      </c>
      <c r="D44" s="101">
        <v>7.8131145000000005E-5</v>
      </c>
      <c r="E44" s="101">
        <v>-3.2042141999999998E-5</v>
      </c>
      <c r="F44" s="101">
        <v>-1.6313286E-5</v>
      </c>
      <c r="G44" s="101">
        <v>1.8595407000000001E-5</v>
      </c>
      <c r="H44" s="101">
        <v>-1.6949510000000002E-5</v>
      </c>
      <c r="I44" s="101">
        <v>2.711212E-4</v>
      </c>
      <c r="J44" s="101">
        <v>7.7490184000000004E-2</v>
      </c>
      <c r="K44" s="101">
        <v>1.9164308999999999E-4</v>
      </c>
      <c r="L44" s="101">
        <v>38.100850999999999</v>
      </c>
      <c r="M44" s="101">
        <v>7.7430461000000006E-2</v>
      </c>
      <c r="N44" s="101">
        <v>1.2817658999999999E-3</v>
      </c>
      <c r="O44" s="101">
        <v>38.076036999999999</v>
      </c>
      <c r="P44" s="106">
        <f t="shared" si="17"/>
        <v>5.0331679738624056</v>
      </c>
      <c r="Q44" s="113">
        <f t="shared" si="18"/>
        <v>2.699801395E-4</v>
      </c>
      <c r="R44" s="113">
        <f t="shared" si="19"/>
        <v>7.2282039999999972E-6</v>
      </c>
      <c r="S44" s="113">
        <f t="shared" si="20"/>
        <v>1.1994734112499999E-3</v>
      </c>
      <c r="T44" s="113">
        <f t="shared" si="21"/>
        <v>7.7481608011E-2</v>
      </c>
      <c r="U44" s="113">
        <f t="shared" si="22"/>
        <v>7.7421885011000002E-2</v>
      </c>
      <c r="V44" s="4">
        <f t="shared" si="23"/>
        <v>491.42032512534297</v>
      </c>
      <c r="W44" s="4">
        <f t="shared" si="24"/>
        <v>1.5480750103685402E-2</v>
      </c>
      <c r="X44" s="4">
        <f t="shared" si="25"/>
        <v>3.4844416169276088E-3</v>
      </c>
      <c r="Y44">
        <f t="shared" si="26"/>
        <v>8.6645106677070885E-5</v>
      </c>
      <c r="Z44">
        <f t="shared" si="5"/>
        <v>1.5482091434929575E-2</v>
      </c>
      <c r="AA44">
        <f t="shared" si="6"/>
        <v>3.4841397071119998E-3</v>
      </c>
      <c r="AB44">
        <f t="shared" si="27"/>
        <v>-2.3635175013968321E-6</v>
      </c>
      <c r="AC44">
        <f t="shared" si="28"/>
        <v>1.050068499556996E-5</v>
      </c>
    </row>
    <row r="45" spans="1:29" ht="15">
      <c r="A45" s="131">
        <f t="shared" si="11"/>
        <v>30</v>
      </c>
      <c r="B45" s="101">
        <v>2.930756E-6</v>
      </c>
      <c r="C45" s="101">
        <v>2.6154598999999999E-5</v>
      </c>
      <c r="D45" s="101">
        <v>8.3303355000000003E-5</v>
      </c>
      <c r="E45" s="101">
        <v>-2.3414613E-5</v>
      </c>
      <c r="F45" s="101">
        <v>-9.1175062E-6</v>
      </c>
      <c r="G45" s="101">
        <v>2.2432305999999998E-5</v>
      </c>
      <c r="H45" s="101">
        <v>-1.3012264000000001E-5</v>
      </c>
      <c r="I45" s="101">
        <v>2.7298819E-4</v>
      </c>
      <c r="J45" s="101">
        <v>7.7749806000000005E-2</v>
      </c>
      <c r="K45" s="101">
        <v>1.9719232999999999E-4</v>
      </c>
      <c r="L45" s="101">
        <v>38.217658999999998</v>
      </c>
      <c r="M45" s="101">
        <v>7.7691584999999994E-2</v>
      </c>
      <c r="N45" s="101">
        <v>1.2911265E-3</v>
      </c>
      <c r="O45" s="101">
        <v>38.205244</v>
      </c>
      <c r="P45" s="106">
        <f t="shared" si="17"/>
        <v>5.1613943363377031</v>
      </c>
      <c r="Q45" s="113">
        <f t="shared" si="18"/>
        <v>2.6633079009999997E-4</v>
      </c>
      <c r="R45" s="113">
        <f t="shared" si="19"/>
        <v>3.2537956000000002E-6</v>
      </c>
      <c r="S45" s="113">
        <f t="shared" si="20"/>
        <v>1.1947458455E-3</v>
      </c>
      <c r="T45" s="113">
        <f t="shared" si="21"/>
        <v>7.7735263322499998E-2</v>
      </c>
      <c r="U45" s="113">
        <f t="shared" si="22"/>
        <v>7.7677042322499987E-2</v>
      </c>
      <c r="V45" s="4">
        <f t="shared" si="23"/>
        <v>491.47892947243321</v>
      </c>
      <c r="W45" s="4">
        <f t="shared" si="24"/>
        <v>1.5369419159788041E-2</v>
      </c>
      <c r="X45" s="4">
        <f t="shared" si="25"/>
        <v>3.4261257853475638E-3</v>
      </c>
      <c r="Y45">
        <f t="shared" si="26"/>
        <v>4.6887837399441537E-5</v>
      </c>
      <c r="Z45">
        <f t="shared" si="5"/>
        <v>1.5370139798614528E-2</v>
      </c>
      <c r="AA45">
        <f t="shared" si="6"/>
        <v>3.4259651417188302E-3</v>
      </c>
      <c r="AB45">
        <f t="shared" si="27"/>
        <v>-2.3236844144571707E-6</v>
      </c>
      <c r="AC45">
        <f t="shared" si="28"/>
        <v>1.0423925447686363E-5</v>
      </c>
    </row>
    <row r="46" spans="1:29" ht="15">
      <c r="A46" s="131">
        <f t="shared" si="11"/>
        <v>31</v>
      </c>
      <c r="B46" s="101">
        <v>6.5739847000000001E-6</v>
      </c>
      <c r="C46" s="101">
        <v>4.1597319000000001E-5</v>
      </c>
      <c r="D46" s="101">
        <v>9.3291922999999997E-5</v>
      </c>
      <c r="E46" s="101">
        <v>-1.5969394000000001E-6</v>
      </c>
      <c r="F46" s="101">
        <v>7.2059370000000003E-6</v>
      </c>
      <c r="G46" s="101">
        <v>1.8526304E-5</v>
      </c>
      <c r="H46" s="101">
        <v>-9.1522358000000005E-6</v>
      </c>
      <c r="I46" s="101">
        <v>3.1870431000000001E-4</v>
      </c>
      <c r="J46" s="101">
        <v>7.9468902999999994E-2</v>
      </c>
      <c r="K46" s="101">
        <v>2.1400934E-4</v>
      </c>
      <c r="L46" s="101">
        <v>39.066732000000002</v>
      </c>
      <c r="M46" s="101">
        <v>7.9566021000000001E-2</v>
      </c>
      <c r="N46" s="101">
        <v>1.3102166000000001E-3</v>
      </c>
      <c r="O46" s="101">
        <v>39.111182999999997</v>
      </c>
      <c r="P46" s="106">
        <f t="shared" ref="P46:P54" si="29">(K46/O46)*1000000</f>
        <v>5.4718196583314809</v>
      </c>
      <c r="Q46" s="113">
        <f t="shared" ref="Q46:Q54" si="30">I46-((F46+G46)/2)</f>
        <v>3.0583818950000001E-4</v>
      </c>
      <c r="R46" s="113">
        <f t="shared" ref="R46:R54" si="31">H46-((E46+F46)/2)</f>
        <v>-1.19567346E-5</v>
      </c>
      <c r="S46" s="113">
        <f t="shared" ref="S46:S54" si="32">N46-((D46+C46/2))</f>
        <v>1.1961260175000002E-3</v>
      </c>
      <c r="T46" s="113">
        <f t="shared" ref="T46:T54" si="33">J46-((B46+C46)/2)</f>
        <v>7.9444817348149996E-2</v>
      </c>
      <c r="U46" s="113">
        <f t="shared" ref="U46:U54" si="34">M46-((C46+B46)/2)</f>
        <v>7.9541935348150003E-2</v>
      </c>
      <c r="V46" s="4">
        <f t="shared" ref="V46:V54" si="35">IF(AND(A46&gt;0,NOT(A46="***")),O46/T46,"")</f>
        <v>492.30628636986557</v>
      </c>
      <c r="W46" s="4">
        <f t="shared" ref="W46:W54" si="36">IF(AND(A46&gt;0,NOT(A46="***")),S46/T46,"")</f>
        <v>1.5056061017274828E-2</v>
      </c>
      <c r="X46" s="4">
        <f t="shared" ref="X46:X54" si="37">IF(AND(A46&gt;0,NOT(A46="***")),Q46/T46,"")</f>
        <v>3.8496934061756261E-3</v>
      </c>
      <c r="Y46">
        <f t="shared" si="26"/>
        <v>-5.1338212682746254E-4</v>
      </c>
      <c r="Z46">
        <f t="shared" si="5"/>
        <v>1.5048331504648136E-2</v>
      </c>
      <c r="AA46">
        <f t="shared" si="6"/>
        <v>3.8516697699641222E-3</v>
      </c>
      <c r="AB46">
        <f t="shared" si="27"/>
        <v>-2.6065706876385377E-6</v>
      </c>
      <c r="AC46">
        <f t="shared" si="28"/>
        <v>1.0194237093263072E-5</v>
      </c>
    </row>
    <row r="47" spans="1:29" ht="15">
      <c r="A47" s="131">
        <f t="shared" si="11"/>
        <v>32</v>
      </c>
      <c r="B47" s="101">
        <v>1.6100707999999998E-5</v>
      </c>
      <c r="C47" s="101">
        <v>4.3834439999999998E-5</v>
      </c>
      <c r="D47" s="101">
        <v>7.9472227999999998E-5</v>
      </c>
      <c r="E47" s="101">
        <v>-7.0417417999999999E-6</v>
      </c>
      <c r="F47" s="101">
        <v>1.4975959E-5</v>
      </c>
      <c r="G47" s="101">
        <v>3.0885731E-5</v>
      </c>
      <c r="H47" s="101">
        <v>-1.8397905999999999E-5</v>
      </c>
      <c r="I47" s="101">
        <v>3.0855370000000001E-4</v>
      </c>
      <c r="J47" s="101">
        <v>7.9793921000000004E-2</v>
      </c>
      <c r="K47" s="101">
        <v>2.1791962E-4</v>
      </c>
      <c r="L47" s="101">
        <v>39.226624999999999</v>
      </c>
      <c r="M47" s="101">
        <v>7.9935221000000001E-2</v>
      </c>
      <c r="N47" s="101">
        <v>1.3208966E-3</v>
      </c>
      <c r="O47" s="101">
        <v>39.298200000000001</v>
      </c>
      <c r="P47" s="106">
        <f t="shared" si="29"/>
        <v>5.5452824811314514</v>
      </c>
      <c r="Q47" s="113">
        <f t="shared" si="30"/>
        <v>2.8562285500000002E-4</v>
      </c>
      <c r="R47" s="113">
        <f t="shared" si="31"/>
        <v>-2.2365014599999998E-5</v>
      </c>
      <c r="S47" s="113">
        <f t="shared" si="32"/>
        <v>1.2195071519999999E-3</v>
      </c>
      <c r="T47" s="113">
        <f t="shared" si="33"/>
        <v>7.9763953425999998E-2</v>
      </c>
      <c r="U47" s="113">
        <f t="shared" si="34"/>
        <v>7.9905253425999995E-2</v>
      </c>
      <c r="V47" s="4">
        <f t="shared" si="35"/>
        <v>492.68119635592552</v>
      </c>
      <c r="W47" s="4">
        <f t="shared" si="36"/>
        <v>1.5288950705425883E-2</v>
      </c>
      <c r="X47" s="4">
        <f t="shared" si="37"/>
        <v>3.5808512834683277E-3</v>
      </c>
      <c r="Y47">
        <f t="shared" si="26"/>
        <v>-7.6664432597410104E-4</v>
      </c>
      <c r="Z47">
        <f t="shared" si="5"/>
        <v>1.5277229518117472E-2</v>
      </c>
      <c r="AA47">
        <f t="shared" si="6"/>
        <v>3.5835965227869562E-3</v>
      </c>
      <c r="AB47">
        <f t="shared" si="27"/>
        <v>-2.4226966714336364E-6</v>
      </c>
      <c r="AC47">
        <f t="shared" si="28"/>
        <v>1.0344045885053259E-5</v>
      </c>
    </row>
    <row r="48" spans="1:29" ht="15">
      <c r="A48" s="131">
        <f t="shared" si="11"/>
        <v>33</v>
      </c>
      <c r="B48" s="101">
        <v>5.2182661999999999E-6</v>
      </c>
      <c r="C48" s="101">
        <v>4.9106609E-5</v>
      </c>
      <c r="D48" s="101">
        <v>9.2320925000000001E-5</v>
      </c>
      <c r="E48" s="101">
        <v>7.7171866999999992E-6</v>
      </c>
      <c r="F48" s="101">
        <v>4.0442561E-6</v>
      </c>
      <c r="G48" s="101">
        <v>2.9425474E-5</v>
      </c>
      <c r="H48" s="101">
        <v>-1.5744998E-5</v>
      </c>
      <c r="I48" s="101">
        <v>3.0516769999999998E-4</v>
      </c>
      <c r="J48" s="101">
        <v>8.0243950999999994E-2</v>
      </c>
      <c r="K48" s="101">
        <v>2.1436746999999999E-4</v>
      </c>
      <c r="L48" s="101">
        <v>39.436219000000001</v>
      </c>
      <c r="M48" s="101">
        <v>8.0245863000000001E-2</v>
      </c>
      <c r="N48" s="101">
        <v>1.3226892E-3</v>
      </c>
      <c r="O48" s="101">
        <v>39.453394000000003</v>
      </c>
      <c r="P48" s="106">
        <f t="shared" si="29"/>
        <v>5.4334354605842021</v>
      </c>
      <c r="Q48" s="113">
        <f t="shared" si="30"/>
        <v>2.8843283494999996E-4</v>
      </c>
      <c r="R48" s="113">
        <f t="shared" si="31"/>
        <v>-2.16257194E-5</v>
      </c>
      <c r="S48" s="113">
        <f t="shared" si="32"/>
        <v>1.2058149705E-3</v>
      </c>
      <c r="T48" s="113">
        <f t="shared" si="33"/>
        <v>8.0216788562399999E-2</v>
      </c>
      <c r="U48" s="113">
        <f t="shared" si="34"/>
        <v>8.0218700562400005E-2</v>
      </c>
      <c r="V48" s="4">
        <f t="shared" si="35"/>
        <v>491.83462348794382</v>
      </c>
      <c r="W48" s="4">
        <f t="shared" si="36"/>
        <v>1.5031952688582218E-2</v>
      </c>
      <c r="X48" s="4">
        <f t="shared" si="37"/>
        <v>3.5956666942061682E-3</v>
      </c>
      <c r="Y48">
        <f t="shared" si="26"/>
        <v>-1.9421220699977759E-4</v>
      </c>
      <c r="Z48">
        <f t="shared" si="5"/>
        <v>1.5029033299875053E-2</v>
      </c>
      <c r="AA48">
        <f t="shared" si="6"/>
        <v>3.5963650165704857E-3</v>
      </c>
      <c r="AB48">
        <f t="shared" si="27"/>
        <v>-2.4369076667185249E-6</v>
      </c>
      <c r="AC48">
        <f t="shared" si="28"/>
        <v>1.0187674183366836E-5</v>
      </c>
    </row>
    <row r="49" spans="1:29" ht="15">
      <c r="A49" s="131">
        <f t="shared" si="11"/>
        <v>34</v>
      </c>
      <c r="B49" s="101">
        <v>-3.1505066E-6</v>
      </c>
      <c r="C49" s="101">
        <v>3.8323674000000003E-5</v>
      </c>
      <c r="D49" s="101">
        <v>8.5584183E-5</v>
      </c>
      <c r="E49" s="101">
        <v>-2.8796942E-5</v>
      </c>
      <c r="F49" s="101">
        <v>2.9555663999999998E-6</v>
      </c>
      <c r="G49" s="101">
        <v>7.7326286000000007E-6</v>
      </c>
      <c r="H49" s="101">
        <v>-1.5832940000000002E-5</v>
      </c>
      <c r="I49" s="101">
        <v>3.1605663999999999E-4</v>
      </c>
      <c r="J49" s="101">
        <v>8.0495572000000001E-2</v>
      </c>
      <c r="K49" s="101">
        <v>2.0738015999999999E-4</v>
      </c>
      <c r="L49" s="101">
        <v>39.568584000000001</v>
      </c>
      <c r="M49" s="101">
        <v>8.0547857E-2</v>
      </c>
      <c r="N49" s="101">
        <v>1.3238867000000001E-3</v>
      </c>
      <c r="O49" s="101">
        <v>39.605451000000002</v>
      </c>
      <c r="P49" s="106">
        <f t="shared" si="29"/>
        <v>5.2361519630214532</v>
      </c>
      <c r="Q49" s="113">
        <f t="shared" si="30"/>
        <v>3.1071254249999999E-4</v>
      </c>
      <c r="R49" s="113">
        <f t="shared" si="31"/>
        <v>-2.9122522000000011E-6</v>
      </c>
      <c r="S49" s="113">
        <f t="shared" si="32"/>
        <v>1.21914068E-3</v>
      </c>
      <c r="T49" s="113">
        <f t="shared" si="33"/>
        <v>8.0477985416299996E-2</v>
      </c>
      <c r="U49" s="113">
        <f t="shared" si="34"/>
        <v>8.0530270416299995E-2</v>
      </c>
      <c r="V49" s="4">
        <f t="shared" si="35"/>
        <v>492.12776382419634</v>
      </c>
      <c r="W49" s="4">
        <f t="shared" si="36"/>
        <v>1.5148747495275589E-2</v>
      </c>
      <c r="X49" s="4">
        <f t="shared" si="37"/>
        <v>3.8608389722075264E-3</v>
      </c>
      <c r="Y49">
        <f t="shared" si="26"/>
        <v>-3.9264952585168117E-4</v>
      </c>
      <c r="Z49">
        <f t="shared" si="5"/>
        <v>1.5142799346754322E-2</v>
      </c>
      <c r="AA49">
        <f t="shared" si="6"/>
        <v>3.8623549287993535E-3</v>
      </c>
      <c r="AB49">
        <f t="shared" si="27"/>
        <v>-2.6150654741944483E-6</v>
      </c>
      <c r="AC49">
        <f t="shared" si="28"/>
        <v>1.0260714533124914E-5</v>
      </c>
    </row>
    <row r="50" spans="1:29" ht="15">
      <c r="A50" s="131">
        <f t="shared" si="11"/>
        <v>35</v>
      </c>
      <c r="B50" s="101">
        <v>1.3709669000000001E-6</v>
      </c>
      <c r="C50" s="101">
        <v>4.3215503000000001E-5</v>
      </c>
      <c r="D50" s="101">
        <v>1.0642683E-4</v>
      </c>
      <c r="E50" s="101">
        <v>-1.3429195E-5</v>
      </c>
      <c r="F50" s="101">
        <v>-1.3842670999999999E-6</v>
      </c>
      <c r="G50" s="101">
        <v>3.1231976999999999E-5</v>
      </c>
      <c r="H50" s="101">
        <v>-6.2356490999999999E-6</v>
      </c>
      <c r="I50" s="101">
        <v>3.1098507E-4</v>
      </c>
      <c r="J50" s="101">
        <v>8.0933413999999995E-2</v>
      </c>
      <c r="K50" s="101">
        <v>2.1562461000000001E-4</v>
      </c>
      <c r="L50" s="101">
        <v>39.788984999999997</v>
      </c>
      <c r="M50" s="101">
        <v>8.0980523999999998E-2</v>
      </c>
      <c r="N50" s="101">
        <v>1.3271102999999999E-3</v>
      </c>
      <c r="O50" s="101">
        <v>39.810488999999997</v>
      </c>
      <c r="P50" s="106">
        <f t="shared" si="29"/>
        <v>5.416276348677858</v>
      </c>
      <c r="Q50" s="113">
        <f t="shared" si="30"/>
        <v>2.9606121505000002E-4</v>
      </c>
      <c r="R50" s="113">
        <f t="shared" si="31"/>
        <v>1.1710819499999996E-6</v>
      </c>
      <c r="S50" s="113">
        <f t="shared" si="32"/>
        <v>1.1990757184999999E-3</v>
      </c>
      <c r="T50" s="113">
        <f t="shared" si="33"/>
        <v>8.0911120765049999E-2</v>
      </c>
      <c r="U50" s="113">
        <f t="shared" si="34"/>
        <v>8.0958230765050002E-2</v>
      </c>
      <c r="V50" s="4">
        <f t="shared" si="35"/>
        <v>492.02740764896629</v>
      </c>
      <c r="W50" s="4">
        <f t="shared" si="36"/>
        <v>1.4819665172873829E-2</v>
      </c>
      <c r="X50" s="4">
        <f t="shared" si="37"/>
        <v>3.6590917571109123E-3</v>
      </c>
      <c r="Y50">
        <f t="shared" si="26"/>
        <v>-3.2474141121015726E-4</v>
      </c>
      <c r="Z50">
        <f t="shared" si="5"/>
        <v>1.4814852613891927E-2</v>
      </c>
      <c r="AA50">
        <f t="shared" si="6"/>
        <v>3.6602800157318643E-3</v>
      </c>
      <c r="AB50">
        <f t="shared" si="27"/>
        <v>-2.4789213637474623E-6</v>
      </c>
      <c r="AC50">
        <f t="shared" si="28"/>
        <v>1.0039864272118504E-5</v>
      </c>
    </row>
    <row r="51" spans="1:29" ht="15">
      <c r="A51" s="131">
        <f t="shared" si="11"/>
        <v>36</v>
      </c>
      <c r="B51" s="101">
        <v>3.7461003999999997E-5</v>
      </c>
      <c r="C51" s="101">
        <v>1.8372479E-5</v>
      </c>
      <c r="D51" s="101">
        <v>8.6109515999999997E-5</v>
      </c>
      <c r="E51" s="101">
        <v>2.9311109999999999E-5</v>
      </c>
      <c r="F51" s="101">
        <v>-9.4233753E-6</v>
      </c>
      <c r="G51" s="101">
        <v>2.836112E-5</v>
      </c>
      <c r="H51" s="101">
        <v>2.8285781000000001E-5</v>
      </c>
      <c r="I51" s="101">
        <v>2.9842823E-4</v>
      </c>
      <c r="J51" s="101">
        <v>8.1104061000000005E-2</v>
      </c>
      <c r="K51" s="101">
        <v>1.6435042000000001E-4</v>
      </c>
      <c r="L51" s="101">
        <v>39.88409</v>
      </c>
      <c r="M51" s="101">
        <v>8.1075698000000002E-2</v>
      </c>
      <c r="N51" s="101">
        <v>1.3441744E-3</v>
      </c>
      <c r="O51" s="101">
        <v>39.884327999999996</v>
      </c>
      <c r="P51" s="106">
        <f t="shared" si="29"/>
        <v>4.1206766728024107</v>
      </c>
      <c r="Q51" s="113">
        <f t="shared" si="30"/>
        <v>2.8895935764999998E-4</v>
      </c>
      <c r="R51" s="113">
        <f t="shared" si="31"/>
        <v>1.8341913650000002E-5</v>
      </c>
      <c r="S51" s="113">
        <f t="shared" si="32"/>
        <v>1.2488786445E-3</v>
      </c>
      <c r="T51" s="113">
        <f t="shared" si="33"/>
        <v>8.1076144258500002E-2</v>
      </c>
      <c r="U51" s="113">
        <f t="shared" si="34"/>
        <v>8.1047781258499998E-2</v>
      </c>
      <c r="V51" s="4">
        <f t="shared" si="35"/>
        <v>491.9366647831003</v>
      </c>
      <c r="W51" s="4">
        <f t="shared" si="36"/>
        <v>1.5403774512489447E-2</v>
      </c>
      <c r="X51" s="4">
        <f t="shared" si="37"/>
        <v>3.5640490836452866E-3</v>
      </c>
      <c r="Y51">
        <f t="shared" si="26"/>
        <v>-2.6331449154289494E-4</v>
      </c>
      <c r="Z51">
        <f t="shared" si="5"/>
        <v>1.5399718475435848E-2</v>
      </c>
      <c r="AA51">
        <f t="shared" si="6"/>
        <v>3.5649875494175808E-3</v>
      </c>
      <c r="AB51">
        <f t="shared" si="27"/>
        <v>-2.4149782812771306E-6</v>
      </c>
      <c r="AC51">
        <f t="shared" si="28"/>
        <v>1.0437505215080971E-5</v>
      </c>
    </row>
    <row r="52" spans="1:29" ht="15">
      <c r="A52" s="131">
        <f t="shared" si="11"/>
        <v>37</v>
      </c>
      <c r="B52" s="101">
        <v>1.8434664999999999E-5</v>
      </c>
      <c r="C52" s="101">
        <v>1.5631697999999999E-5</v>
      </c>
      <c r="D52" s="101">
        <v>8.2067616000000004E-5</v>
      </c>
      <c r="E52" s="101">
        <v>1.5160442E-6</v>
      </c>
      <c r="F52" s="101">
        <v>3.0105394000000001E-7</v>
      </c>
      <c r="G52" s="101">
        <v>2.7511026999999999E-5</v>
      </c>
      <c r="H52" s="101">
        <v>-8.9486298999999998E-6</v>
      </c>
      <c r="I52" s="101">
        <v>2.8936165999999999E-4</v>
      </c>
      <c r="J52" s="101">
        <v>8.1396196000000004E-2</v>
      </c>
      <c r="K52" s="101">
        <v>1.7328577999999999E-4</v>
      </c>
      <c r="L52" s="101">
        <v>40.020367999999998</v>
      </c>
      <c r="M52" s="101">
        <v>8.1361981999999999E-2</v>
      </c>
      <c r="N52" s="101">
        <v>1.3416522999999999E-3</v>
      </c>
      <c r="O52" s="101">
        <v>40.014878000000003</v>
      </c>
      <c r="P52" s="106">
        <f t="shared" si="29"/>
        <v>4.3305337579687224</v>
      </c>
      <c r="Q52" s="113">
        <f t="shared" si="30"/>
        <v>2.7545561952999997E-4</v>
      </c>
      <c r="R52" s="113">
        <f t="shared" si="31"/>
        <v>-9.8571789699999991E-6</v>
      </c>
      <c r="S52" s="113">
        <f t="shared" si="32"/>
        <v>1.251768835E-3</v>
      </c>
      <c r="T52" s="113">
        <f t="shared" si="33"/>
        <v>8.1379162818500009E-2</v>
      </c>
      <c r="U52" s="113">
        <f t="shared" si="34"/>
        <v>8.1344948818500004E-2</v>
      </c>
      <c r="V52" s="4">
        <f t="shared" si="35"/>
        <v>491.70913799205834</v>
      </c>
      <c r="W52" s="4">
        <f t="shared" si="36"/>
        <v>1.5381933060577445E-2</v>
      </c>
      <c r="X52" s="4">
        <f t="shared" si="37"/>
        <v>3.3848421388205821E-3</v>
      </c>
      <c r="Y52">
        <f t="shared" si="26"/>
        <v>-1.0919420634984225E-4</v>
      </c>
      <c r="Z52">
        <f t="shared" si="5"/>
        <v>1.5380253442604769E-2</v>
      </c>
      <c r="AA52">
        <f t="shared" si="6"/>
        <v>3.3852117439715501E-3</v>
      </c>
      <c r="AB52">
        <f t="shared" si="27"/>
        <v>-2.2946100158879235E-6</v>
      </c>
      <c r="AC52">
        <f t="shared" si="28"/>
        <v>1.0427528439130399E-5</v>
      </c>
    </row>
    <row r="53" spans="1:29" ht="15">
      <c r="A53" s="131">
        <f t="shared" si="11"/>
        <v>38</v>
      </c>
      <c r="B53" s="101">
        <v>5.8813833000000001E-6</v>
      </c>
      <c r="C53" s="101">
        <v>2.4704151999999998E-5</v>
      </c>
      <c r="D53" s="101">
        <v>8.6169175E-5</v>
      </c>
      <c r="E53" s="101">
        <v>-6.6642037999999999E-6</v>
      </c>
      <c r="F53" s="101">
        <v>-1.8771658E-5</v>
      </c>
      <c r="G53" s="101">
        <v>2.4431308E-5</v>
      </c>
      <c r="H53" s="101">
        <v>5.7909097999999999E-6</v>
      </c>
      <c r="I53" s="101">
        <v>2.6845097999999998E-4</v>
      </c>
      <c r="J53" s="101">
        <v>8.1476201999999998E-2</v>
      </c>
      <c r="K53" s="101">
        <v>1.9155442999999999E-4</v>
      </c>
      <c r="L53" s="101">
        <v>40.053040000000003</v>
      </c>
      <c r="M53" s="101">
        <v>8.1453654E-2</v>
      </c>
      <c r="N53" s="101">
        <v>1.3396599999999999E-3</v>
      </c>
      <c r="O53" s="101">
        <v>40.060993000000003</v>
      </c>
      <c r="P53" s="106">
        <f t="shared" si="29"/>
        <v>4.7815696929928819</v>
      </c>
      <c r="Q53" s="113">
        <f t="shared" si="30"/>
        <v>2.6562115499999999E-4</v>
      </c>
      <c r="R53" s="113">
        <f t="shared" si="31"/>
        <v>1.8508840699999999E-5</v>
      </c>
      <c r="S53" s="113">
        <f t="shared" si="32"/>
        <v>1.241138749E-3</v>
      </c>
      <c r="T53" s="113">
        <f t="shared" si="33"/>
        <v>8.1460909232349998E-2</v>
      </c>
      <c r="U53" s="113">
        <f t="shared" si="34"/>
        <v>8.1438361232350001E-2</v>
      </c>
      <c r="V53" s="4">
        <f t="shared" si="35"/>
        <v>491.78180525501506</v>
      </c>
      <c r="W53" s="4">
        <f t="shared" si="36"/>
        <v>1.5236004123891062E-2</v>
      </c>
      <c r="X53" s="4">
        <f t="shared" si="37"/>
        <v>3.260719251762485E-3</v>
      </c>
      <c r="Y53">
        <f t="shared" si="26"/>
        <v>-1.5843247804418295E-4</v>
      </c>
      <c r="Z53">
        <f t="shared" si="5"/>
        <v>1.5233590246002222E-2</v>
      </c>
      <c r="AA53">
        <f t="shared" si="6"/>
        <v>3.2612358555937481E-3</v>
      </c>
      <c r="AB53">
        <f t="shared" si="27"/>
        <v>-2.2101395489622533E-6</v>
      </c>
      <c r="AC53">
        <f t="shared" si="28"/>
        <v>1.0327075924786321E-5</v>
      </c>
    </row>
    <row r="54" spans="1:29" ht="15">
      <c r="A54" s="131">
        <f t="shared" si="11"/>
        <v>39</v>
      </c>
      <c r="B54" s="101">
        <v>-4.7944385999999996E-6</v>
      </c>
      <c r="C54" s="101">
        <v>-8.0603489000000005E-6</v>
      </c>
      <c r="D54" s="101">
        <v>8.0270393000000004E-5</v>
      </c>
      <c r="E54" s="101">
        <v>-2.0325446999999999E-5</v>
      </c>
      <c r="F54" s="101">
        <v>-2.4077450000000001E-5</v>
      </c>
      <c r="G54" s="101">
        <v>2.3506649E-5</v>
      </c>
      <c r="H54" s="101">
        <v>-1.8900525000000001E-5</v>
      </c>
      <c r="I54" s="101">
        <v>2.9622938000000001E-4</v>
      </c>
      <c r="J54" s="101">
        <v>8.1881830000000003E-2</v>
      </c>
      <c r="K54" s="101">
        <v>1.8768640000000001E-4</v>
      </c>
      <c r="L54" s="101">
        <v>40.256715999999997</v>
      </c>
      <c r="M54" s="101">
        <v>8.1878086000000003E-2</v>
      </c>
      <c r="N54" s="101">
        <v>1.3566508000000001E-3</v>
      </c>
      <c r="O54" s="101">
        <v>40.274112000000002</v>
      </c>
      <c r="P54" s="106">
        <f t="shared" si="29"/>
        <v>4.6602244141348166</v>
      </c>
      <c r="Q54" s="113">
        <f t="shared" si="30"/>
        <v>2.9651478050000003E-4</v>
      </c>
      <c r="R54" s="113">
        <f t="shared" si="31"/>
        <v>3.3009234999999984E-6</v>
      </c>
      <c r="S54" s="113">
        <f t="shared" si="32"/>
        <v>1.2804105814500002E-3</v>
      </c>
      <c r="T54" s="113">
        <f t="shared" si="33"/>
        <v>8.1888257393749997E-2</v>
      </c>
      <c r="U54" s="113">
        <f t="shared" si="34"/>
        <v>8.1884513393749997E-2</v>
      </c>
      <c r="V54" s="4">
        <f t="shared" si="35"/>
        <v>491.81791482442594</v>
      </c>
      <c r="W54" s="4">
        <f t="shared" si="36"/>
        <v>1.5636070691958891E-2</v>
      </c>
      <c r="X54" s="4">
        <f t="shared" si="37"/>
        <v>3.6209682552437745E-3</v>
      </c>
      <c r="Y54">
        <f t="shared" si="26"/>
        <v>-1.828943812115143E-4</v>
      </c>
      <c r="Z54">
        <f t="shared" si="5"/>
        <v>1.5633210942485105E-2</v>
      </c>
      <c r="AA54">
        <f t="shared" si="6"/>
        <v>3.6216305099922037E-3</v>
      </c>
      <c r="AB54">
        <f t="shared" si="27"/>
        <v>-2.4541387819219123E-6</v>
      </c>
      <c r="AC54">
        <f t="shared" si="28"/>
        <v>1.0597465864672573E-5</v>
      </c>
    </row>
    <row r="55" spans="1:29" ht="15">
      <c r="A55" s="131">
        <f t="shared" si="11"/>
        <v>40</v>
      </c>
      <c r="B55" s="101">
        <v>3.1747200999999999E-6</v>
      </c>
      <c r="C55" s="101">
        <v>1.7960011E-6</v>
      </c>
      <c r="D55" s="101">
        <v>7.9561944999999998E-5</v>
      </c>
      <c r="E55" s="101">
        <v>-2.0875813999999999E-5</v>
      </c>
      <c r="F55" s="101">
        <v>-1.9101438E-5</v>
      </c>
      <c r="G55" s="101">
        <v>1.7116082000000001E-5</v>
      </c>
      <c r="H55" s="101">
        <v>-2.6306334999999998E-6</v>
      </c>
      <c r="I55" s="101">
        <v>2.7879266E-4</v>
      </c>
      <c r="J55" s="101">
        <v>8.2046616000000003E-2</v>
      </c>
      <c r="K55" s="101">
        <v>2.0018839999999999E-4</v>
      </c>
      <c r="L55" s="101">
        <v>40.336239999999997</v>
      </c>
      <c r="M55" s="101">
        <v>8.2032012000000001E-2</v>
      </c>
      <c r="N55" s="101">
        <v>1.3607399E-3</v>
      </c>
      <c r="O55" s="101">
        <v>40.353408999999999</v>
      </c>
      <c r="P55" s="106">
        <f t="shared" ref="P55:P60" si="38">(K55/O55)*1000000</f>
        <v>4.9608795133020855</v>
      </c>
      <c r="Q55" s="113">
        <f t="shared" ref="Q55:Q60" si="39">I55-((F55+G55)/2)</f>
        <v>2.7978533800000001E-4</v>
      </c>
      <c r="R55" s="113">
        <f t="shared" ref="R55:R60" si="40">H55-((E55+F55)/2)</f>
        <v>1.7357992499999998E-5</v>
      </c>
      <c r="S55" s="113">
        <f t="shared" ref="S55:S60" si="41">N55-((D55+C55/2))</f>
        <v>1.28027995445E-3</v>
      </c>
      <c r="T55" s="113">
        <f t="shared" ref="T55:T60" si="42">J55-((B55+C55)/2)</f>
        <v>8.2044130639399998E-2</v>
      </c>
      <c r="U55" s="113">
        <f t="shared" ref="U55:U60" si="43">M55-((C55+B55)/2)</f>
        <v>8.2029526639399997E-2</v>
      </c>
      <c r="V55" s="4">
        <f t="shared" ref="V55:V60" si="44">IF(AND(A55&gt;0,NOT(A55="***")),O55/T55,"")</f>
        <v>491.85004077087643</v>
      </c>
      <c r="W55" s="4">
        <f t="shared" ref="W55:W60" si="45">IF(AND(A55&gt;0,NOT(A55="***")),S55/T55,"")</f>
        <v>1.5604772022962628E-2</v>
      </c>
      <c r="X55" s="4">
        <f t="shared" ref="X55:X60" si="46">IF(AND(A55&gt;0,NOT(A55="***")),Q55/T55,"")</f>
        <v>3.4101810308614432E-3</v>
      </c>
      <c r="Y55">
        <f t="shared" ref="Y55:Y60" si="47">IF(AND(A55&gt;0,NOT(A55="***")),1/3*($W$7/V55-1),"")</f>
        <v>-2.0465461761398629E-4</v>
      </c>
      <c r="Z55">
        <f t="shared" ref="Z55:Z60" si="48">IF(AND(A55&gt;0,NOT(A55="***")),W55*(1+Y55),"")</f>
        <v>1.5601578434311316E-2</v>
      </c>
      <c r="AA55">
        <f t="shared" ref="AA55:AA60" si="49">IF(AND(A55&gt;0,NOT(A55="***")),X55*(1-Y55),"")</f>
        <v>3.4108789401563087E-3</v>
      </c>
      <c r="AB55">
        <f t="shared" ref="AB55:AB60" si="50">IF(AND(A55&gt;0,NOT(A55="***")),-X55/(3*V55),"")</f>
        <v>-2.3111251724317348E-6</v>
      </c>
      <c r="AC55">
        <f t="shared" ref="AC55:AC60" si="51">IF(AND(A55&gt;0,NOT(A55="***")),W55/(3*V55),"")</f>
        <v>1.0575562149325888E-5</v>
      </c>
    </row>
    <row r="56" spans="1:29" ht="15">
      <c r="A56" s="131">
        <f t="shared" si="11"/>
        <v>41</v>
      </c>
      <c r="B56" s="101">
        <v>-6.7610042000000001E-7</v>
      </c>
      <c r="C56" s="101">
        <v>3.5338964000000003E-5</v>
      </c>
      <c r="D56" s="101">
        <v>8.8291434999999995E-5</v>
      </c>
      <c r="E56" s="101">
        <v>-1.4452315999999999E-5</v>
      </c>
      <c r="F56" s="101">
        <v>1.8284784000000001E-5</v>
      </c>
      <c r="G56" s="101">
        <v>2.0331248000000001E-5</v>
      </c>
      <c r="H56" s="101">
        <v>-9.9284768000000004E-6</v>
      </c>
      <c r="I56" s="101">
        <v>3.2487662E-4</v>
      </c>
      <c r="J56" s="101">
        <v>8.3757030999999996E-2</v>
      </c>
      <c r="K56" s="101">
        <v>2.4820815999999999E-4</v>
      </c>
      <c r="L56" s="101">
        <v>41.175755000000002</v>
      </c>
      <c r="M56" s="101">
        <v>8.3648142999999994E-2</v>
      </c>
      <c r="N56" s="101">
        <v>1.3711089000000001E-3</v>
      </c>
      <c r="O56" s="101">
        <v>41.124699</v>
      </c>
      <c r="P56" s="106">
        <f t="shared" si="38"/>
        <v>6.0355009528458794</v>
      </c>
      <c r="Q56" s="113">
        <f t="shared" si="39"/>
        <v>3.0556860400000001E-4</v>
      </c>
      <c r="R56" s="113">
        <f t="shared" si="40"/>
        <v>-1.1844710800000002E-5</v>
      </c>
      <c r="S56" s="113">
        <f t="shared" si="41"/>
        <v>1.2651479830000001E-3</v>
      </c>
      <c r="T56" s="113">
        <f t="shared" si="42"/>
        <v>8.3739699568209994E-2</v>
      </c>
      <c r="U56" s="113">
        <f t="shared" si="43"/>
        <v>8.3630811568209992E-2</v>
      </c>
      <c r="V56" s="4">
        <f t="shared" si="44"/>
        <v>491.10158278633378</v>
      </c>
      <c r="W56" s="4">
        <f t="shared" si="45"/>
        <v>1.5108102722167954E-2</v>
      </c>
      <c r="X56" s="4">
        <f t="shared" si="46"/>
        <v>3.6490291412032087E-3</v>
      </c>
      <c r="Y56">
        <f t="shared" si="47"/>
        <v>3.0304649393671684E-4</v>
      </c>
      <c r="Z56">
        <f t="shared" si="48"/>
        <v>1.5112681179727942E-2</v>
      </c>
      <c r="AA56">
        <f t="shared" si="49"/>
        <v>3.647923315715694E-3</v>
      </c>
      <c r="AB56">
        <f t="shared" si="50"/>
        <v>-2.4767646647902117E-6</v>
      </c>
      <c r="AC56">
        <f t="shared" si="51"/>
        <v>1.0254567318129998E-5</v>
      </c>
    </row>
    <row r="57" spans="1:29" ht="15">
      <c r="A57" s="131">
        <f t="shared" si="11"/>
        <v>42</v>
      </c>
      <c r="B57" s="101">
        <v>1.2990682E-5</v>
      </c>
      <c r="C57" s="101">
        <v>3.2669989000000001E-5</v>
      </c>
      <c r="D57" s="101">
        <v>7.7437870000000004E-5</v>
      </c>
      <c r="E57" s="101">
        <v>-8.8322281999999997E-6</v>
      </c>
      <c r="F57" s="101">
        <v>1.2871536E-5</v>
      </c>
      <c r="G57" s="101">
        <v>3.3277337999999998E-5</v>
      </c>
      <c r="H57" s="101">
        <v>-2.1523937999999999E-6</v>
      </c>
      <c r="I57" s="101">
        <v>3.3471675000000002E-4</v>
      </c>
      <c r="J57" s="101">
        <v>8.3559743000000006E-2</v>
      </c>
      <c r="K57" s="101">
        <v>2.2288667E-4</v>
      </c>
      <c r="L57" s="101">
        <v>41.082058000000004</v>
      </c>
      <c r="M57" s="101">
        <v>8.3497257000000005E-2</v>
      </c>
      <c r="N57" s="101">
        <v>1.3669215000000001E-3</v>
      </c>
      <c r="O57" s="101">
        <v>41.060628999999999</v>
      </c>
      <c r="P57" s="106">
        <f t="shared" si="38"/>
        <v>5.4282332109427749</v>
      </c>
      <c r="Q57" s="113">
        <f t="shared" si="39"/>
        <v>3.1164231300000005E-4</v>
      </c>
      <c r="R57" s="113">
        <f t="shared" si="40"/>
        <v>-4.1720476999999998E-6</v>
      </c>
      <c r="S57" s="113">
        <f t="shared" si="41"/>
        <v>1.2731486355000001E-3</v>
      </c>
      <c r="T57" s="113">
        <f t="shared" si="42"/>
        <v>8.3536912664500002E-2</v>
      </c>
      <c r="U57" s="113">
        <f t="shared" si="43"/>
        <v>8.3474426664500001E-2</v>
      </c>
      <c r="V57" s="4">
        <f t="shared" si="44"/>
        <v>491.5267717027948</v>
      </c>
      <c r="W57" s="4">
        <f t="shared" si="45"/>
        <v>1.5240551690163666E-2</v>
      </c>
      <c r="X57" s="4">
        <f t="shared" si="46"/>
        <v>3.7305940937943727E-3</v>
      </c>
      <c r="Y57">
        <f t="shared" si="47"/>
        <v>1.4438631664429972E-5</v>
      </c>
      <c r="Z57">
        <f t="shared" si="48"/>
        <v>1.5240771742875884E-2</v>
      </c>
      <c r="AA57">
        <f t="shared" si="49"/>
        <v>3.7305402291203629E-3</v>
      </c>
      <c r="AB57">
        <f t="shared" si="50"/>
        <v>-2.5299361829065017E-6</v>
      </c>
      <c r="AC57">
        <f t="shared" si="51"/>
        <v>1.0335518204068428E-5</v>
      </c>
    </row>
    <row r="58" spans="1:29" ht="15">
      <c r="A58" s="131">
        <f t="shared" si="11"/>
        <v>43</v>
      </c>
      <c r="B58" s="101">
        <v>2.9707923E-6</v>
      </c>
      <c r="C58" s="101">
        <v>3.9289663999999999E-5</v>
      </c>
      <c r="D58" s="101">
        <v>8.6327377999999996E-5</v>
      </c>
      <c r="E58" s="101">
        <v>-1.1072953000000001E-6</v>
      </c>
      <c r="F58" s="101">
        <v>1.2705671E-5</v>
      </c>
      <c r="G58" s="101">
        <v>2.0177349000000001E-5</v>
      </c>
      <c r="H58" s="101">
        <v>-4.2060458000000002E-6</v>
      </c>
      <c r="I58" s="101">
        <v>3.1051244999999998E-4</v>
      </c>
      <c r="J58" s="101">
        <v>8.3601601999999997E-2</v>
      </c>
      <c r="K58" s="101">
        <v>2.0545762E-4</v>
      </c>
      <c r="L58" s="101">
        <v>41.101891999999999</v>
      </c>
      <c r="M58" s="101">
        <v>8.3611440999999995E-2</v>
      </c>
      <c r="N58" s="101">
        <v>1.3817642E-3</v>
      </c>
      <c r="O58" s="101">
        <v>41.117019999999997</v>
      </c>
      <c r="P58" s="106">
        <f t="shared" si="38"/>
        <v>4.9968995807575549</v>
      </c>
      <c r="Q58" s="113">
        <f t="shared" si="39"/>
        <v>2.9407093999999999E-4</v>
      </c>
      <c r="R58" s="113">
        <f t="shared" si="40"/>
        <v>-1.0005233649999999E-5</v>
      </c>
      <c r="S58" s="113">
        <f t="shared" si="41"/>
        <v>1.27579199E-3</v>
      </c>
      <c r="T58" s="113">
        <f t="shared" si="42"/>
        <v>8.3580471771850004E-2</v>
      </c>
      <c r="U58" s="113">
        <f t="shared" si="43"/>
        <v>8.3590310771850002E-2</v>
      </c>
      <c r="V58" s="4">
        <f t="shared" si="44"/>
        <v>491.94529688989212</v>
      </c>
      <c r="W58" s="4">
        <f t="shared" si="45"/>
        <v>1.5264235328588898E-2</v>
      </c>
      <c r="X58" s="4">
        <f t="shared" si="46"/>
        <v>3.5184168474512419E-3</v>
      </c>
      <c r="Y58">
        <f t="shared" si="47"/>
        <v>-2.6915883234657212E-4</v>
      </c>
      <c r="Z58">
        <f t="shared" si="48"/>
        <v>1.5260126824831192E-2</v>
      </c>
      <c r="AA58">
        <f t="shared" si="49"/>
        <v>3.5193638604216109E-3</v>
      </c>
      <c r="AB58">
        <f t="shared" si="50"/>
        <v>-2.3840163189517792E-6</v>
      </c>
      <c r="AC58">
        <f t="shared" si="51"/>
        <v>1.0342772814437104E-5</v>
      </c>
    </row>
    <row r="59" spans="1:29" ht="15">
      <c r="A59" s="131">
        <f t="shared" si="11"/>
        <v>44</v>
      </c>
      <c r="B59" s="101">
        <v>1.7967775999999999E-5</v>
      </c>
      <c r="C59" s="101">
        <v>4.2267778000000002E-5</v>
      </c>
      <c r="D59" s="101">
        <v>8.2194076000000001E-5</v>
      </c>
      <c r="E59" s="101">
        <v>-6.7420442000000002E-6</v>
      </c>
      <c r="F59" s="101">
        <v>-1.4907699000000001E-6</v>
      </c>
      <c r="G59" s="101">
        <v>1.2357862E-5</v>
      </c>
      <c r="H59" s="101">
        <v>1.0779144E-6</v>
      </c>
      <c r="I59" s="101">
        <v>3.3261298999999998E-4</v>
      </c>
      <c r="J59" s="101">
        <v>8.3612748000000001E-2</v>
      </c>
      <c r="K59" s="101">
        <v>2.1484704E-4</v>
      </c>
      <c r="L59" s="101">
        <v>41.112518999999999</v>
      </c>
      <c r="M59" s="101">
        <v>8.3725938E-2</v>
      </c>
      <c r="N59" s="101">
        <v>1.3794028999999999E-3</v>
      </c>
      <c r="O59" s="101">
        <v>41.153784999999999</v>
      </c>
      <c r="P59" s="106">
        <f t="shared" si="38"/>
        <v>5.2205900380730474</v>
      </c>
      <c r="Q59" s="113">
        <f t="shared" si="39"/>
        <v>3.2717944395E-4</v>
      </c>
      <c r="R59" s="113">
        <f t="shared" si="40"/>
        <v>5.1943214500000001E-6</v>
      </c>
      <c r="S59" s="113">
        <f t="shared" si="41"/>
        <v>1.276074935E-3</v>
      </c>
      <c r="T59" s="113">
        <f t="shared" si="42"/>
        <v>8.3582630222999998E-2</v>
      </c>
      <c r="U59" s="113">
        <f t="shared" si="43"/>
        <v>8.3695820222999998E-2</v>
      </c>
      <c r="V59" s="4">
        <f t="shared" si="44"/>
        <v>492.3724569351424</v>
      </c>
      <c r="W59" s="4">
        <f t="shared" si="45"/>
        <v>1.5267226355468936E-2</v>
      </c>
      <c r="X59" s="4">
        <f t="shared" si="46"/>
        <v>3.9144430257468475E-3</v>
      </c>
      <c r="Y59">
        <f t="shared" si="47"/>
        <v>-5.5811022645313457E-4</v>
      </c>
      <c r="Z59">
        <f t="shared" si="48"/>
        <v>1.5258705560310374E-2</v>
      </c>
      <c r="AA59">
        <f t="shared" si="49"/>
        <v>3.9166277164303853E-3</v>
      </c>
      <c r="AB59">
        <f t="shared" si="50"/>
        <v>-2.6500555088675322E-6</v>
      </c>
      <c r="AC59">
        <f t="shared" si="51"/>
        <v>1.0335824801210063E-5</v>
      </c>
    </row>
    <row r="60" spans="1:29" ht="15">
      <c r="A60" s="131">
        <f t="shared" si="11"/>
        <v>45</v>
      </c>
      <c r="B60" s="101">
        <v>1.1207412E-5</v>
      </c>
      <c r="C60" s="101">
        <v>2.9865310000000001E-5</v>
      </c>
      <c r="D60" s="101">
        <v>7.4880227999999998E-5</v>
      </c>
      <c r="E60" s="101">
        <v>-1.1317056999999999E-5</v>
      </c>
      <c r="F60" s="101">
        <v>9.5947789999999997E-7</v>
      </c>
      <c r="G60" s="101">
        <v>1.9437169999999999E-5</v>
      </c>
      <c r="H60" s="101">
        <v>-8.1233202000000002E-6</v>
      </c>
      <c r="I60" s="101">
        <v>3.1993019000000001E-4</v>
      </c>
      <c r="J60" s="101">
        <v>8.3805807999999996E-2</v>
      </c>
      <c r="K60" s="101">
        <v>2.0832888000000001E-4</v>
      </c>
      <c r="L60" s="101">
        <v>41.199910000000003</v>
      </c>
      <c r="M60" s="101">
        <v>8.3727280000000001E-2</v>
      </c>
      <c r="N60" s="101">
        <v>1.3860542999999999E-3</v>
      </c>
      <c r="O60" s="101">
        <v>41.158346000000002</v>
      </c>
      <c r="P60" s="106">
        <f t="shared" si="38"/>
        <v>5.0616436335901351</v>
      </c>
      <c r="Q60" s="113">
        <f t="shared" si="39"/>
        <v>3.0973186604999999E-4</v>
      </c>
      <c r="R60" s="113">
        <f t="shared" si="40"/>
        <v>-2.9445306500000004E-6</v>
      </c>
      <c r="S60" s="113">
        <f t="shared" si="41"/>
        <v>1.2962414169999999E-3</v>
      </c>
      <c r="T60" s="113">
        <f t="shared" si="42"/>
        <v>8.3785271639E-2</v>
      </c>
      <c r="U60" s="113">
        <f t="shared" si="43"/>
        <v>8.3706743639000006E-2</v>
      </c>
      <c r="V60" s="4">
        <f t="shared" si="44"/>
        <v>491.23605133532556</v>
      </c>
      <c r="W60" s="4">
        <f t="shared" si="45"/>
        <v>1.5470993787369082E-2</v>
      </c>
      <c r="X60" s="4">
        <f t="shared" si="46"/>
        <v>3.6967340439560902E-3</v>
      </c>
      <c r="Y60">
        <f t="shared" si="47"/>
        <v>2.1171850657849173E-4</v>
      </c>
      <c r="Z60">
        <f t="shared" si="48"/>
        <v>1.5474269283069027E-2</v>
      </c>
      <c r="AA60">
        <f t="shared" si="49"/>
        <v>3.6959513769450857E-3</v>
      </c>
      <c r="AB60">
        <f t="shared" si="50"/>
        <v>-2.508457345443376E-6</v>
      </c>
      <c r="AC60">
        <f t="shared" si="51"/>
        <v>1.0498003790855281E-5</v>
      </c>
    </row>
    <row r="61" spans="1:29" ht="15">
      <c r="A61" s="131">
        <f t="shared" si="11"/>
        <v>46</v>
      </c>
      <c r="B61" s="101">
        <v>4.0164248999999998E-5</v>
      </c>
      <c r="C61" s="101">
        <v>1.4759338E-5</v>
      </c>
      <c r="D61" s="101">
        <v>8.9182203999999999E-5</v>
      </c>
      <c r="E61" s="101">
        <v>4.6057622000000001E-6</v>
      </c>
      <c r="F61" s="101">
        <v>3.7454846999999999E-6</v>
      </c>
      <c r="G61" s="101">
        <v>1.9151810999999999E-5</v>
      </c>
      <c r="H61" s="101">
        <v>1.5685664999999999E-5</v>
      </c>
      <c r="I61" s="101">
        <v>3.0286682999999999E-4</v>
      </c>
      <c r="J61" s="101">
        <v>8.3609069999999994E-2</v>
      </c>
      <c r="K61" s="101">
        <v>1.6680885E-4</v>
      </c>
      <c r="L61" s="101">
        <v>41.102345999999997</v>
      </c>
      <c r="M61" s="101">
        <v>8.3558198E-2</v>
      </c>
      <c r="N61" s="101">
        <v>1.3861224E-3</v>
      </c>
      <c r="O61" s="101">
        <v>41.094841000000002</v>
      </c>
      <c r="P61" s="106">
        <f t="shared" ref="P61:P67" si="52">(K61/O61)*1000000</f>
        <v>4.0591190023098029</v>
      </c>
      <c r="Q61" s="113">
        <f t="shared" ref="Q61:Q67" si="53">I61-((F61+G61)/2)</f>
        <v>2.9141818214999999E-4</v>
      </c>
      <c r="R61" s="113">
        <f t="shared" ref="R61:R67" si="54">H61-((E61+F61)/2)</f>
        <v>1.1510041549999999E-5</v>
      </c>
      <c r="S61" s="113">
        <f t="shared" ref="S61:S67" si="55">N61-((D61+C61/2))</f>
        <v>1.289560527E-3</v>
      </c>
      <c r="T61" s="113">
        <f t="shared" ref="T61:T67" si="56">J61-((B61+C61)/2)</f>
        <v>8.3581608206499999E-2</v>
      </c>
      <c r="U61" s="113">
        <f t="shared" ref="U61:U67" si="57">M61-((C61+B61)/2)</f>
        <v>8.3530736206500006E-2</v>
      </c>
      <c r="V61" s="4">
        <f t="shared" ref="V61:V67" si="58">IF(AND(A61&gt;0,NOT(A61="***")),O61/T61,"")</f>
        <v>491.67325063271664</v>
      </c>
      <c r="W61" s="4">
        <f t="shared" ref="W61:W67" si="59">IF(AND(A61&gt;0,NOT(A61="***")),S61/T61,"")</f>
        <v>1.5428759444469663E-2</v>
      </c>
      <c r="X61" s="4">
        <f t="shared" ref="X61:X67" si="60">IF(AND(A61&gt;0,NOT(A61="***")),Q61/T61,"")</f>
        <v>3.4866304729386254E-3</v>
      </c>
      <c r="Y61">
        <f t="shared" ref="Y61:Y67" si="61">IF(AND(A61&gt;0,NOT(A61="***")),1/3*($W$7/V61-1),"")</f>
        <v>-8.4872089157602318E-5</v>
      </c>
      <c r="Z61">
        <f t="shared" ref="Z61:Z67" si="62">IF(AND(A61&gt;0,NOT(A61="***")),W61*(1+Y61),"")</f>
        <v>1.54274499734225E-2</v>
      </c>
      <c r="AA61">
        <f t="shared" ref="AA61:AA67" si="63">IF(AND(A61&gt;0,NOT(A61="***")),X61*(1-Y61),"")</f>
        <v>3.4869263905509839E-3</v>
      </c>
      <c r="AB61">
        <f t="shared" ref="AB61:AB67" si="64">IF(AND(A61&gt;0,NOT(A61="***")),-X61/(3*V61),"")</f>
        <v>-2.3637856160582298E-6</v>
      </c>
      <c r="AC61">
        <f t="shared" ref="AC61:AC67" si="65">IF(AND(A61&gt;0,NOT(A61="***")),W61/(3*V61),"")</f>
        <v>1.0460035822988096E-5</v>
      </c>
    </row>
    <row r="62" spans="1:29" ht="15">
      <c r="A62" s="131">
        <f t="shared" si="11"/>
        <v>47</v>
      </c>
      <c r="B62" s="101">
        <v>1.0650015000000001E-5</v>
      </c>
      <c r="C62" s="101">
        <v>2.0547689999999999E-5</v>
      </c>
      <c r="D62" s="101">
        <v>8.7847723999999995E-5</v>
      </c>
      <c r="E62" s="101">
        <v>4.0788677000000002E-6</v>
      </c>
      <c r="F62" s="101">
        <v>-2.6876324000000001E-5</v>
      </c>
      <c r="G62" s="101">
        <v>1.4522649E-5</v>
      </c>
      <c r="H62" s="101">
        <v>1.2035004E-5</v>
      </c>
      <c r="I62" s="101">
        <v>3.0300571E-4</v>
      </c>
      <c r="J62" s="101">
        <v>8.3357223999999994E-2</v>
      </c>
      <c r="K62" s="101">
        <v>1.9051756E-4</v>
      </c>
      <c r="L62" s="101">
        <v>40.987791999999999</v>
      </c>
      <c r="M62" s="101">
        <v>8.3343112999999996E-2</v>
      </c>
      <c r="N62" s="101">
        <v>1.3859338000000001E-3</v>
      </c>
      <c r="O62" s="101">
        <v>40.985270999999997</v>
      </c>
      <c r="P62" s="106">
        <f t="shared" si="52"/>
        <v>4.6484396797083525</v>
      </c>
      <c r="Q62" s="113">
        <f t="shared" si="53"/>
        <v>3.091825475E-4</v>
      </c>
      <c r="R62" s="113">
        <f t="shared" si="54"/>
        <v>2.3433732150000001E-5</v>
      </c>
      <c r="S62" s="113">
        <f t="shared" si="55"/>
        <v>1.2878122310000001E-3</v>
      </c>
      <c r="T62" s="113">
        <f t="shared" si="56"/>
        <v>8.3341625147499987E-2</v>
      </c>
      <c r="U62" s="113">
        <f t="shared" si="57"/>
        <v>8.332751414749999E-2</v>
      </c>
      <c r="V62" s="4">
        <f t="shared" si="58"/>
        <v>491.7743195847608</v>
      </c>
      <c r="W62" s="4">
        <f t="shared" si="59"/>
        <v>1.5452209249829235E-2</v>
      </c>
      <c r="X62" s="4">
        <f t="shared" si="60"/>
        <v>3.7098214362007147E-3</v>
      </c>
      <c r="Y62">
        <f t="shared" si="61"/>
        <v>-1.5336096994489345E-4</v>
      </c>
      <c r="Z62">
        <f t="shared" si="62"/>
        <v>1.544983948403089E-2</v>
      </c>
      <c r="AA62">
        <f t="shared" si="63"/>
        <v>3.710390378014493E-3</v>
      </c>
      <c r="AB62">
        <f t="shared" si="64"/>
        <v>-2.5145825964324277E-6</v>
      </c>
      <c r="AC62">
        <f t="shared" si="65"/>
        <v>1.0473780780092115E-5</v>
      </c>
    </row>
    <row r="63" spans="1:29" ht="15">
      <c r="A63" s="131">
        <f t="shared" si="11"/>
        <v>48</v>
      </c>
      <c r="B63" s="101">
        <v>2.9580877E-5</v>
      </c>
      <c r="C63" s="101">
        <v>2.7644314000000001E-5</v>
      </c>
      <c r="D63" s="101">
        <v>7.5935494000000002E-5</v>
      </c>
      <c r="E63" s="101">
        <v>-5.1492687000000004E-6</v>
      </c>
      <c r="F63" s="101">
        <v>5.8503123999999998E-6</v>
      </c>
      <c r="G63" s="101">
        <v>2.3916702999999999E-5</v>
      </c>
      <c r="H63" s="101">
        <v>8.3467210999999999E-6</v>
      </c>
      <c r="I63" s="101">
        <v>3.0299108999999998E-4</v>
      </c>
      <c r="J63" s="101">
        <v>8.3533824000000007E-2</v>
      </c>
      <c r="K63" s="101">
        <v>2.0474305999999999E-4</v>
      </c>
      <c r="L63" s="101">
        <v>41.071632999999999</v>
      </c>
      <c r="M63" s="101">
        <v>8.3520908000000005E-2</v>
      </c>
      <c r="N63" s="101">
        <v>1.3785329999999999E-3</v>
      </c>
      <c r="O63" s="101">
        <v>41.074705999999999</v>
      </c>
      <c r="P63" s="106">
        <f t="shared" si="52"/>
        <v>4.9846506509383168</v>
      </c>
      <c r="Q63" s="113">
        <f t="shared" si="53"/>
        <v>2.881075823E-4</v>
      </c>
      <c r="R63" s="113">
        <f t="shared" si="54"/>
        <v>7.9961992499999994E-6</v>
      </c>
      <c r="S63" s="113">
        <f t="shared" si="55"/>
        <v>1.2887753489999999E-3</v>
      </c>
      <c r="T63" s="113">
        <f t="shared" si="56"/>
        <v>8.3505211404500013E-2</v>
      </c>
      <c r="U63" s="113">
        <f t="shared" si="57"/>
        <v>8.3492295404500011E-2</v>
      </c>
      <c r="V63" s="4">
        <f t="shared" si="58"/>
        <v>491.88194735576138</v>
      </c>
      <c r="W63" s="4">
        <f t="shared" si="59"/>
        <v>1.5433472083043539E-2</v>
      </c>
      <c r="X63" s="4">
        <f t="shared" si="60"/>
        <v>3.4501748747680456E-3</v>
      </c>
      <c r="Y63">
        <f t="shared" si="61"/>
        <v>-2.2626345795095926E-4</v>
      </c>
      <c r="Z63">
        <f t="shared" si="62"/>
        <v>1.542998005228184E-2</v>
      </c>
      <c r="AA63">
        <f t="shared" si="63"/>
        <v>3.4509555232657466E-3</v>
      </c>
      <c r="AB63">
        <f t="shared" si="64"/>
        <v>-2.3380778615108449E-6</v>
      </c>
      <c r="AC63">
        <f t="shared" si="65"/>
        <v>1.0458791427502852E-5</v>
      </c>
    </row>
    <row r="64" spans="1:29" ht="15">
      <c r="A64" s="131">
        <f t="shared" si="11"/>
        <v>49</v>
      </c>
      <c r="B64" s="101">
        <v>1.0356457000000001E-5</v>
      </c>
      <c r="C64" s="101">
        <v>-1.3192384E-6</v>
      </c>
      <c r="D64" s="101">
        <v>7.3138401999999996E-5</v>
      </c>
      <c r="E64" s="101">
        <v>1.3089124999999999E-6</v>
      </c>
      <c r="F64" s="101">
        <v>-1.0622767000000001E-5</v>
      </c>
      <c r="G64" s="101">
        <v>3.4856437000000002E-5</v>
      </c>
      <c r="H64" s="101">
        <v>-2.7157959000000001E-5</v>
      </c>
      <c r="I64" s="101">
        <v>3.0038165000000001E-4</v>
      </c>
      <c r="J64" s="101">
        <v>8.3091445999999999E-2</v>
      </c>
      <c r="K64" s="101">
        <v>2.0318199000000001E-4</v>
      </c>
      <c r="L64" s="101">
        <v>40.858387</v>
      </c>
      <c r="M64" s="101">
        <v>8.2984230000000006E-2</v>
      </c>
      <c r="N64" s="101">
        <v>1.3558912E-3</v>
      </c>
      <c r="O64" s="101">
        <v>40.812021000000001</v>
      </c>
      <c r="P64" s="106">
        <f t="shared" si="52"/>
        <v>4.9784839128647898</v>
      </c>
      <c r="Q64" s="113">
        <f t="shared" si="53"/>
        <v>2.8826481499999999E-4</v>
      </c>
      <c r="R64" s="113">
        <f t="shared" si="54"/>
        <v>-2.2501031750000002E-5</v>
      </c>
      <c r="S64" s="113">
        <f t="shared" si="55"/>
        <v>1.2834124172000001E-3</v>
      </c>
      <c r="T64" s="113">
        <f t="shared" si="56"/>
        <v>8.3086927390700005E-2</v>
      </c>
      <c r="U64" s="113">
        <f t="shared" si="57"/>
        <v>8.2979711390700012E-2</v>
      </c>
      <c r="V64" s="4">
        <f t="shared" si="58"/>
        <v>491.19665730433701</v>
      </c>
      <c r="W64" s="4">
        <f t="shared" si="59"/>
        <v>1.5446622681869129E-2</v>
      </c>
      <c r="X64" s="4">
        <f t="shared" si="60"/>
        <v>3.4694364571274993E-3</v>
      </c>
      <c r="Y64">
        <f t="shared" si="61"/>
        <v>2.3846885984920202E-4</v>
      </c>
      <c r="Z64">
        <f t="shared" si="62"/>
        <v>1.5450306220368594E-2</v>
      </c>
      <c r="AA64">
        <f t="shared" si="63"/>
        <v>3.4686091045712489E-3</v>
      </c>
      <c r="AB64">
        <f t="shared" si="64"/>
        <v>-2.3544110120561451E-6</v>
      </c>
      <c r="AC64">
        <f t="shared" si="65"/>
        <v>1.0482307138542996E-5</v>
      </c>
    </row>
    <row r="65" spans="1:29" ht="15">
      <c r="A65" s="131">
        <f t="shared" si="11"/>
        <v>50</v>
      </c>
      <c r="B65" s="101">
        <v>5.1857339999999996E-7</v>
      </c>
      <c r="C65" s="101">
        <v>1.7843531000000001E-5</v>
      </c>
      <c r="D65" s="101">
        <v>8.2653070000000001E-5</v>
      </c>
      <c r="E65" s="101">
        <v>6.2993534999999997E-6</v>
      </c>
      <c r="F65" s="101">
        <v>-1.9283081E-5</v>
      </c>
      <c r="G65" s="101">
        <v>1.9702185000000002E-5</v>
      </c>
      <c r="H65" s="101">
        <v>-7.7385511999999999E-6</v>
      </c>
      <c r="I65" s="101">
        <v>2.8823503000000001E-4</v>
      </c>
      <c r="J65" s="101">
        <v>8.3288220999999996E-2</v>
      </c>
      <c r="K65" s="101">
        <v>1.9775854000000001E-4</v>
      </c>
      <c r="L65" s="101">
        <v>40.951216000000002</v>
      </c>
      <c r="M65" s="101">
        <v>8.3184644000000002E-2</v>
      </c>
      <c r="N65" s="101">
        <v>1.3689431000000001E-3</v>
      </c>
      <c r="O65" s="101">
        <v>40.915770999999999</v>
      </c>
      <c r="P65" s="106">
        <f t="shared" si="52"/>
        <v>4.833308408144136</v>
      </c>
      <c r="Q65" s="113">
        <f t="shared" si="53"/>
        <v>2.8802547800000001E-4</v>
      </c>
      <c r="R65" s="113">
        <f t="shared" si="54"/>
        <v>-1.2466874499999994E-6</v>
      </c>
      <c r="S65" s="113">
        <f t="shared" si="55"/>
        <v>1.2773682645000001E-3</v>
      </c>
      <c r="T65" s="113">
        <f t="shared" si="56"/>
        <v>8.327903994779999E-2</v>
      </c>
      <c r="U65" s="113">
        <f t="shared" si="57"/>
        <v>8.3175462947799997E-2</v>
      </c>
      <c r="V65" s="4">
        <f t="shared" si="58"/>
        <v>491.30935017558261</v>
      </c>
      <c r="W65" s="4">
        <f t="shared" si="59"/>
        <v>1.5338412466097897E-2</v>
      </c>
      <c r="X65" s="4">
        <f t="shared" si="60"/>
        <v>3.4585590585642775E-3</v>
      </c>
      <c r="Y65">
        <f t="shared" si="61"/>
        <v>1.6195664988967923E-4</v>
      </c>
      <c r="Z65">
        <f t="shared" si="62"/>
        <v>1.5340896623995532E-2</v>
      </c>
      <c r="AA65">
        <f t="shared" si="63"/>
        <v>3.4579989219257067E-3</v>
      </c>
      <c r="AB65">
        <f t="shared" si="64"/>
        <v>-2.3464911040455931E-6</v>
      </c>
      <c r="AC65">
        <f t="shared" si="65"/>
        <v>1.0406486572133764E-5</v>
      </c>
    </row>
    <row r="66" spans="1:29" ht="15">
      <c r="A66" s="131">
        <f t="shared" si="11"/>
        <v>51</v>
      </c>
      <c r="B66" s="101">
        <v>-5.3580554000000004E-6</v>
      </c>
      <c r="C66" s="101">
        <v>2.4471591E-5</v>
      </c>
      <c r="D66" s="101">
        <v>8.8719461000000003E-5</v>
      </c>
      <c r="E66" s="101">
        <v>-1.7184719E-5</v>
      </c>
      <c r="F66" s="101">
        <v>1.8608055999999999E-5</v>
      </c>
      <c r="G66" s="101">
        <v>1.8398628E-5</v>
      </c>
      <c r="H66" s="101">
        <v>-1.0331833E-5</v>
      </c>
      <c r="I66" s="101">
        <v>3.4704776000000001E-4</v>
      </c>
      <c r="J66" s="101">
        <v>8.6404594000000001E-2</v>
      </c>
      <c r="K66" s="101">
        <v>2.1314468000000001E-4</v>
      </c>
      <c r="L66" s="101">
        <v>42.489393</v>
      </c>
      <c r="M66" s="101">
        <v>8.6622456E-2</v>
      </c>
      <c r="N66" s="101">
        <v>1.4420997000000001E-3</v>
      </c>
      <c r="O66" s="101">
        <v>42.586337999999998</v>
      </c>
      <c r="P66" s="106">
        <f t="shared" si="52"/>
        <v>5.0050013692184567</v>
      </c>
      <c r="Q66" s="113">
        <f t="shared" si="53"/>
        <v>3.2854441800000001E-4</v>
      </c>
      <c r="R66" s="113">
        <f t="shared" si="54"/>
        <v>-1.1043501499999999E-5</v>
      </c>
      <c r="S66" s="113">
        <f t="shared" si="55"/>
        <v>1.3411444435E-3</v>
      </c>
      <c r="T66" s="113">
        <f t="shared" si="56"/>
        <v>8.6395037232200003E-2</v>
      </c>
      <c r="U66" s="113">
        <f t="shared" si="57"/>
        <v>8.6612899232200002E-2</v>
      </c>
      <c r="V66" s="4">
        <f t="shared" si="58"/>
        <v>492.9257439352985</v>
      </c>
      <c r="W66" s="4">
        <f t="shared" si="59"/>
        <v>1.5523396788353331E-2</v>
      </c>
      <c r="X66" s="4">
        <f t="shared" si="60"/>
        <v>3.8028158621772009E-3</v>
      </c>
      <c r="Y66">
        <f t="shared" si="61"/>
        <v>-9.3163546262594221E-4</v>
      </c>
      <c r="Z66">
        <f t="shared" si="62"/>
        <v>1.5508934641404886E-2</v>
      </c>
      <c r="AA66">
        <f t="shared" si="63"/>
        <v>3.8063587002922414E-3</v>
      </c>
      <c r="AB66">
        <f t="shared" si="64"/>
        <v>-2.5715948152198483E-6</v>
      </c>
      <c r="AC66">
        <f t="shared" si="65"/>
        <v>1.0497454555339633E-5</v>
      </c>
    </row>
    <row r="67" spans="1:29" ht="15">
      <c r="A67" s="131">
        <f t="shared" si="11"/>
        <v>52</v>
      </c>
      <c r="B67" s="101">
        <v>4.3211215999999996E-6</v>
      </c>
      <c r="C67" s="101">
        <v>5.0681031000000003E-5</v>
      </c>
      <c r="D67" s="101">
        <v>1.0457894E-4</v>
      </c>
      <c r="E67" s="101">
        <v>-8.7285942999999998E-6</v>
      </c>
      <c r="F67" s="101">
        <v>3.2329834999999999E-5</v>
      </c>
      <c r="G67" s="101">
        <v>2.6744821999999999E-5</v>
      </c>
      <c r="H67" s="101">
        <v>-1.3441364E-5</v>
      </c>
      <c r="I67" s="101">
        <v>3.4288473999999998E-4</v>
      </c>
      <c r="J67" s="101">
        <v>8.6427233000000006E-2</v>
      </c>
      <c r="K67" s="101">
        <v>1.9611971999999999E-4</v>
      </c>
      <c r="L67" s="101">
        <v>42.500698</v>
      </c>
      <c r="M67" s="101">
        <v>8.6314022000000004E-2</v>
      </c>
      <c r="N67" s="101">
        <v>1.4255488000000001E-3</v>
      </c>
      <c r="O67" s="101">
        <v>42.449067999999997</v>
      </c>
      <c r="P67" s="106">
        <f t="shared" si="52"/>
        <v>4.6201183969457231</v>
      </c>
      <c r="Q67" s="113">
        <f t="shared" si="53"/>
        <v>3.1334741149999999E-4</v>
      </c>
      <c r="R67" s="113">
        <f t="shared" si="54"/>
        <v>-2.524198435E-5</v>
      </c>
      <c r="S67" s="113">
        <f t="shared" si="55"/>
        <v>1.2956293445000001E-3</v>
      </c>
      <c r="T67" s="113">
        <f t="shared" si="56"/>
        <v>8.6399731923700013E-2</v>
      </c>
      <c r="U67" s="113">
        <f t="shared" si="57"/>
        <v>8.6286520923700011E-2</v>
      </c>
      <c r="V67" s="4">
        <f t="shared" si="58"/>
        <v>491.31018181268149</v>
      </c>
      <c r="W67" s="4">
        <f t="shared" si="59"/>
        <v>1.499575653364499E-2</v>
      </c>
      <c r="X67" s="4">
        <f t="shared" si="60"/>
        <v>3.6267174043632276E-3</v>
      </c>
      <c r="Y67">
        <f t="shared" si="61"/>
        <v>1.6139214488708475E-4</v>
      </c>
      <c r="Z67">
        <f t="shared" si="62"/>
        <v>1.4998176730956159E-2</v>
      </c>
      <c r="AA67">
        <f t="shared" si="63"/>
        <v>3.6261320806624379E-3</v>
      </c>
      <c r="AB67">
        <f t="shared" si="64"/>
        <v>-2.4605755105545941E-6</v>
      </c>
      <c r="AC67">
        <f t="shared" si="65"/>
        <v>1.017399129155596E-5</v>
      </c>
    </row>
    <row r="68" spans="1:29" ht="15">
      <c r="A68" s="131">
        <f t="shared" si="11"/>
        <v>53</v>
      </c>
      <c r="B68" s="101">
        <v>-7.2148360000000001E-6</v>
      </c>
      <c r="C68" s="101">
        <v>4.1686042999999998E-5</v>
      </c>
      <c r="D68" s="101">
        <v>9.6546849999999999E-5</v>
      </c>
      <c r="E68" s="101">
        <v>-5.8874991999999996E-6</v>
      </c>
      <c r="F68" s="101">
        <v>1.0689703E-5</v>
      </c>
      <c r="G68" s="101">
        <v>3.4499099E-5</v>
      </c>
      <c r="H68" s="101">
        <v>-1.7997518000000001E-5</v>
      </c>
      <c r="I68" s="101">
        <v>3.3997138E-4</v>
      </c>
      <c r="J68" s="101">
        <v>8.6037521000000006E-2</v>
      </c>
      <c r="K68" s="101">
        <v>2.2076756000000001E-4</v>
      </c>
      <c r="L68" s="101">
        <v>42.303382999999997</v>
      </c>
      <c r="M68" s="101">
        <v>8.5957106000000005E-2</v>
      </c>
      <c r="N68" s="101">
        <v>1.4216361E-3</v>
      </c>
      <c r="O68" s="101">
        <v>42.259591</v>
      </c>
      <c r="P68" s="106">
        <f t="shared" ref="P68:P75" si="66">(K68/O68)*1000000</f>
        <v>5.2240817948285398</v>
      </c>
      <c r="Q68" s="113">
        <f t="shared" ref="Q68:Q75" si="67">I68-((F68+G68)/2)</f>
        <v>3.1737697900000001E-4</v>
      </c>
      <c r="R68" s="113">
        <f t="shared" ref="R68:R75" si="68">H68-((E68+F68)/2)</f>
        <v>-2.0398619900000001E-5</v>
      </c>
      <c r="S68" s="113">
        <f t="shared" ref="S68:S75" si="69">N68-((D68+C68/2))</f>
        <v>1.3042462285E-3</v>
      </c>
      <c r="T68" s="113">
        <f t="shared" ref="T68:T75" si="70">J68-((B68+C68)/2)</f>
        <v>8.6020285396500001E-2</v>
      </c>
      <c r="U68" s="113">
        <f t="shared" ref="U68:U75" si="71">M68-((C68+B68)/2)</f>
        <v>8.5939870396500001E-2</v>
      </c>
      <c r="V68" s="4">
        <f t="shared" ref="V68:V75" si="72">IF(AND(A68&gt;0,NOT(A68="***")),O68/T68,"")</f>
        <v>491.27471276350195</v>
      </c>
      <c r="W68" s="4">
        <f t="shared" ref="W68:W75" si="73">IF(AND(A68&gt;0,NOT(A68="***")),S68/T68,"")</f>
        <v>1.5162077438923113E-2</v>
      </c>
      <c r="X68" s="4">
        <f t="shared" ref="X68:X75" si="74">IF(AND(A68&gt;0,NOT(A68="***")),Q68/T68,"")</f>
        <v>3.6895597071910373E-3</v>
      </c>
      <c r="Y68">
        <f t="shared" ref="Y68:Y75" si="75">IF(AND(A68&gt;0,NOT(A68="***")),1/3*($W$7/V68-1),"")</f>
        <v>1.8546979535797684E-4</v>
      </c>
      <c r="Z68">
        <f t="shared" ref="Z68:Z75" si="76">IF(AND(A68&gt;0,NOT(A68="***")),W68*(1+Y68),"")</f>
        <v>1.5164889546322913E-2</v>
      </c>
      <c r="AA68">
        <f t="shared" ref="AA68:AA75" si="77">IF(AND(A68&gt;0,NOT(A68="***")),X68*(1-Y68),"")</f>
        <v>3.6888754053071835E-3</v>
      </c>
      <c r="AB68">
        <f t="shared" ref="AB68:AB75" si="78">IF(AND(A68&gt;0,NOT(A68="***")),-X68/(3*V68),"")</f>
        <v>-2.5033921017676991E-6</v>
      </c>
      <c r="AC68">
        <f t="shared" ref="AC68:AC75" si="79">IF(AND(A68&gt;0,NOT(A68="***")),W68/(3*V68),"")</f>
        <v>1.0287575732413817E-5</v>
      </c>
    </row>
    <row r="69" spans="1:29" ht="15">
      <c r="A69" s="131">
        <f t="shared" si="11"/>
        <v>54</v>
      </c>
      <c r="B69" s="101">
        <v>4.1346959000000004E-6</v>
      </c>
      <c r="C69" s="101">
        <v>5.2299385000000002E-5</v>
      </c>
      <c r="D69" s="101">
        <v>9.1416285000000007E-5</v>
      </c>
      <c r="E69" s="101">
        <v>-2.4112127E-5</v>
      </c>
      <c r="F69" s="101">
        <v>1.6854271E-5</v>
      </c>
      <c r="G69" s="101">
        <v>3.2540426000000002E-5</v>
      </c>
      <c r="H69" s="101">
        <v>-9.8322196000000004E-6</v>
      </c>
      <c r="I69" s="101">
        <v>3.3996386000000002E-4</v>
      </c>
      <c r="J69" s="101">
        <v>8.5212663999999994E-2</v>
      </c>
      <c r="K69" s="101">
        <v>2.1558007000000001E-4</v>
      </c>
      <c r="L69" s="101">
        <v>41.911558999999997</v>
      </c>
      <c r="M69" s="101">
        <v>8.5103941000000002E-2</v>
      </c>
      <c r="N69" s="101">
        <v>1.4004196E-3</v>
      </c>
      <c r="O69" s="101">
        <v>41.845757999999996</v>
      </c>
      <c r="P69" s="106">
        <f t="shared" si="66"/>
        <v>5.1517783475209136</v>
      </c>
      <c r="Q69" s="113">
        <f t="shared" si="67"/>
        <v>3.1526651150000004E-4</v>
      </c>
      <c r="R69" s="113">
        <f t="shared" si="68"/>
        <v>-6.2032916000000004E-6</v>
      </c>
      <c r="S69" s="113">
        <f t="shared" si="69"/>
        <v>1.2828536224999999E-3</v>
      </c>
      <c r="T69" s="113">
        <f t="shared" si="70"/>
        <v>8.5184446959549992E-2</v>
      </c>
      <c r="U69" s="113">
        <f t="shared" si="71"/>
        <v>8.5075723959550001E-2</v>
      </c>
      <c r="V69" s="4">
        <f t="shared" si="72"/>
        <v>491.23706842718059</v>
      </c>
      <c r="W69" s="4">
        <f t="shared" si="73"/>
        <v>1.505971651267708E-2</v>
      </c>
      <c r="X69" s="4">
        <f t="shared" si="74"/>
        <v>3.7009867734388766E-3</v>
      </c>
      <c r="Y69">
        <f t="shared" si="75"/>
        <v>2.1102791139071542E-4</v>
      </c>
      <c r="Z69">
        <f t="shared" si="76"/>
        <v>1.5062894533198886E-2</v>
      </c>
      <c r="AA69">
        <f t="shared" si="77"/>
        <v>3.7002057619299933E-3</v>
      </c>
      <c r="AB69">
        <f t="shared" si="78"/>
        <v>-2.5113378796165357E-6</v>
      </c>
      <c r="AC69">
        <f t="shared" si="79"/>
        <v>1.0218906159297357E-5</v>
      </c>
    </row>
    <row r="70" spans="1:29" ht="15">
      <c r="A70" s="131">
        <f t="shared" si="11"/>
        <v>55</v>
      </c>
      <c r="B70" s="101">
        <v>-2.4647519000000001E-6</v>
      </c>
      <c r="C70" s="101">
        <v>3.8163342000000003E-5</v>
      </c>
      <c r="D70" s="101">
        <v>8.2017626999999999E-5</v>
      </c>
      <c r="E70" s="101">
        <v>-2.2233007000000001E-5</v>
      </c>
      <c r="F70" s="101">
        <v>-2.9790953999999998E-6</v>
      </c>
      <c r="G70" s="101">
        <v>1.6966188000000001E-5</v>
      </c>
      <c r="H70" s="101">
        <v>-2.0391168000000001E-5</v>
      </c>
      <c r="I70" s="101">
        <v>3.3665152999999998E-4</v>
      </c>
      <c r="J70" s="101">
        <v>8.4545276000000003E-2</v>
      </c>
      <c r="K70" s="101">
        <v>2.081005E-4</v>
      </c>
      <c r="L70" s="101">
        <v>41.573501999999998</v>
      </c>
      <c r="M70" s="101">
        <v>8.4326763999999999E-2</v>
      </c>
      <c r="N70" s="101">
        <v>1.3766365E-3</v>
      </c>
      <c r="O70" s="101">
        <v>41.463228999999998</v>
      </c>
      <c r="P70" s="106">
        <f t="shared" si="66"/>
        <v>5.0189168817508163</v>
      </c>
      <c r="Q70" s="113">
        <f t="shared" si="67"/>
        <v>3.296579837E-4</v>
      </c>
      <c r="R70" s="113">
        <f t="shared" si="68"/>
        <v>-7.785116800000001E-6</v>
      </c>
      <c r="S70" s="113">
        <f t="shared" si="69"/>
        <v>1.275537202E-3</v>
      </c>
      <c r="T70" s="113">
        <f t="shared" si="70"/>
        <v>8.4527426704950004E-2</v>
      </c>
      <c r="U70" s="113">
        <f t="shared" si="71"/>
        <v>8.430891470495E-2</v>
      </c>
      <c r="V70" s="4">
        <f t="shared" si="72"/>
        <v>490.52988617210411</v>
      </c>
      <c r="W70" s="4">
        <f t="shared" si="73"/>
        <v>1.5090216888446971E-2</v>
      </c>
      <c r="X70" s="4">
        <f t="shared" si="74"/>
        <v>3.9000120617737311E-3</v>
      </c>
      <c r="Y70">
        <f t="shared" si="75"/>
        <v>6.9188883383889766E-4</v>
      </c>
      <c r="Z70">
        <f t="shared" si="76"/>
        <v>1.5100657641012295E-2</v>
      </c>
      <c r="AA70">
        <f t="shared" si="77"/>
        <v>3.8973136869763529E-3</v>
      </c>
      <c r="AB70">
        <f t="shared" si="78"/>
        <v>-2.6502034987836252E-6</v>
      </c>
      <c r="AC70">
        <f t="shared" si="79"/>
        <v>1.0254364592138576E-5</v>
      </c>
    </row>
    <row r="71" spans="1:29" ht="15">
      <c r="A71" s="131">
        <f t="shared" si="11"/>
        <v>56</v>
      </c>
      <c r="B71" s="101">
        <v>4.9292789E-5</v>
      </c>
      <c r="C71" s="101">
        <v>1.0376248E-5</v>
      </c>
      <c r="D71" s="101">
        <v>9.5157539999999994E-5</v>
      </c>
      <c r="E71" s="101">
        <v>1.9414676999999999E-5</v>
      </c>
      <c r="F71" s="101">
        <v>-2.2292662E-5</v>
      </c>
      <c r="G71" s="101">
        <v>2.0083345000000001E-5</v>
      </c>
      <c r="H71" s="101">
        <v>1.8733141000000001E-5</v>
      </c>
      <c r="I71" s="101">
        <v>2.8903480000000003E-4</v>
      </c>
      <c r="J71" s="101">
        <v>8.3637647999999995E-2</v>
      </c>
      <c r="K71" s="101">
        <v>1.7996249999999999E-4</v>
      </c>
      <c r="L71" s="101">
        <v>41.122793999999999</v>
      </c>
      <c r="M71" s="101">
        <v>8.3391630999999994E-2</v>
      </c>
      <c r="N71" s="101">
        <v>1.3698656E-3</v>
      </c>
      <c r="O71" s="101">
        <v>41.030228000000001</v>
      </c>
      <c r="P71" s="106">
        <f t="shared" si="66"/>
        <v>4.3860955391230085</v>
      </c>
      <c r="Q71" s="113">
        <f t="shared" si="67"/>
        <v>2.9013945850000003E-4</v>
      </c>
      <c r="R71" s="113">
        <f t="shared" si="68"/>
        <v>2.0172133500000001E-5</v>
      </c>
      <c r="S71" s="113">
        <f t="shared" si="69"/>
        <v>1.2695199360000001E-3</v>
      </c>
      <c r="T71" s="113">
        <f t="shared" si="70"/>
        <v>8.3607813481499996E-2</v>
      </c>
      <c r="U71" s="113">
        <f t="shared" si="71"/>
        <v>8.3361796481499995E-2</v>
      </c>
      <c r="V71" s="4">
        <f t="shared" si="72"/>
        <v>490.74633448079362</v>
      </c>
      <c r="W71" s="4">
        <f t="shared" si="73"/>
        <v>1.5184226008743888E-2</v>
      </c>
      <c r="X71" s="4">
        <f t="shared" si="74"/>
        <v>3.470243347102954E-3</v>
      </c>
      <c r="Y71">
        <f t="shared" si="75"/>
        <v>5.4456385285006625E-4</v>
      </c>
      <c r="Z71">
        <f t="shared" si="76"/>
        <v>1.5192494789361756E-2</v>
      </c>
      <c r="AA71">
        <f t="shared" si="77"/>
        <v>3.4683535780155282E-3</v>
      </c>
      <c r="AB71">
        <f t="shared" si="78"/>
        <v>-2.3571195566676678E-6</v>
      </c>
      <c r="AC71">
        <f t="shared" si="79"/>
        <v>1.0313696331397427E-5</v>
      </c>
    </row>
    <row r="72" spans="1:29" ht="15">
      <c r="A72" s="131">
        <f t="shared" si="11"/>
        <v>57</v>
      </c>
      <c r="B72" s="101">
        <v>7.7480222999999993E-6</v>
      </c>
      <c r="C72" s="101">
        <v>-6.3779045999999997E-7</v>
      </c>
      <c r="D72" s="101">
        <v>8.693045E-5</v>
      </c>
      <c r="E72" s="101">
        <v>-2.9249676999999999E-5</v>
      </c>
      <c r="F72" s="101">
        <v>-2.0644700999999998E-5</v>
      </c>
      <c r="G72" s="101">
        <v>3.0289998000000001E-5</v>
      </c>
      <c r="H72" s="101">
        <v>-6.3367867999999996E-6</v>
      </c>
      <c r="I72" s="101">
        <v>2.9316668999999999E-4</v>
      </c>
      <c r="J72" s="101">
        <v>8.2575220000000005E-2</v>
      </c>
      <c r="K72" s="101">
        <v>1.8412870999999999E-4</v>
      </c>
      <c r="L72" s="101">
        <v>40.606493</v>
      </c>
      <c r="M72" s="101">
        <v>8.2019130999999995E-2</v>
      </c>
      <c r="N72" s="101">
        <v>1.3633654E-3</v>
      </c>
      <c r="O72" s="101">
        <v>40.352082000000003</v>
      </c>
      <c r="P72" s="106">
        <f t="shared" si="66"/>
        <v>4.5630535247227142</v>
      </c>
      <c r="Q72" s="113">
        <f t="shared" si="67"/>
        <v>2.883440415E-4</v>
      </c>
      <c r="R72" s="113">
        <f t="shared" si="68"/>
        <v>1.8610402200000003E-5</v>
      </c>
      <c r="S72" s="113">
        <f t="shared" si="69"/>
        <v>1.27675384523E-3</v>
      </c>
      <c r="T72" s="113">
        <f t="shared" si="70"/>
        <v>8.2571664884080007E-2</v>
      </c>
      <c r="U72" s="113">
        <f t="shared" si="71"/>
        <v>8.2015575884079997E-2</v>
      </c>
      <c r="V72" s="4">
        <f t="shared" si="72"/>
        <v>488.6916360067238</v>
      </c>
      <c r="W72" s="4">
        <f t="shared" si="73"/>
        <v>1.5462372558702772E-2</v>
      </c>
      <c r="X72" s="4">
        <f t="shared" si="74"/>
        <v>3.4920458719682828E-3</v>
      </c>
      <c r="Y72">
        <f t="shared" si="75"/>
        <v>1.9483497074224883E-3</v>
      </c>
      <c r="Z72">
        <f t="shared" si="76"/>
        <v>1.5492498667753577E-2</v>
      </c>
      <c r="AA72">
        <f t="shared" si="77"/>
        <v>3.4852421454153273E-3</v>
      </c>
      <c r="AB72">
        <f t="shared" si="78"/>
        <v>-2.381901397305844E-6</v>
      </c>
      <c r="AC72">
        <f t="shared" si="79"/>
        <v>1.0546782073764289E-5</v>
      </c>
    </row>
    <row r="73" spans="1:29" ht="15">
      <c r="A73" s="131">
        <f t="shared" si="11"/>
        <v>58</v>
      </c>
      <c r="B73" s="101">
        <v>2.3342677E-5</v>
      </c>
      <c r="C73" s="101">
        <v>3.0012282999999999E-6</v>
      </c>
      <c r="D73" s="101">
        <v>7.4827041000000006E-5</v>
      </c>
      <c r="E73" s="101">
        <v>-7.8463850000000006E-6</v>
      </c>
      <c r="F73" s="101">
        <v>-2.5812279999999999E-5</v>
      </c>
      <c r="G73" s="101">
        <v>2.6165173000000001E-5</v>
      </c>
      <c r="H73" s="101">
        <v>-8.3300421999999996E-6</v>
      </c>
      <c r="I73" s="101">
        <v>2.8750586E-4</v>
      </c>
      <c r="J73" s="101">
        <v>8.0733318999999998E-2</v>
      </c>
      <c r="K73" s="101">
        <v>2.0098159000000001E-4</v>
      </c>
      <c r="L73" s="101">
        <v>39.702506</v>
      </c>
      <c r="M73" s="101">
        <v>8.0438418999999997E-2</v>
      </c>
      <c r="N73" s="101">
        <v>1.3258564E-3</v>
      </c>
      <c r="O73" s="101">
        <v>39.571742</v>
      </c>
      <c r="P73" s="106">
        <f t="shared" si="66"/>
        <v>5.0789169200587629</v>
      </c>
      <c r="Q73" s="113">
        <f t="shared" si="67"/>
        <v>2.8732941349999999E-4</v>
      </c>
      <c r="R73" s="113">
        <f t="shared" si="68"/>
        <v>8.4992903000000009E-6</v>
      </c>
      <c r="S73" s="113">
        <f t="shared" si="69"/>
        <v>1.24952874485E-3</v>
      </c>
      <c r="T73" s="113">
        <f t="shared" si="70"/>
        <v>8.0720147047349991E-2</v>
      </c>
      <c r="U73" s="113">
        <f t="shared" si="71"/>
        <v>8.042524704734999E-2</v>
      </c>
      <c r="V73" s="4">
        <f t="shared" si="72"/>
        <v>490.233769975511</v>
      </c>
      <c r="W73" s="4">
        <f t="shared" si="73"/>
        <v>1.5479762990484066E-2</v>
      </c>
      <c r="X73" s="4">
        <f t="shared" si="74"/>
        <v>3.5595749513619461E-3</v>
      </c>
      <c r="Y73">
        <f t="shared" si="75"/>
        <v>8.9365028809214775E-4</v>
      </c>
      <c r="Z73">
        <f t="shared" si="76"/>
        <v>1.5493596485140109E-2</v>
      </c>
      <c r="AA73">
        <f t="shared" si="77"/>
        <v>3.5563939361811757E-3</v>
      </c>
      <c r="AB73">
        <f t="shared" si="78"/>
        <v>-2.4203248663318045E-6</v>
      </c>
      <c r="AC73">
        <f t="shared" si="79"/>
        <v>1.0525429525358442E-5</v>
      </c>
    </row>
    <row r="74" spans="1:29" ht="15">
      <c r="A74" s="131">
        <f t="shared" si="11"/>
        <v>59</v>
      </c>
      <c r="B74" s="101">
        <v>-1.4031315999999999E-5</v>
      </c>
      <c r="C74" s="101">
        <v>3.9855553999999996E-6</v>
      </c>
      <c r="D74" s="101">
        <v>7.1117639999999994E-5</v>
      </c>
      <c r="E74" s="101">
        <v>-9.6344497000000007E-6</v>
      </c>
      <c r="F74" s="101">
        <v>-3.4014731000000003E-5</v>
      </c>
      <c r="G74" s="101">
        <v>1.7463955000000001E-5</v>
      </c>
      <c r="H74" s="101">
        <v>-1.7912548E-5</v>
      </c>
      <c r="I74" s="101">
        <v>2.8017443000000002E-4</v>
      </c>
      <c r="J74" s="101">
        <v>7.8597044000000005E-2</v>
      </c>
      <c r="K74" s="101">
        <v>2.0057960000000001E-4</v>
      </c>
      <c r="L74" s="101">
        <v>38.655470000000001</v>
      </c>
      <c r="M74" s="101">
        <v>7.8430850999999996E-2</v>
      </c>
      <c r="N74" s="101">
        <v>1.2883037E-3</v>
      </c>
      <c r="O74" s="101">
        <v>38.590448000000002</v>
      </c>
      <c r="P74" s="106">
        <f t="shared" si="66"/>
        <v>5.1976489104246726</v>
      </c>
      <c r="Q74" s="113">
        <f t="shared" si="67"/>
        <v>2.8844981800000001E-4</v>
      </c>
      <c r="R74" s="113">
        <f t="shared" si="68"/>
        <v>3.9120423500000014E-6</v>
      </c>
      <c r="S74" s="113">
        <f t="shared" si="69"/>
        <v>1.2151932823E-3</v>
      </c>
      <c r="T74" s="113">
        <f t="shared" si="70"/>
        <v>7.8602066880300012E-2</v>
      </c>
      <c r="U74" s="113">
        <f t="shared" si="71"/>
        <v>7.8435873880300003E-2</v>
      </c>
      <c r="V74" s="4">
        <f t="shared" si="72"/>
        <v>490.95971049677195</v>
      </c>
      <c r="W74" s="4">
        <f t="shared" si="73"/>
        <v>1.546006778868258E-2</v>
      </c>
      <c r="X74" s="4">
        <f t="shared" si="74"/>
        <v>3.6697485123294389E-3</v>
      </c>
      <c r="Y74">
        <f t="shared" si="75"/>
        <v>3.9945716893755956E-4</v>
      </c>
      <c r="Z74">
        <f t="shared" si="76"/>
        <v>1.5466243423593031E-2</v>
      </c>
      <c r="AA74">
        <f t="shared" si="77"/>
        <v>3.668282604977991E-3</v>
      </c>
      <c r="AB74">
        <f t="shared" si="78"/>
        <v>-2.4915476320288726E-6</v>
      </c>
      <c r="AC74">
        <f t="shared" si="79"/>
        <v>1.0496494558273419E-5</v>
      </c>
    </row>
    <row r="75" spans="1:29" ht="15">
      <c r="A75" s="131">
        <f t="shared" si="11"/>
        <v>60</v>
      </c>
      <c r="B75" s="101">
        <v>-1.5180702E-7</v>
      </c>
      <c r="C75" s="101">
        <v>2.3599249000000002E-6</v>
      </c>
      <c r="D75" s="101">
        <v>8.7005721000000004E-5</v>
      </c>
      <c r="E75" s="101">
        <v>-2.1115099000000001E-5</v>
      </c>
      <c r="F75" s="101">
        <v>-2.0846034999999999E-5</v>
      </c>
      <c r="G75" s="101">
        <v>2.6059794000000001E-5</v>
      </c>
      <c r="H75" s="101">
        <v>-8.8796522999999992E-6</v>
      </c>
      <c r="I75" s="101">
        <v>2.5872489000000002E-4</v>
      </c>
      <c r="J75" s="101">
        <v>7.7971990000000005E-2</v>
      </c>
      <c r="K75" s="101">
        <v>1.8913550999999999E-4</v>
      </c>
      <c r="L75" s="101">
        <v>38.328367999999998</v>
      </c>
      <c r="M75" s="101">
        <v>7.7762960000000006E-2</v>
      </c>
      <c r="N75" s="101">
        <v>1.2942610999999999E-3</v>
      </c>
      <c r="O75" s="101">
        <v>38.258907000000001</v>
      </c>
      <c r="P75" s="106">
        <f t="shared" si="66"/>
        <v>4.9435680428612345</v>
      </c>
      <c r="Q75" s="113">
        <f t="shared" si="67"/>
        <v>2.5611801050000002E-4</v>
      </c>
      <c r="R75" s="113">
        <f t="shared" si="68"/>
        <v>1.2100914700000001E-5</v>
      </c>
      <c r="S75" s="113">
        <f t="shared" si="69"/>
        <v>1.2060754165499998E-3</v>
      </c>
      <c r="T75" s="113">
        <f t="shared" si="70"/>
        <v>7.7970885941060011E-2</v>
      </c>
      <c r="U75" s="113">
        <f t="shared" si="71"/>
        <v>7.7761855941060012E-2</v>
      </c>
      <c r="V75" s="4">
        <f t="shared" si="72"/>
        <v>490.68195824940079</v>
      </c>
      <c r="W75" s="4">
        <f t="shared" si="73"/>
        <v>1.546827898636037E-2</v>
      </c>
      <c r="X75" s="4">
        <f t="shared" si="74"/>
        <v>3.2847903087006797E-3</v>
      </c>
      <c r="Y75">
        <f t="shared" si="75"/>
        <v>5.88367788178908E-4</v>
      </c>
      <c r="Z75">
        <f t="shared" si="76"/>
        <v>1.5477380023454508E-2</v>
      </c>
      <c r="AA75">
        <f t="shared" si="77"/>
        <v>3.2828576438921177E-3</v>
      </c>
      <c r="AB75">
        <f t="shared" si="78"/>
        <v>-2.2314456125645896E-6</v>
      </c>
      <c r="AC75">
        <f t="shared" si="79"/>
        <v>1.050801422136811E-5</v>
      </c>
    </row>
    <row r="76" spans="1:29" ht="15">
      <c r="A76" s="131">
        <f t="shared" si="11"/>
        <v>61</v>
      </c>
      <c r="B76" s="101">
        <v>-4.8253439999999997E-6</v>
      </c>
      <c r="C76" s="101">
        <v>1.5107289999999999E-5</v>
      </c>
      <c r="D76" s="101">
        <v>5.5423164000000003E-5</v>
      </c>
      <c r="E76" s="101">
        <v>-1.9165239000000001E-5</v>
      </c>
      <c r="F76" s="101">
        <v>-4.8113943000000003E-6</v>
      </c>
      <c r="G76" s="101">
        <v>1.6601861000000001E-5</v>
      </c>
      <c r="H76" s="101">
        <v>-2.9886101000000001E-5</v>
      </c>
      <c r="I76" s="101">
        <v>2.8497492000000002E-4</v>
      </c>
      <c r="J76" s="101">
        <v>7.3162774E-2</v>
      </c>
      <c r="K76" s="101">
        <v>1.686395E-4</v>
      </c>
      <c r="L76" s="101">
        <v>35.976742999999999</v>
      </c>
      <c r="M76" s="101">
        <v>7.3166198000000002E-2</v>
      </c>
      <c r="N76" s="101">
        <v>1.2023463000000001E-3</v>
      </c>
      <c r="O76" s="101">
        <v>35.982903999999998</v>
      </c>
      <c r="P76" s="106">
        <f t="shared" ref="P76:P85" si="80">(K76/O76)*1000000</f>
        <v>4.6866561965093201</v>
      </c>
      <c r="Q76" s="113">
        <f t="shared" ref="Q76:Q85" si="81">I76-((F76+G76)/2)</f>
        <v>2.7907968665000005E-4</v>
      </c>
      <c r="R76" s="113">
        <f t="shared" ref="R76:R85" si="82">H76-((E76+F76)/2)</f>
        <v>-1.789778435E-5</v>
      </c>
      <c r="S76" s="113">
        <f t="shared" ref="S76:S85" si="83">N76-((D76+C76/2))</f>
        <v>1.1393694910000001E-3</v>
      </c>
      <c r="T76" s="113">
        <f t="shared" ref="T76:T85" si="84">J76-((B76+C76)/2)</f>
        <v>7.3157633026999999E-2</v>
      </c>
      <c r="U76" s="113">
        <f t="shared" ref="U76:U85" si="85">M76-((C76+B76)/2)</f>
        <v>7.3161057027000001E-2</v>
      </c>
      <c r="V76" s="4">
        <f t="shared" ref="V76:V85" si="86">IF(AND(A76&gt;0,NOT(A76="***")),O76/T76,"")</f>
        <v>491.85440412923049</v>
      </c>
      <c r="W76" s="4">
        <f t="shared" ref="W76:W85" si="87">IF(AND(A76&gt;0,NOT(A76="***")),S76/T76,"")</f>
        <v>1.5574171058534623E-2</v>
      </c>
      <c r="X76" s="4">
        <f t="shared" ref="X76:X85" si="88">IF(AND(A76&gt;0,NOT(A76="***")),Q76/T76,"")</f>
        <v>3.8147719534201061E-3</v>
      </c>
      <c r="Y76">
        <f t="shared" ref="Y76:Y85" si="89">IF(AND(A76&gt;0,NOT(A76="***")),1/3*($W$7/V76-1),"")</f>
        <v>-2.0760988199923039E-4</v>
      </c>
      <c r="Z76">
        <f t="shared" ref="Z76:Z85" si="90">IF(AND(A76&gt;0,NOT(A76="***")),W76*(1+Y76),"")</f>
        <v>1.5570937706718925E-2</v>
      </c>
      <c r="AA76">
        <f t="shared" ref="AA76:AA85" si="91">IF(AND(A76&gt;0,NOT(A76="***")),X76*(1-Y76),"")</f>
        <v>3.8155639377752096E-3</v>
      </c>
      <c r="AB76">
        <f t="shared" ref="AB76:AB85" si="92">IF(AND(A76&gt;0,NOT(A76="***")),-X76/(3*V76),"")</f>
        <v>-2.5852989024083962E-6</v>
      </c>
      <c r="AC76">
        <f t="shared" ref="AC76:AC85" si="93">IF(AND(A76&gt;0,NOT(A76="***")),W76/(3*V76),"")</f>
        <v>1.0554729833182263E-5</v>
      </c>
    </row>
    <row r="77" spans="1:29" ht="15">
      <c r="A77" s="131">
        <f t="shared" si="11"/>
        <v>62</v>
      </c>
      <c r="B77" s="101">
        <v>-3.5888766999999998E-6</v>
      </c>
      <c r="C77" s="101">
        <v>2.0270899E-5</v>
      </c>
      <c r="D77" s="101">
        <v>7.1083355999999997E-5</v>
      </c>
      <c r="E77" s="101">
        <v>-2.1547662999999999E-5</v>
      </c>
      <c r="F77" s="101">
        <v>1.9699305999999999E-5</v>
      </c>
      <c r="G77" s="101">
        <v>3.2690366000000002E-6</v>
      </c>
      <c r="H77" s="101">
        <v>-2.9433746000000002E-5</v>
      </c>
      <c r="I77" s="101">
        <v>2.9204030000000002E-4</v>
      </c>
      <c r="J77" s="101">
        <v>7.3348806000000003E-2</v>
      </c>
      <c r="K77" s="101">
        <v>1.5867284999999999E-4</v>
      </c>
      <c r="L77" s="101">
        <v>36.066037999999999</v>
      </c>
      <c r="M77" s="101">
        <v>7.3393392000000002E-2</v>
      </c>
      <c r="N77" s="101">
        <v>1.2088377E-3</v>
      </c>
      <c r="O77" s="101">
        <v>36.096794000000003</v>
      </c>
      <c r="P77" s="106">
        <f t="shared" si="80"/>
        <v>4.3957601885641138</v>
      </c>
      <c r="Q77" s="113">
        <f t="shared" si="81"/>
        <v>2.8055612870000004E-4</v>
      </c>
      <c r="R77" s="113">
        <f t="shared" si="82"/>
        <v>-2.8509567500000003E-5</v>
      </c>
      <c r="S77" s="113">
        <f t="shared" si="83"/>
        <v>1.1276188945E-3</v>
      </c>
      <c r="T77" s="113">
        <f t="shared" si="84"/>
        <v>7.3340464988849996E-2</v>
      </c>
      <c r="U77" s="113">
        <f t="shared" si="85"/>
        <v>7.3385050988849995E-2</v>
      </c>
      <c r="V77" s="4">
        <f t="shared" si="86"/>
        <v>492.1811445494356</v>
      </c>
      <c r="W77" s="4">
        <f t="shared" si="87"/>
        <v>1.5375126059964751E-2</v>
      </c>
      <c r="X77" s="4">
        <f t="shared" si="88"/>
        <v>3.8253933724398011E-3</v>
      </c>
      <c r="Y77">
        <f t="shared" si="89"/>
        <v>-4.2875943245845871E-4</v>
      </c>
      <c r="Z77">
        <f t="shared" si="90"/>
        <v>1.5368533829641304E-2</v>
      </c>
      <c r="AA77">
        <f t="shared" si="91"/>
        <v>3.827033545931099E-3</v>
      </c>
      <c r="AB77">
        <f t="shared" si="92"/>
        <v>-2.5907760552548429E-6</v>
      </c>
      <c r="AC77">
        <f t="shared" si="93"/>
        <v>1.0412918245130948E-5</v>
      </c>
    </row>
    <row r="78" spans="1:29" ht="15">
      <c r="A78" s="131">
        <f t="shared" si="11"/>
        <v>63</v>
      </c>
      <c r="B78" s="101">
        <v>-1.2500455E-5</v>
      </c>
      <c r="C78" s="101">
        <v>3.4590130000000001E-5</v>
      </c>
      <c r="D78" s="101">
        <v>7.3007339000000001E-5</v>
      </c>
      <c r="E78" s="101">
        <v>-9.8692105000000007E-6</v>
      </c>
      <c r="F78" s="101">
        <v>1.1025320000000001E-5</v>
      </c>
      <c r="G78" s="101">
        <v>1.8995524E-5</v>
      </c>
      <c r="H78" s="101">
        <v>-1.609673E-5</v>
      </c>
      <c r="I78" s="101">
        <v>2.6748758000000002E-4</v>
      </c>
      <c r="J78" s="101">
        <v>7.2122575999999994E-2</v>
      </c>
      <c r="K78" s="101">
        <v>1.503172E-4</v>
      </c>
      <c r="L78" s="101">
        <v>35.466358</v>
      </c>
      <c r="M78" s="101">
        <v>7.1976126000000001E-2</v>
      </c>
      <c r="N78" s="101">
        <v>1.1848449000000001E-3</v>
      </c>
      <c r="O78" s="101">
        <v>35.400919999999999</v>
      </c>
      <c r="P78" s="106">
        <f t="shared" si="80"/>
        <v>4.2461382359554491</v>
      </c>
      <c r="Q78" s="113">
        <f t="shared" si="81"/>
        <v>2.5247715799999999E-4</v>
      </c>
      <c r="R78" s="113">
        <f t="shared" si="82"/>
        <v>-1.6674784749999998E-5</v>
      </c>
      <c r="S78" s="113">
        <f t="shared" si="83"/>
        <v>1.0945424960000002E-3</v>
      </c>
      <c r="T78" s="113">
        <f t="shared" si="84"/>
        <v>7.2111531162499992E-2</v>
      </c>
      <c r="U78" s="113">
        <f t="shared" si="85"/>
        <v>7.19650811625E-2</v>
      </c>
      <c r="V78" s="4">
        <f t="shared" si="86"/>
        <v>490.91898936698027</v>
      </c>
      <c r="W78" s="4">
        <f t="shared" si="87"/>
        <v>1.5178466999036525E-2</v>
      </c>
      <c r="X78" s="4">
        <f t="shared" si="88"/>
        <v>3.5012036761645571E-3</v>
      </c>
      <c r="Y78">
        <f t="shared" si="89"/>
        <v>4.2713989576648181E-4</v>
      </c>
      <c r="Z78">
        <f t="shared" si="90"/>
        <v>1.5184950327848388E-2</v>
      </c>
      <c r="AA78">
        <f t="shared" si="91"/>
        <v>3.499708172391263E-3</v>
      </c>
      <c r="AB78">
        <f t="shared" si="92"/>
        <v>-2.3773125858499344E-6</v>
      </c>
      <c r="AC78">
        <f t="shared" si="93"/>
        <v>1.0306158672335824E-5</v>
      </c>
    </row>
    <row r="79" spans="1:29" ht="15">
      <c r="A79" s="131">
        <f t="shared" si="11"/>
        <v>64</v>
      </c>
      <c r="B79" s="101">
        <v>-8.4668824000000007E-6</v>
      </c>
      <c r="C79" s="101">
        <v>2.2161552999999999E-5</v>
      </c>
      <c r="D79" s="101">
        <v>5.4386616999999998E-5</v>
      </c>
      <c r="E79" s="101">
        <v>-1.4769804E-5</v>
      </c>
      <c r="F79" s="101">
        <v>5.9100550999999997E-6</v>
      </c>
      <c r="G79" s="101">
        <v>2.4946151000000001E-5</v>
      </c>
      <c r="H79" s="101">
        <v>-1.8222823000000001E-5</v>
      </c>
      <c r="I79" s="101">
        <v>2.7215622E-4</v>
      </c>
      <c r="J79" s="101">
        <v>7.1166301000000001E-2</v>
      </c>
      <c r="K79" s="101">
        <v>1.5047528E-4</v>
      </c>
      <c r="L79" s="101">
        <v>34.999102999999998</v>
      </c>
      <c r="M79" s="101">
        <v>7.1000500999999994E-2</v>
      </c>
      <c r="N79" s="101">
        <v>1.1649003000000001E-3</v>
      </c>
      <c r="O79" s="101">
        <v>34.914402000000003</v>
      </c>
      <c r="P79" s="106">
        <f t="shared" si="80"/>
        <v>4.3098340908144435</v>
      </c>
      <c r="Q79" s="113">
        <f t="shared" si="81"/>
        <v>2.5672811694999999E-4</v>
      </c>
      <c r="R79" s="113">
        <f t="shared" si="82"/>
        <v>-1.379294855E-5</v>
      </c>
      <c r="S79" s="113">
        <f t="shared" si="83"/>
        <v>1.0994329065000001E-3</v>
      </c>
      <c r="T79" s="113">
        <f t="shared" si="84"/>
        <v>7.1159453664700001E-2</v>
      </c>
      <c r="U79" s="113">
        <f t="shared" si="85"/>
        <v>7.0993653664699993E-2</v>
      </c>
      <c r="V79" s="4">
        <f t="shared" si="86"/>
        <v>490.65022568210014</v>
      </c>
      <c r="W79" s="4">
        <f t="shared" si="87"/>
        <v>1.5450271887702739E-2</v>
      </c>
      <c r="X79" s="4">
        <f t="shared" si="88"/>
        <v>3.6077865094312107E-3</v>
      </c>
      <c r="Y79">
        <f t="shared" si="89"/>
        <v>6.0996401355365804E-4</v>
      </c>
      <c r="Z79">
        <f t="shared" si="90"/>
        <v>1.5459695997553858E-2</v>
      </c>
      <c r="AA79">
        <f t="shared" si="91"/>
        <v>3.6055858894918735E-3</v>
      </c>
      <c r="AB79">
        <f t="shared" si="92"/>
        <v>-2.4510240497125891E-6</v>
      </c>
      <c r="AC79">
        <f t="shared" si="93"/>
        <v>1.0496460328892359E-5</v>
      </c>
    </row>
    <row r="80" spans="1:29" ht="15">
      <c r="A80" s="131">
        <f t="shared" si="11"/>
        <v>65</v>
      </c>
      <c r="B80" s="101">
        <v>-1.4294825000000001E-5</v>
      </c>
      <c r="C80" s="101">
        <v>2.586959E-5</v>
      </c>
      <c r="D80" s="101">
        <v>6.2045157999999999E-5</v>
      </c>
      <c r="E80" s="101">
        <v>-2.9659923999999999E-5</v>
      </c>
      <c r="F80" s="101">
        <v>-3.3457210999999999E-6</v>
      </c>
      <c r="G80" s="101">
        <v>1.0338095999999999E-5</v>
      </c>
      <c r="H80" s="101">
        <v>-1.3050829E-5</v>
      </c>
      <c r="I80" s="101">
        <v>2.5362106999999998E-4</v>
      </c>
      <c r="J80" s="101">
        <v>7.0426612E-2</v>
      </c>
      <c r="K80" s="101">
        <v>1.5027956999999999E-4</v>
      </c>
      <c r="L80" s="101">
        <v>34.636674999999997</v>
      </c>
      <c r="M80" s="101">
        <v>7.0191770000000001E-2</v>
      </c>
      <c r="N80" s="101">
        <v>1.1453366E-3</v>
      </c>
      <c r="O80" s="101">
        <v>34.520907000000001</v>
      </c>
      <c r="P80" s="106">
        <f t="shared" si="80"/>
        <v>4.3532914705862158</v>
      </c>
      <c r="Q80" s="113">
        <f t="shared" si="81"/>
        <v>2.5012488254999999E-4</v>
      </c>
      <c r="R80" s="113">
        <f t="shared" si="82"/>
        <v>3.4519935500000015E-6</v>
      </c>
      <c r="S80" s="113">
        <f t="shared" si="83"/>
        <v>1.070356647E-3</v>
      </c>
      <c r="T80" s="113">
        <f t="shared" si="84"/>
        <v>7.0420824617500002E-2</v>
      </c>
      <c r="U80" s="113">
        <f t="shared" si="85"/>
        <v>7.0185982617500003E-2</v>
      </c>
      <c r="V80" s="4">
        <f t="shared" si="86"/>
        <v>490.20878678295605</v>
      </c>
      <c r="W80" s="4">
        <f t="shared" si="87"/>
        <v>1.5199433588200412E-2</v>
      </c>
      <c r="X80" s="4">
        <f t="shared" si="88"/>
        <v>3.5518596084125153E-3</v>
      </c>
      <c r="Y80">
        <f t="shared" si="89"/>
        <v>9.1068396295475762E-4</v>
      </c>
      <c r="Z80">
        <f t="shared" si="90"/>
        <v>1.5213275468615181E-2</v>
      </c>
      <c r="AA80">
        <f t="shared" si="91"/>
        <v>3.5486249868284673E-3</v>
      </c>
      <c r="AB80">
        <f t="shared" si="92"/>
        <v>-2.4152019195208279E-6</v>
      </c>
      <c r="AC80">
        <f t="shared" si="93"/>
        <v>1.033534689572322E-5</v>
      </c>
    </row>
    <row r="81" spans="1:29" ht="15">
      <c r="A81" s="131">
        <f t="shared" si="11"/>
        <v>66</v>
      </c>
      <c r="B81" s="101">
        <v>2.2840848000000001E-5</v>
      </c>
      <c r="C81" s="101">
        <v>-3.9055331000000003E-6</v>
      </c>
      <c r="D81" s="101">
        <v>5.6897473999999997E-5</v>
      </c>
      <c r="E81" s="101">
        <v>1.1863312E-5</v>
      </c>
      <c r="F81" s="101">
        <v>-1.8305756E-5</v>
      </c>
      <c r="G81" s="101">
        <v>2.4785024999999999E-5</v>
      </c>
      <c r="H81" s="101">
        <v>1.3653914E-5</v>
      </c>
      <c r="I81" s="101">
        <v>2.3047648E-4</v>
      </c>
      <c r="J81" s="101">
        <v>6.902548E-2</v>
      </c>
      <c r="K81" s="101">
        <v>1.2299606E-4</v>
      </c>
      <c r="L81" s="101">
        <v>33.942414999999997</v>
      </c>
      <c r="M81" s="101">
        <v>6.8562818999999997E-2</v>
      </c>
      <c r="N81" s="101">
        <v>1.1243531000000001E-3</v>
      </c>
      <c r="O81" s="101">
        <v>33.735928999999999</v>
      </c>
      <c r="P81" s="106">
        <f t="shared" si="80"/>
        <v>3.6458477251360115</v>
      </c>
      <c r="Q81" s="113">
        <f t="shared" si="81"/>
        <v>2.272368455E-4</v>
      </c>
      <c r="R81" s="113">
        <f t="shared" si="82"/>
        <v>1.6875135999999999E-5</v>
      </c>
      <c r="S81" s="113">
        <f t="shared" si="83"/>
        <v>1.0694083925500001E-3</v>
      </c>
      <c r="T81" s="113">
        <f t="shared" si="84"/>
        <v>6.9016012342550004E-2</v>
      </c>
      <c r="U81" s="113">
        <f t="shared" si="85"/>
        <v>6.8553351342550001E-2</v>
      </c>
      <c r="V81" s="4">
        <f t="shared" si="86"/>
        <v>488.81307185000895</v>
      </c>
      <c r="W81" s="4">
        <f t="shared" si="87"/>
        <v>1.5495076522853299E-2</v>
      </c>
      <c r="X81" s="4">
        <f t="shared" si="88"/>
        <v>3.2925235432633526E-3</v>
      </c>
      <c r="Y81">
        <f t="shared" si="89"/>
        <v>1.8650556707796953E-3</v>
      </c>
      <c r="Z81">
        <f t="shared" si="90"/>
        <v>1.5523975703191414E-2</v>
      </c>
      <c r="AA81">
        <f t="shared" si="91"/>
        <v>3.2863828035578136E-3</v>
      </c>
      <c r="AB81">
        <f t="shared" si="92"/>
        <v>-2.2452506100148206E-6</v>
      </c>
      <c r="AC81">
        <f t="shared" si="93"/>
        <v>1.056646355235492E-5</v>
      </c>
    </row>
    <row r="82" spans="1:29" ht="15">
      <c r="A82" s="131">
        <f t="shared" ref="A82:A85" si="94">A81+1</f>
        <v>67</v>
      </c>
      <c r="B82" s="101">
        <v>-1.0259485E-5</v>
      </c>
      <c r="C82" s="101">
        <v>-1.9180317999999999E-5</v>
      </c>
      <c r="D82" s="101">
        <v>6.7435744999999999E-5</v>
      </c>
      <c r="E82" s="101">
        <v>-6.8026021000000003E-6</v>
      </c>
      <c r="F82" s="101">
        <v>-3.8043529999999998E-5</v>
      </c>
      <c r="G82" s="101">
        <v>5.9760111000000001E-6</v>
      </c>
      <c r="H82" s="101">
        <v>-1.3511719999999999E-5</v>
      </c>
      <c r="I82" s="101">
        <v>2.3055942999999999E-4</v>
      </c>
      <c r="J82" s="101">
        <v>6.7665178000000006E-2</v>
      </c>
      <c r="K82" s="101">
        <v>1.4090850000000001E-4</v>
      </c>
      <c r="L82" s="101">
        <v>33.272812999999999</v>
      </c>
      <c r="M82" s="101">
        <v>6.7383727000000004E-2</v>
      </c>
      <c r="N82" s="101">
        <v>1.1101063999999999E-3</v>
      </c>
      <c r="O82" s="101">
        <v>33.146982000000001</v>
      </c>
      <c r="P82" s="106">
        <f t="shared" si="80"/>
        <v>4.2510205001468915</v>
      </c>
      <c r="Q82" s="113">
        <f t="shared" si="81"/>
        <v>2.4659318944999999E-4</v>
      </c>
      <c r="R82" s="113">
        <f t="shared" si="82"/>
        <v>8.9113460499999988E-6</v>
      </c>
      <c r="S82" s="113">
        <f t="shared" si="83"/>
        <v>1.052260814E-3</v>
      </c>
      <c r="T82" s="113">
        <f t="shared" si="84"/>
        <v>6.7679897901500002E-2</v>
      </c>
      <c r="U82" s="113">
        <f t="shared" si="85"/>
        <v>6.73984469015E-2</v>
      </c>
      <c r="V82" s="4">
        <f t="shared" si="86"/>
        <v>489.76111116836302</v>
      </c>
      <c r="W82" s="4">
        <f t="shared" si="87"/>
        <v>1.5547612313650941E-2</v>
      </c>
      <c r="X82" s="4">
        <f t="shared" si="88"/>
        <v>3.643521889008859E-3</v>
      </c>
      <c r="Y82">
        <f t="shared" si="89"/>
        <v>1.2162061705269047E-3</v>
      </c>
      <c r="Z82">
        <f t="shared" si="90"/>
        <v>1.5566521415683765E-2</v>
      </c>
      <c r="AA82">
        <f t="shared" si="91"/>
        <v>3.6390906152049965E-3</v>
      </c>
      <c r="AB82">
        <f t="shared" si="92"/>
        <v>-2.4797952892563991E-6</v>
      </c>
      <c r="AC82">
        <f t="shared" si="93"/>
        <v>1.0581765925678139E-5</v>
      </c>
    </row>
    <row r="83" spans="1:29" ht="15">
      <c r="A83" s="131">
        <f t="shared" si="94"/>
        <v>68</v>
      </c>
      <c r="B83" s="101">
        <v>-1.0135242000000001E-5</v>
      </c>
      <c r="C83" s="101">
        <v>1.0208392E-5</v>
      </c>
      <c r="D83" s="101">
        <v>6.4050000999999994E-5</v>
      </c>
      <c r="E83" s="101">
        <v>-1.7911356999999998E-5</v>
      </c>
      <c r="F83" s="101">
        <v>-9.1605073000000004E-6</v>
      </c>
      <c r="G83" s="101">
        <v>2.0842491000000001E-5</v>
      </c>
      <c r="H83" s="101">
        <v>-2.0476583999999999E-5</v>
      </c>
      <c r="I83" s="101">
        <v>2.270532E-4</v>
      </c>
      <c r="J83" s="101">
        <v>6.5778505000000001E-2</v>
      </c>
      <c r="K83" s="101">
        <v>1.2538984000000001E-4</v>
      </c>
      <c r="L83" s="101">
        <v>32.357137999999999</v>
      </c>
      <c r="M83" s="101">
        <v>6.5652985999999997E-2</v>
      </c>
      <c r="N83" s="101">
        <v>1.0787832999999999E-3</v>
      </c>
      <c r="O83" s="101">
        <v>32.303418000000001</v>
      </c>
      <c r="P83" s="106">
        <f t="shared" si="80"/>
        <v>3.8816276345741496</v>
      </c>
      <c r="Q83" s="113">
        <f t="shared" si="81"/>
        <v>2.2121220814999999E-4</v>
      </c>
      <c r="R83" s="113">
        <f t="shared" si="82"/>
        <v>-6.9406518500000008E-6</v>
      </c>
      <c r="S83" s="113">
        <f t="shared" si="83"/>
        <v>1.009629103E-3</v>
      </c>
      <c r="T83" s="113">
        <f t="shared" si="84"/>
        <v>6.5778468425E-2</v>
      </c>
      <c r="U83" s="113">
        <f t="shared" si="85"/>
        <v>6.5652949424999996E-2</v>
      </c>
      <c r="V83" s="4">
        <f t="shared" si="86"/>
        <v>491.09410379221674</v>
      </c>
      <c r="W83" s="4">
        <f t="shared" si="87"/>
        <v>1.534892993367837E-2</v>
      </c>
      <c r="X83" s="4">
        <f t="shared" si="88"/>
        <v>3.3629881243316586E-3</v>
      </c>
      <c r="Y83">
        <f t="shared" si="89"/>
        <v>3.0812752525573767E-4</v>
      </c>
      <c r="Z83">
        <f t="shared" si="90"/>
        <v>1.5353659361474157E-2</v>
      </c>
      <c r="AA83">
        <f t="shared" si="91"/>
        <v>3.3619518951234439E-3</v>
      </c>
      <c r="AB83">
        <f t="shared" si="92"/>
        <v>-2.282650173943409E-6</v>
      </c>
      <c r="AC83">
        <f t="shared" si="93"/>
        <v>1.041818653163369E-5</v>
      </c>
    </row>
    <row r="84" spans="1:29" ht="15">
      <c r="A84" s="131">
        <f t="shared" si="94"/>
        <v>69</v>
      </c>
      <c r="B84" s="101">
        <v>-2.5877425999999998E-5</v>
      </c>
      <c r="C84" s="101">
        <v>7.7731228999999998E-6</v>
      </c>
      <c r="D84" s="101">
        <v>5.3775588000000001E-5</v>
      </c>
      <c r="E84" s="101">
        <v>-1.9504576000000001E-5</v>
      </c>
      <c r="F84" s="101">
        <v>-2.2565469000000001E-5</v>
      </c>
      <c r="G84" s="101">
        <v>1.6682921E-5</v>
      </c>
      <c r="H84" s="101">
        <v>-1.4118316E-5</v>
      </c>
      <c r="I84" s="101">
        <v>2.1938479E-4</v>
      </c>
      <c r="J84" s="101">
        <v>6.4530870000000004E-2</v>
      </c>
      <c r="K84" s="101">
        <v>1.4733677000000001E-4</v>
      </c>
      <c r="L84" s="101">
        <v>31.744250999999998</v>
      </c>
      <c r="M84" s="101">
        <v>6.4314128999999998E-2</v>
      </c>
      <c r="N84" s="101">
        <v>1.0591252E-3</v>
      </c>
      <c r="O84" s="101">
        <v>31.644314999999999</v>
      </c>
      <c r="P84" s="106">
        <f t="shared" si="80"/>
        <v>4.6560265248276034</v>
      </c>
      <c r="Q84" s="113">
        <f t="shared" si="81"/>
        <v>2.22326064E-4</v>
      </c>
      <c r="R84" s="113">
        <f t="shared" si="82"/>
        <v>6.9167065000000022E-6</v>
      </c>
      <c r="S84" s="113">
        <f t="shared" si="83"/>
        <v>1.0014630505500001E-3</v>
      </c>
      <c r="T84" s="113">
        <f t="shared" si="84"/>
        <v>6.4539922151550008E-2</v>
      </c>
      <c r="U84" s="113">
        <f t="shared" si="85"/>
        <v>6.4323181151550002E-2</v>
      </c>
      <c r="V84" s="4">
        <f t="shared" si="86"/>
        <v>490.3060608857586</v>
      </c>
      <c r="W84" s="4">
        <f t="shared" si="87"/>
        <v>1.5516954733822044E-2</v>
      </c>
      <c r="X84" s="4">
        <f t="shared" si="88"/>
        <v>3.4447835787273346E-3</v>
      </c>
      <c r="Y84">
        <f t="shared" si="89"/>
        <v>8.4437173576978886E-4</v>
      </c>
      <c r="Z84">
        <f t="shared" si="90"/>
        <v>1.5530056811824502E-2</v>
      </c>
      <c r="AA84">
        <f t="shared" si="91"/>
        <v>3.4418749008376134E-3</v>
      </c>
      <c r="AB84">
        <f t="shared" si="92"/>
        <v>-2.3419273888532589E-6</v>
      </c>
      <c r="AC84">
        <f t="shared" si="93"/>
        <v>1.0549162364551107E-5</v>
      </c>
    </row>
    <row r="85" spans="1:29" ht="15">
      <c r="A85" s="131">
        <f t="shared" si="94"/>
        <v>70</v>
      </c>
      <c r="B85" s="101">
        <v>-1.8474099E-5</v>
      </c>
      <c r="C85" s="101">
        <v>-1.1663584000000001E-5</v>
      </c>
      <c r="D85" s="101">
        <v>5.0587755999999997E-5</v>
      </c>
      <c r="E85" s="101">
        <v>-1.0179092E-5</v>
      </c>
      <c r="F85" s="101">
        <v>-2.4156258999999999E-5</v>
      </c>
      <c r="G85" s="101">
        <v>1.4953392E-5</v>
      </c>
      <c r="H85" s="101">
        <v>-2.4050350999999999E-5</v>
      </c>
      <c r="I85" s="101">
        <v>2.2114165000000001E-4</v>
      </c>
      <c r="J85" s="101">
        <v>6.3574124999999995E-2</v>
      </c>
      <c r="K85" s="101">
        <v>1.432874E-4</v>
      </c>
      <c r="L85" s="101">
        <v>31.26708</v>
      </c>
      <c r="M85" s="101">
        <v>6.3054480999999996E-2</v>
      </c>
      <c r="N85" s="101">
        <v>1.0410292E-3</v>
      </c>
      <c r="O85" s="101">
        <v>31.029174000000001</v>
      </c>
      <c r="P85" s="106">
        <f t="shared" si="80"/>
        <v>4.6178283701654443</v>
      </c>
      <c r="Q85" s="113">
        <f t="shared" si="81"/>
        <v>2.257430835E-4</v>
      </c>
      <c r="R85" s="113">
        <f t="shared" si="82"/>
        <v>-6.8826755000000007E-6</v>
      </c>
      <c r="S85" s="113">
        <f t="shared" si="83"/>
        <v>9.9627323600000013E-4</v>
      </c>
      <c r="T85" s="113">
        <f t="shared" si="84"/>
        <v>6.3589193841499997E-2</v>
      </c>
      <c r="U85" s="113">
        <f t="shared" si="85"/>
        <v>6.3069549841499997E-2</v>
      </c>
      <c r="V85" s="4">
        <f t="shared" si="86"/>
        <v>487.96300323199785</v>
      </c>
      <c r="W85" s="4">
        <f t="shared" si="87"/>
        <v>1.5667335530047337E-2</v>
      </c>
      <c r="X85" s="4">
        <f t="shared" si="88"/>
        <v>3.5500227296901832E-3</v>
      </c>
      <c r="Y85">
        <f t="shared" si="89"/>
        <v>2.4489967265831263E-3</v>
      </c>
      <c r="Z85">
        <f t="shared" si="90"/>
        <v>1.5705704783474703E-2</v>
      </c>
      <c r="AA85">
        <f t="shared" si="91"/>
        <v>3.5413287356458761E-3</v>
      </c>
      <c r="AB85">
        <f t="shared" si="92"/>
        <v>-2.4250627651254911E-6</v>
      </c>
      <c r="AC85">
        <f t="shared" si="93"/>
        <v>1.0702543311873746E-5</v>
      </c>
    </row>
  </sheetData>
  <phoneticPr fontId="10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C97"/>
  <sheetViews>
    <sheetView topLeftCell="K1" workbookViewId="0">
      <selection activeCell="AD14" sqref="AD14"/>
    </sheetView>
  </sheetViews>
  <sheetFormatPr defaultColWidth="11" defaultRowHeight="12.75"/>
  <cols>
    <col min="1" max="1" width="8.625" bestFit="1" customWidth="1"/>
    <col min="2" max="4" width="9.375" bestFit="1" customWidth="1"/>
    <col min="5" max="5" width="10.375" bestFit="1" customWidth="1"/>
    <col min="6" max="11" width="9.375" bestFit="1" customWidth="1"/>
    <col min="12" max="12" width="9.125" bestFit="1" customWidth="1"/>
    <col min="13" max="13" width="8.375" bestFit="1" customWidth="1"/>
    <col min="14" max="14" width="9.375" customWidth="1"/>
    <col min="15" max="15" width="9.125" bestFit="1" customWidth="1"/>
    <col min="16" max="16" width="4.375" bestFit="1" customWidth="1"/>
    <col min="17" max="17" width="7.25" bestFit="1" customWidth="1"/>
    <col min="18" max="18" width="8.25" customWidth="1"/>
    <col min="19" max="19" width="9.875" bestFit="1" customWidth="1"/>
    <col min="20" max="21" width="7.25" bestFit="1" customWidth="1"/>
    <col min="22" max="22" width="12.875" customWidth="1"/>
    <col min="23" max="23" width="12.375" bestFit="1" customWidth="1"/>
    <col min="24" max="24" width="11.75" bestFit="1" customWidth="1"/>
    <col min="25" max="25" width="12.75" bestFit="1" customWidth="1"/>
    <col min="26" max="27" width="11.875" bestFit="1" customWidth="1"/>
    <col min="28" max="28" width="13" bestFit="1" customWidth="1"/>
    <col min="29" max="29" width="11.875" bestFit="1" customWidth="1"/>
  </cols>
  <sheetData>
    <row r="1" spans="1:29" ht="15">
      <c r="S1" s="5"/>
    </row>
    <row r="6" spans="1:29">
      <c r="S6" s="12"/>
      <c r="W6" t="s">
        <v>4</v>
      </c>
    </row>
    <row r="7" spans="1:29">
      <c r="W7">
        <v>491.54806242727523</v>
      </c>
    </row>
    <row r="10" spans="1:29" ht="15">
      <c r="N10" s="18" t="s">
        <v>149</v>
      </c>
      <c r="P10" s="106">
        <f>(AVERAGE((P16:P20)))</f>
        <v>4.6864262262540288</v>
      </c>
      <c r="Q10" s="106"/>
      <c r="R10" s="107"/>
      <c r="S10" s="107"/>
      <c r="T10" s="107"/>
      <c r="U10" s="107"/>
    </row>
    <row r="11" spans="1:29">
      <c r="B11">
        <v>234.54</v>
      </c>
      <c r="C11">
        <v>235.54</v>
      </c>
      <c r="D11">
        <v>236.54</v>
      </c>
      <c r="E11">
        <v>232.54</v>
      </c>
      <c r="F11">
        <v>233.54</v>
      </c>
      <c r="G11">
        <v>234.54</v>
      </c>
      <c r="H11">
        <v>237.041</v>
      </c>
      <c r="I11" s="127">
        <v>234.041</v>
      </c>
      <c r="J11" s="127">
        <v>233.041</v>
      </c>
      <c r="K11" s="127">
        <v>236.041</v>
      </c>
      <c r="Q11">
        <v>234.041</v>
      </c>
      <c r="R11">
        <v>233.041</v>
      </c>
      <c r="S11">
        <v>236.041</v>
      </c>
      <c r="T11">
        <v>235.041</v>
      </c>
      <c r="U11">
        <v>235.041</v>
      </c>
      <c r="Y11" t="s">
        <v>126</v>
      </c>
      <c r="Z11" s="105">
        <f>AVERAGE(Z16:Z97)</f>
        <v>1.5419067549556787E-2</v>
      </c>
      <c r="AA11" s="105">
        <f>AVERAGE(AA16:AA97)</f>
        <v>3.5911184651036092E-3</v>
      </c>
    </row>
    <row r="12" spans="1:29">
      <c r="B12" s="105">
        <f t="shared" ref="B12:G12" si="0">AVERAGE(B16:B97)</f>
        <v>4.1573994087500011E-7</v>
      </c>
      <c r="C12" s="105">
        <f t="shared" si="0"/>
        <v>2.2706379856124995E-5</v>
      </c>
      <c r="D12" s="105">
        <f t="shared" si="0"/>
        <v>7.8874566562500004E-5</v>
      </c>
      <c r="E12" s="105">
        <f t="shared" si="0"/>
        <v>-1.275284288255E-5</v>
      </c>
      <c r="F12" s="105">
        <f t="shared" si="0"/>
        <v>7.4952124712500033E-7</v>
      </c>
      <c r="G12" s="105">
        <f t="shared" si="0"/>
        <v>2.582301111500002E-5</v>
      </c>
      <c r="H12" s="105">
        <f>AVERAGE(K16:K97)</f>
        <v>1.8836940199999999E-4</v>
      </c>
      <c r="I12" s="128">
        <f>AVERAGE(I16:I97)</f>
        <v>3.3238633937500005E-4</v>
      </c>
      <c r="J12" s="128">
        <f>AVERAGE(H16:H97)</f>
        <v>-1.1681715961250002E-5</v>
      </c>
      <c r="K12" s="128">
        <f>AVERAGE(N16:N97)</f>
        <v>1.4615700462499996E-3</v>
      </c>
      <c r="P12" s="18" t="s">
        <v>151</v>
      </c>
      <c r="Q12" s="8">
        <f t="shared" ref="Q12:X12" si="1">AVERAGE(Q16:Q97)</f>
        <v>3.1910007319393751E-4</v>
      </c>
      <c r="R12" s="114">
        <f t="shared" si="1"/>
        <v>-5.6800551435375005E-6</v>
      </c>
      <c r="S12" s="8">
        <f t="shared" si="1"/>
        <v>1.3713422897594372E-3</v>
      </c>
      <c r="T12" s="8">
        <f t="shared" si="1"/>
        <v>8.890309659010151E-2</v>
      </c>
      <c r="U12" s="8">
        <f t="shared" si="1"/>
        <v>8.8962773202601486E-2</v>
      </c>
      <c r="V12" s="4">
        <f t="shared" si="1"/>
        <v>491.98400512480305</v>
      </c>
      <c r="W12" s="4">
        <f t="shared" si="1"/>
        <v>1.5423585261239691E-2</v>
      </c>
      <c r="X12" s="4">
        <f t="shared" si="1"/>
        <v>3.5900577449326796E-3</v>
      </c>
      <c r="Y12" t="s">
        <v>127</v>
      </c>
      <c r="Z12" s="105">
        <f>STDEV(Z16:Z97)/SQRT(COUNT(Z16:Z97))</f>
        <v>2.0733423351573161E-5</v>
      </c>
      <c r="AA12" s="105">
        <f>STDEV(AA16:AA97)/SQRT(COUNT(AA16:AA97))</f>
        <v>1.5954216838793655E-5</v>
      </c>
      <c r="AB12">
        <f>AVERAGE(AB16:AB97)</f>
        <v>-2.4323668145544194E-6</v>
      </c>
      <c r="AC12">
        <f>AVERAGE(AC16:AC97)</f>
        <v>1.045000025029489E-5</v>
      </c>
    </row>
    <row r="13" spans="1:29" ht="15">
      <c r="R13" s="107"/>
      <c r="S13" s="107"/>
      <c r="T13" s="107"/>
      <c r="U13" s="107"/>
    </row>
    <row r="14" spans="1:29" ht="15">
      <c r="B14" s="108" t="s">
        <v>12</v>
      </c>
      <c r="C14" s="108" t="s">
        <v>13</v>
      </c>
      <c r="D14" s="108" t="s">
        <v>12</v>
      </c>
      <c r="E14" s="109" t="s">
        <v>13</v>
      </c>
      <c r="F14" s="109" t="s">
        <v>13</v>
      </c>
      <c r="G14" s="109" t="s">
        <v>13</v>
      </c>
      <c r="H14" s="110" t="s">
        <v>14</v>
      </c>
      <c r="I14" s="110" t="s">
        <v>14</v>
      </c>
      <c r="J14" s="110" t="s">
        <v>14</v>
      </c>
      <c r="K14" s="110" t="s">
        <v>14</v>
      </c>
      <c r="L14" s="110" t="s">
        <v>14</v>
      </c>
      <c r="M14" s="111" t="s">
        <v>152</v>
      </c>
      <c r="N14" s="111" t="s">
        <v>152</v>
      </c>
      <c r="O14" s="111" t="s">
        <v>152</v>
      </c>
      <c r="P14" s="111"/>
      <c r="Q14" s="111" t="s">
        <v>14</v>
      </c>
      <c r="R14" s="111" t="s">
        <v>14</v>
      </c>
      <c r="S14" s="111" t="s">
        <v>152</v>
      </c>
      <c r="T14" s="111" t="s">
        <v>14</v>
      </c>
      <c r="U14" s="111" t="s">
        <v>152</v>
      </c>
      <c r="V14" s="13" t="s">
        <v>72</v>
      </c>
      <c r="W14" s="13" t="s">
        <v>73</v>
      </c>
      <c r="X14" s="13" t="s">
        <v>74</v>
      </c>
      <c r="Y14" s="13" t="s">
        <v>75</v>
      </c>
      <c r="Z14" s="13" t="s">
        <v>76</v>
      </c>
      <c r="AA14" s="13" t="s">
        <v>120</v>
      </c>
      <c r="AB14" s="13" t="s">
        <v>119</v>
      </c>
      <c r="AC14" s="13" t="s">
        <v>101</v>
      </c>
    </row>
    <row r="15" spans="1:29" ht="15">
      <c r="A15" t="s">
        <v>6</v>
      </c>
      <c r="B15" s="112" t="s">
        <v>153</v>
      </c>
      <c r="C15" s="112" t="s">
        <v>154</v>
      </c>
      <c r="D15" s="112" t="s">
        <v>155</v>
      </c>
      <c r="E15" s="112" t="s">
        <v>156</v>
      </c>
      <c r="F15" s="112" t="s">
        <v>157</v>
      </c>
      <c r="G15" s="112" t="s">
        <v>153</v>
      </c>
      <c r="H15" t="s">
        <v>158</v>
      </c>
      <c r="I15" t="s">
        <v>159</v>
      </c>
      <c r="J15" t="s">
        <v>8</v>
      </c>
      <c r="K15" s="112" t="s">
        <v>160</v>
      </c>
      <c r="L15" t="s">
        <v>9</v>
      </c>
      <c r="M15" t="s">
        <v>161</v>
      </c>
      <c r="N15" t="s">
        <v>162</v>
      </c>
      <c r="O15" t="s">
        <v>163</v>
      </c>
      <c r="Q15" s="107" t="s">
        <v>159</v>
      </c>
      <c r="R15" s="107" t="s">
        <v>158</v>
      </c>
      <c r="S15" s="107" t="s">
        <v>162</v>
      </c>
      <c r="T15" s="107" t="s">
        <v>8</v>
      </c>
      <c r="U15" s="107" t="s">
        <v>161</v>
      </c>
    </row>
    <row r="16" spans="1:29" ht="15">
      <c r="A16" s="131">
        <v>1</v>
      </c>
      <c r="B16" s="101">
        <v>6.2029030000000002E-6</v>
      </c>
      <c r="C16" s="101">
        <v>5.1988345000000001E-5</v>
      </c>
      <c r="D16" s="101">
        <v>7.6293691E-5</v>
      </c>
      <c r="E16" s="101">
        <v>-9.7189938E-6</v>
      </c>
      <c r="F16" s="101">
        <v>3.2831862999999999E-5</v>
      </c>
      <c r="G16" s="101">
        <v>2.4892623999999998E-5</v>
      </c>
      <c r="H16" s="101">
        <v>5.9941128999999997E-6</v>
      </c>
      <c r="I16" s="101">
        <v>2.686333E-4</v>
      </c>
      <c r="J16" s="101">
        <v>6.6255777000000002E-2</v>
      </c>
      <c r="K16" s="101">
        <v>1.5864625999999999E-4</v>
      </c>
      <c r="L16" s="101">
        <v>32.526311999999997</v>
      </c>
      <c r="M16" s="101">
        <v>6.6798056999999994E-2</v>
      </c>
      <c r="N16" s="101">
        <v>1.0996706000000001E-3</v>
      </c>
      <c r="O16" s="101">
        <v>32.796574999999997</v>
      </c>
      <c r="P16" s="106">
        <f t="shared" ref="P16:P25" si="2">(K16/O16)*1000000</f>
        <v>4.8372813319683541</v>
      </c>
      <c r="Q16" s="113">
        <f t="shared" ref="Q16:Q25" si="3">I16-((F16+G16)/2)</f>
        <v>2.397710565E-4</v>
      </c>
      <c r="R16" s="113">
        <f t="shared" ref="R16:R25" si="4">H16-((E16+F16)/2)</f>
        <v>-5.5623216999999996E-6</v>
      </c>
      <c r="S16" s="113">
        <f>N16-((D16+C16/2))</f>
        <v>9.9738273650000009E-4</v>
      </c>
      <c r="T16" s="113">
        <f>J16-((B16+C16)/2)</f>
        <v>6.6226681376000004E-2</v>
      </c>
      <c r="U16" s="113">
        <f>M16-((C16+B16)/2)</f>
        <v>6.6768961375999997E-2</v>
      </c>
      <c r="V16" s="4">
        <f>IF(AND(A16&gt;0,NOT(A16="***")),O16/T16,"")</f>
        <v>495.21694758942277</v>
      </c>
      <c r="W16" s="4">
        <f>IF(AND(A16&gt;0,NOT(A16="***")),S16/T16,"")</f>
        <v>1.5060134613078216E-2</v>
      </c>
      <c r="X16" s="4">
        <f>IF(AND(A16&gt;0,NOT(A16="***")),Q16/T16,"")</f>
        <v>3.6204600852442989E-3</v>
      </c>
      <c r="Y16">
        <f>IF(AND(A16&gt;0,NOT(A16="***")),1/3*($W$7/V16-1),"")</f>
        <v>-2.4695473906312842E-3</v>
      </c>
      <c r="Z16">
        <f t="shared" ref="Z16:Z25" si="5">IF(AND(A16&gt;0,NOT(A16="***")),W16*(1+Y16),"")</f>
        <v>1.5022942896941931E-2</v>
      </c>
      <c r="AA16">
        <f t="shared" ref="AA16:AA25" si="6">IF(AND(A16&gt;0,NOT(A16="***")),X16*(1-Y16),"")</f>
        <v>3.6294009830006987E-3</v>
      </c>
      <c r="AB16">
        <f>IF(AND(A16&gt;0,NOT(A16="***")),-X16/(3*V16),"")</f>
        <v>-2.4369521969900824E-6</v>
      </c>
      <c r="AC16">
        <f>IF(AND(A16&gt;0,NOT(A16="***")),W16/(3*V16),"")</f>
        <v>1.0137061939140497E-5</v>
      </c>
    </row>
    <row r="17" spans="1:29" ht="15">
      <c r="A17" s="131">
        <f>A16+1</f>
        <v>2</v>
      </c>
      <c r="B17" s="101">
        <v>1.6314358999999999E-5</v>
      </c>
      <c r="C17" s="101">
        <v>3.3230796000000003E-5</v>
      </c>
      <c r="D17" s="101">
        <v>4.7146842999999998E-5</v>
      </c>
      <c r="E17" s="101">
        <v>1.0766468E-5</v>
      </c>
      <c r="F17" s="101">
        <v>2.0051041E-5</v>
      </c>
      <c r="G17" s="101">
        <v>2.1896198999999999E-5</v>
      </c>
      <c r="H17" s="101">
        <v>1.8342627E-5</v>
      </c>
      <c r="I17" s="101">
        <v>2.6267875000000001E-4</v>
      </c>
      <c r="J17" s="101">
        <v>6.7072536000000002E-2</v>
      </c>
      <c r="K17" s="101">
        <v>1.5642198E-4</v>
      </c>
      <c r="L17" s="101">
        <v>32.939222000000001</v>
      </c>
      <c r="M17" s="101">
        <v>6.7193541999999995E-2</v>
      </c>
      <c r="N17" s="101">
        <v>1.1047601E-3</v>
      </c>
      <c r="O17" s="101">
        <v>32.994258000000002</v>
      </c>
      <c r="P17" s="106">
        <f t="shared" si="2"/>
        <v>4.7408849139750311</v>
      </c>
      <c r="Q17" s="113">
        <f t="shared" si="3"/>
        <v>2.4170513000000001E-4</v>
      </c>
      <c r="R17" s="113">
        <f t="shared" si="4"/>
        <v>2.9338725000000006E-6</v>
      </c>
      <c r="S17" s="113">
        <f>N17-((D17+C17/2))</f>
        <v>1.0409978589999999E-3</v>
      </c>
      <c r="T17" s="113">
        <f t="shared" ref="T17:T25" si="7">J17-((B17+C17)/2)</f>
        <v>6.7047763422500004E-2</v>
      </c>
      <c r="U17" s="113">
        <f t="shared" ref="U17:U25" si="8">M17-((C17+B17)/2)</f>
        <v>6.7168769422499996E-2</v>
      </c>
      <c r="V17" s="4">
        <f t="shared" ref="V17:V25" si="9">IF(AND(A17&gt;0,NOT(A17="***")),O17/T17,"")</f>
        <v>492.1007997252259</v>
      </c>
      <c r="W17" s="4">
        <f>IF(AND(A17&gt;0,NOT(A17="***")),S17/T17,"")</f>
        <v>1.5526213043680143E-2</v>
      </c>
      <c r="X17" s="4">
        <f t="shared" ref="X17:X25" si="10">IF(AND(A17&gt;0,NOT(A17="***")),Q17/T17,"")</f>
        <v>3.6049693183186509E-3</v>
      </c>
      <c r="Y17">
        <f>IF(AND(A17&gt;0,NOT(A17="***")),1/3*($W$7/V17-1),"")</f>
        <v>-3.744065567185354E-4</v>
      </c>
      <c r="Z17">
        <f t="shared" si="5"/>
        <v>1.552039992771558E-2</v>
      </c>
      <c r="AA17">
        <f t="shared" si="6"/>
        <v>3.6063190424681989E-3</v>
      </c>
      <c r="AB17">
        <f>IF(AND(A17&gt;0,NOT(A17="***")),-X17/(3*V17),"")</f>
        <v>-2.4418908486036166E-6</v>
      </c>
      <c r="AC17">
        <f>IF(AND(A17&gt;0,NOT(A17="***")),W17/(3*V17),"")</f>
        <v>1.051695983990103E-5</v>
      </c>
    </row>
    <row r="18" spans="1:29" ht="15">
      <c r="A18" s="131">
        <f t="shared" ref="A18:A81" si="11">A17+1</f>
        <v>3</v>
      </c>
      <c r="B18" s="101">
        <v>2.2518487999999998E-5</v>
      </c>
      <c r="C18" s="101">
        <v>4.7148382000000002E-5</v>
      </c>
      <c r="D18" s="101">
        <v>6.7727877000000003E-5</v>
      </c>
      <c r="E18" s="101">
        <v>2.3552077999999998E-6</v>
      </c>
      <c r="F18" s="101">
        <v>2.0585453999999999E-5</v>
      </c>
      <c r="G18" s="101">
        <v>1.9140958E-5</v>
      </c>
      <c r="H18" s="101">
        <v>1.5755094000000001E-5</v>
      </c>
      <c r="I18" s="101">
        <v>2.5898259000000002E-4</v>
      </c>
      <c r="J18" s="101">
        <v>6.7493887000000002E-2</v>
      </c>
      <c r="K18" s="101">
        <v>1.4487840000000001E-4</v>
      </c>
      <c r="L18" s="101">
        <v>33.153415000000003</v>
      </c>
      <c r="M18" s="101">
        <v>6.7603043000000002E-2</v>
      </c>
      <c r="N18" s="101">
        <v>1.1010600000000001E-3</v>
      </c>
      <c r="O18" s="101">
        <v>33.200302000000001</v>
      </c>
      <c r="P18" s="106">
        <f t="shared" si="2"/>
        <v>4.3637675344037534</v>
      </c>
      <c r="Q18" s="113">
        <f t="shared" si="3"/>
        <v>2.3911938400000002E-4</v>
      </c>
      <c r="R18" s="113">
        <f t="shared" si="4"/>
        <v>4.2847631000000021E-6</v>
      </c>
      <c r="S18" s="113">
        <f t="shared" ref="S18:S25" si="12">N18-((D18+C18/2))</f>
        <v>1.009757932E-3</v>
      </c>
      <c r="T18" s="113">
        <f t="shared" si="7"/>
        <v>6.7459053564999996E-2</v>
      </c>
      <c r="U18" s="113">
        <f t="shared" si="8"/>
        <v>6.7568209564999995E-2</v>
      </c>
      <c r="V18" s="4">
        <f t="shared" si="9"/>
        <v>492.15487388968387</v>
      </c>
      <c r="W18" s="4">
        <f t="shared" ref="W18:W25" si="13">IF(AND(A18&gt;0,NOT(A18="***")),S18/T18,"")</f>
        <v>1.4968456843632565E-2</v>
      </c>
      <c r="X18" s="4">
        <f t="shared" si="10"/>
        <v>3.5446596322256012E-3</v>
      </c>
      <c r="Y18">
        <f t="shared" ref="Y18:Y25" si="14">IF(AND(A18&gt;0,NOT(A18="***")),1/3*($W$7/V18-1),"")</f>
        <v>-4.1098950391556716E-4</v>
      </c>
      <c r="Z18">
        <f t="shared" si="5"/>
        <v>1.4962304964980019E-2</v>
      </c>
      <c r="AA18">
        <f t="shared" si="6"/>
        <v>3.5461164501293988E-3</v>
      </c>
      <c r="AB18">
        <f t="shared" ref="AB18:AB25" si="15">IF(AND(A18&gt;0,NOT(A18="***")),-X18/(3*V18),"")</f>
        <v>-2.400775189735724E-6</v>
      </c>
      <c r="AC18">
        <f t="shared" ref="AC18:AC25" si="16">IF(AND(A18&gt;0,NOT(A18="***")),W18/(3*V18),"")</f>
        <v>1.0138039627872459E-5</v>
      </c>
    </row>
    <row r="19" spans="1:29" ht="15">
      <c r="A19" s="131">
        <f t="shared" si="11"/>
        <v>4</v>
      </c>
      <c r="B19" s="101">
        <v>1.4718591E-5</v>
      </c>
      <c r="C19" s="101">
        <v>4.6079528999999997E-5</v>
      </c>
      <c r="D19" s="101">
        <v>4.371184E-5</v>
      </c>
      <c r="E19" s="101">
        <v>1.0326515E-5</v>
      </c>
      <c r="F19" s="101">
        <v>2.4983739999999998E-6</v>
      </c>
      <c r="G19" s="101">
        <v>3.2332566000000003E-5</v>
      </c>
      <c r="H19" s="101">
        <v>-8.5865032000000003E-7</v>
      </c>
      <c r="I19" s="101">
        <v>2.7628918999999998E-4</v>
      </c>
      <c r="J19" s="101">
        <v>6.7877611000000004E-2</v>
      </c>
      <c r="K19" s="101">
        <v>1.5256153999999999E-4</v>
      </c>
      <c r="L19" s="101">
        <v>33.335163999999999</v>
      </c>
      <c r="M19" s="101">
        <v>6.7950017000000001E-2</v>
      </c>
      <c r="N19" s="101">
        <v>1.1250304999999999E-3</v>
      </c>
      <c r="O19" s="101">
        <v>33.362425000000002</v>
      </c>
      <c r="P19" s="106">
        <f t="shared" si="2"/>
        <v>4.5728552405887752</v>
      </c>
      <c r="Q19" s="113">
        <f t="shared" si="3"/>
        <v>2.5887372000000001E-4</v>
      </c>
      <c r="R19" s="113">
        <f t="shared" si="4"/>
        <v>-7.27109482E-6</v>
      </c>
      <c r="S19" s="113">
        <f t="shared" si="12"/>
        <v>1.0582788954999998E-3</v>
      </c>
      <c r="T19" s="113">
        <f t="shared" si="7"/>
        <v>6.7847211939999999E-2</v>
      </c>
      <c r="U19" s="113">
        <f t="shared" si="8"/>
        <v>6.7919617939999996E-2</v>
      </c>
      <c r="V19" s="4">
        <f t="shared" si="9"/>
        <v>491.72875415284165</v>
      </c>
      <c r="W19" s="4">
        <f t="shared" si="13"/>
        <v>1.5597971755064574E-2</v>
      </c>
      <c r="X19" s="4">
        <f t="shared" si="10"/>
        <v>3.8155395424197E-3</v>
      </c>
      <c r="Y19">
        <f t="shared" si="14"/>
        <v>-1.2248739712724294E-4</v>
      </c>
      <c r="Z19">
        <f t="shared" si="5"/>
        <v>1.5596061200103831E-2</v>
      </c>
      <c r="AA19">
        <f t="shared" si="6"/>
        <v>3.8160068979268872E-3</v>
      </c>
      <c r="AB19">
        <f t="shared" si="15"/>
        <v>-2.5864798497111644E-6</v>
      </c>
      <c r="AC19">
        <f t="shared" si="16"/>
        <v>1.0573560879742204E-5</v>
      </c>
    </row>
    <row r="20" spans="1:29" ht="15">
      <c r="A20" s="131">
        <f t="shared" si="11"/>
        <v>5</v>
      </c>
      <c r="B20" s="101">
        <v>6.7621622000000003E-6</v>
      </c>
      <c r="C20" s="101">
        <v>3.6181399000000003E-5</v>
      </c>
      <c r="D20" s="101">
        <v>6.1764010000000001E-5</v>
      </c>
      <c r="E20" s="101">
        <v>5.3751998999999999E-6</v>
      </c>
      <c r="F20" s="101">
        <v>1.5512307999999999E-5</v>
      </c>
      <c r="G20" s="101">
        <v>2.088034E-5</v>
      </c>
      <c r="H20" s="101">
        <v>1.6806511999999999E-5</v>
      </c>
      <c r="I20" s="101">
        <v>2.7756895000000001E-4</v>
      </c>
      <c r="J20" s="101">
        <v>6.8418343000000006E-2</v>
      </c>
      <c r="K20" s="101">
        <v>1.6535684E-4</v>
      </c>
      <c r="L20" s="101">
        <v>33.611964999999998</v>
      </c>
      <c r="M20" s="101">
        <v>6.8486984000000001E-2</v>
      </c>
      <c r="N20" s="101">
        <v>1.1447606000000001E-3</v>
      </c>
      <c r="O20" s="101">
        <v>33.627279999999999</v>
      </c>
      <c r="P20" s="106">
        <f t="shared" si="2"/>
        <v>4.9173421103342294</v>
      </c>
      <c r="Q20" s="113">
        <f t="shared" si="3"/>
        <v>2.59372626E-4</v>
      </c>
      <c r="R20" s="113">
        <f t="shared" si="4"/>
        <v>6.3627580499999987E-6</v>
      </c>
      <c r="S20" s="113">
        <f t="shared" si="12"/>
        <v>1.0649058905E-3</v>
      </c>
      <c r="T20" s="113">
        <f t="shared" si="7"/>
        <v>6.839687121940001E-2</v>
      </c>
      <c r="U20" s="113">
        <f t="shared" si="8"/>
        <v>6.8465512219400004E-2</v>
      </c>
      <c r="V20" s="4">
        <f t="shared" si="9"/>
        <v>491.64938981100636</v>
      </c>
      <c r="W20" s="4">
        <f t="shared" si="13"/>
        <v>1.5569511755648134E-2</v>
      </c>
      <c r="X20" s="4">
        <f t="shared" si="10"/>
        <v>3.7921709191637972E-3</v>
      </c>
      <c r="Y20">
        <f t="shared" si="14"/>
        <v>-6.8698945380640808E-5</v>
      </c>
      <c r="Z20">
        <f t="shared" si="5"/>
        <v>1.5568442146610429E-2</v>
      </c>
      <c r="AA20">
        <f t="shared" si="6"/>
        <v>3.7924314373066468E-3</v>
      </c>
      <c r="AB20">
        <f t="shared" si="15"/>
        <v>-2.5710536802262928E-6</v>
      </c>
      <c r="AC20">
        <f t="shared" si="16"/>
        <v>1.0555972120452998E-5</v>
      </c>
    </row>
    <row r="21" spans="1:29" ht="15">
      <c r="A21" s="131">
        <f t="shared" si="11"/>
        <v>6</v>
      </c>
      <c r="B21" s="101">
        <v>1.0421046999999999E-5</v>
      </c>
      <c r="C21" s="101">
        <v>2.2682540000000001E-5</v>
      </c>
      <c r="D21" s="101">
        <v>8.0193067999999995E-5</v>
      </c>
      <c r="E21" s="101">
        <v>-2.7027326999999998E-5</v>
      </c>
      <c r="F21" s="101">
        <v>1.1549434E-5</v>
      </c>
      <c r="G21" s="101">
        <v>2.6494120999999998E-5</v>
      </c>
      <c r="H21" s="101">
        <v>-1.3631086000000001E-5</v>
      </c>
      <c r="I21" s="101">
        <v>2.5855887999999999E-4</v>
      </c>
      <c r="J21" s="101">
        <v>6.8988663000000006E-2</v>
      </c>
      <c r="K21" s="101">
        <v>1.1578695E-4</v>
      </c>
      <c r="L21" s="101">
        <v>33.883966000000001</v>
      </c>
      <c r="M21" s="101">
        <v>6.9118203000000003E-2</v>
      </c>
      <c r="N21" s="101">
        <v>1.1549271000000001E-3</v>
      </c>
      <c r="O21" s="101">
        <v>33.951661999999999</v>
      </c>
      <c r="P21" s="106">
        <f t="shared" si="2"/>
        <v>3.410347039859198</v>
      </c>
      <c r="Q21" s="113">
        <f t="shared" si="3"/>
        <v>2.395371025E-4</v>
      </c>
      <c r="R21" s="113">
        <f t="shared" si="4"/>
        <v>-5.8921395000000021E-6</v>
      </c>
      <c r="S21" s="113">
        <f t="shared" si="12"/>
        <v>1.063392762E-3</v>
      </c>
      <c r="T21" s="113">
        <f t="shared" si="7"/>
        <v>6.89721112065E-2</v>
      </c>
      <c r="U21" s="113">
        <f t="shared" si="8"/>
        <v>6.9101651206499998E-2</v>
      </c>
      <c r="V21" s="4">
        <f t="shared" si="9"/>
        <v>492.25203355527213</v>
      </c>
      <c r="W21" s="4">
        <f t="shared" si="13"/>
        <v>1.5417720922246974E-2</v>
      </c>
      <c r="X21" s="4">
        <f t="shared" si="10"/>
        <v>3.4729559282712778E-3</v>
      </c>
      <c r="Y21">
        <f t="shared" si="14"/>
        <v>-4.7670101222504108E-4</v>
      </c>
      <c r="Z21">
        <f t="shared" si="5"/>
        <v>1.5410371279077135E-2</v>
      </c>
      <c r="AA21">
        <f t="shared" si="6"/>
        <v>3.4746114898776977E-3</v>
      </c>
      <c r="AB21">
        <f t="shared" si="15"/>
        <v>-2.3517464574586465E-6</v>
      </c>
      <c r="AC21">
        <f t="shared" si="16"/>
        <v>1.0440262217502049E-5</v>
      </c>
    </row>
    <row r="22" spans="1:29" ht="15">
      <c r="A22" s="131">
        <f t="shared" si="11"/>
        <v>7</v>
      </c>
      <c r="B22" s="101">
        <v>-1.7713002E-5</v>
      </c>
      <c r="C22" s="101">
        <v>2.3942758999999998E-5</v>
      </c>
      <c r="D22" s="101">
        <v>7.8815556999999994E-5</v>
      </c>
      <c r="E22" s="101">
        <v>-3.4223700000000002E-5</v>
      </c>
      <c r="F22" s="101">
        <v>6.2998411999999998E-6</v>
      </c>
      <c r="G22" s="101">
        <v>2.5116683999999999E-5</v>
      </c>
      <c r="H22" s="101">
        <v>-3.2670109000000002E-5</v>
      </c>
      <c r="I22" s="101">
        <v>2.7235585999999998E-4</v>
      </c>
      <c r="J22" s="101">
        <v>6.9579975000000002E-2</v>
      </c>
      <c r="K22" s="101">
        <v>1.4532147000000001E-4</v>
      </c>
      <c r="L22" s="101">
        <v>34.172164000000002</v>
      </c>
      <c r="M22" s="101">
        <v>6.9691458999999997E-2</v>
      </c>
      <c r="N22" s="101">
        <v>1.1477422000000001E-3</v>
      </c>
      <c r="O22" s="101">
        <v>34.248773999999997</v>
      </c>
      <c r="P22" s="106">
        <f t="shared" si="2"/>
        <v>4.2431145126537961</v>
      </c>
      <c r="Q22" s="113">
        <f t="shared" si="3"/>
        <v>2.566475974E-4</v>
      </c>
      <c r="R22" s="113">
        <f t="shared" si="4"/>
        <v>-1.87081796E-5</v>
      </c>
      <c r="S22" s="113">
        <f t="shared" si="12"/>
        <v>1.0569552635000001E-3</v>
      </c>
      <c r="T22" s="113">
        <f t="shared" si="7"/>
        <v>6.9576860121500009E-2</v>
      </c>
      <c r="U22" s="113">
        <f t="shared" si="8"/>
        <v>6.9688344121500004E-2</v>
      </c>
      <c r="V22" s="4">
        <f t="shared" si="9"/>
        <v>492.24374224695362</v>
      </c>
      <c r="W22" s="4">
        <f t="shared" si="13"/>
        <v>1.5191189450835672E-2</v>
      </c>
      <c r="X22" s="4">
        <f t="shared" si="10"/>
        <v>3.6886918574914693E-3</v>
      </c>
      <c r="Y22">
        <f t="shared" si="14"/>
        <v>-4.7109440572590255E-4</v>
      </c>
      <c r="Z22">
        <f t="shared" si="5"/>
        <v>1.5184032966469061E-2</v>
      </c>
      <c r="AA22">
        <f t="shared" si="6"/>
        <v>3.6904295795899805E-3</v>
      </c>
      <c r="AB22">
        <f t="shared" si="15"/>
        <v>-2.4978762490398444E-6</v>
      </c>
      <c r="AC22">
        <f t="shared" si="16"/>
        <v>1.0287037462031976E-5</v>
      </c>
    </row>
    <row r="23" spans="1:29" ht="15">
      <c r="A23" s="131">
        <f t="shared" si="11"/>
        <v>8</v>
      </c>
      <c r="B23" s="101">
        <v>-3.8781865E-5</v>
      </c>
      <c r="C23" s="101">
        <v>3.2451140999999997E-5</v>
      </c>
      <c r="D23" s="101">
        <v>6.6990119000000006E-5</v>
      </c>
      <c r="E23" s="101">
        <v>-5.7810308E-5</v>
      </c>
      <c r="F23" s="101">
        <v>1.1817879999999999E-5</v>
      </c>
      <c r="G23" s="101">
        <v>4.2240699000000001E-5</v>
      </c>
      <c r="H23" s="101">
        <v>-5.8850956999999999E-5</v>
      </c>
      <c r="I23" s="101">
        <v>2.7480205000000001E-4</v>
      </c>
      <c r="J23" s="101">
        <v>7.0214584999999996E-2</v>
      </c>
      <c r="K23" s="101">
        <v>1.4714137000000001E-4</v>
      </c>
      <c r="L23" s="101">
        <v>34.486474000000001</v>
      </c>
      <c r="M23" s="101">
        <v>7.0260402999999999E-2</v>
      </c>
      <c r="N23" s="101">
        <v>1.1774470000000001E-3</v>
      </c>
      <c r="O23" s="101">
        <v>34.515974999999997</v>
      </c>
      <c r="P23" s="106">
        <f t="shared" si="2"/>
        <v>4.2629932951336311</v>
      </c>
      <c r="Q23" s="113">
        <f t="shared" si="3"/>
        <v>2.477727605E-4</v>
      </c>
      <c r="R23" s="113">
        <f t="shared" si="4"/>
        <v>-3.5854742999999998E-5</v>
      </c>
      <c r="S23" s="113">
        <f t="shared" si="12"/>
        <v>1.0942313105E-3</v>
      </c>
      <c r="T23" s="113">
        <f t="shared" si="7"/>
        <v>7.0217750361999995E-2</v>
      </c>
      <c r="U23" s="113">
        <f t="shared" si="8"/>
        <v>7.0263568361999998E-2</v>
      </c>
      <c r="V23" s="4">
        <f t="shared" si="9"/>
        <v>491.55626350967714</v>
      </c>
      <c r="W23" s="4">
        <f t="shared" si="13"/>
        <v>1.5583400277833016E-2</v>
      </c>
      <c r="X23" s="4">
        <f t="shared" si="10"/>
        <v>3.5286342729955659E-3</v>
      </c>
      <c r="Y23">
        <f t="shared" si="14"/>
        <v>-5.5613046499406824E-6</v>
      </c>
      <c r="Z23">
        <f t="shared" si="5"/>
        <v>1.558331361379659E-2</v>
      </c>
      <c r="AA23">
        <f t="shared" si="6"/>
        <v>3.528653896805756E-3</v>
      </c>
      <c r="AB23">
        <f t="shared" si="15"/>
        <v>-2.3928317298487634E-6</v>
      </c>
      <c r="AC23">
        <f t="shared" si="16"/>
        <v>1.0567390032200068E-5</v>
      </c>
    </row>
    <row r="24" spans="1:29" ht="15">
      <c r="A24" s="131">
        <f t="shared" si="11"/>
        <v>9</v>
      </c>
      <c r="B24" s="101">
        <v>-5.7458538999999999E-5</v>
      </c>
      <c r="C24" s="101">
        <v>1.8014525E-5</v>
      </c>
      <c r="D24" s="101">
        <v>8.2050730999999995E-5</v>
      </c>
      <c r="E24" s="101">
        <v>-6.1020193000000003E-5</v>
      </c>
      <c r="F24" s="101">
        <v>6.8740140999999996E-6</v>
      </c>
      <c r="G24" s="101">
        <v>3.2801754999999998E-5</v>
      </c>
      <c r="H24" s="101">
        <v>-6.3885630000000006E-5</v>
      </c>
      <c r="I24" s="101">
        <v>2.7970936000000003E-4</v>
      </c>
      <c r="J24" s="101">
        <v>7.0694928000000004E-2</v>
      </c>
      <c r="K24" s="101">
        <v>1.4001528E-4</v>
      </c>
      <c r="L24" s="101">
        <v>34.727131999999997</v>
      </c>
      <c r="M24" s="101">
        <v>7.0923301999999994E-2</v>
      </c>
      <c r="N24" s="101">
        <v>1.1949568999999999E-3</v>
      </c>
      <c r="O24" s="101">
        <v>34.852021000000001</v>
      </c>
      <c r="P24" s="106">
        <f t="shared" si="2"/>
        <v>4.0174221173572686</v>
      </c>
      <c r="Q24" s="113">
        <f t="shared" si="3"/>
        <v>2.5987147545000001E-4</v>
      </c>
      <c r="R24" s="113">
        <f t="shared" si="4"/>
        <v>-3.6812540550000004E-5</v>
      </c>
      <c r="S24" s="113">
        <f t="shared" si="12"/>
        <v>1.1038989064999999E-3</v>
      </c>
      <c r="T24" s="113">
        <f t="shared" si="7"/>
        <v>7.0714650007000002E-2</v>
      </c>
      <c r="U24" s="113">
        <f t="shared" si="8"/>
        <v>7.0943024006999991E-2</v>
      </c>
      <c r="V24" s="4">
        <f t="shared" si="9"/>
        <v>492.85432363095936</v>
      </c>
      <c r="W24" s="4">
        <f t="shared" si="13"/>
        <v>1.5610611187225357E-2</v>
      </c>
      <c r="X24" s="4">
        <f t="shared" si="10"/>
        <v>3.6749312260511151E-3</v>
      </c>
      <c r="Y24">
        <f t="shared" si="14"/>
        <v>-8.8346673723020219E-4</v>
      </c>
      <c r="Z24">
        <f t="shared" si="5"/>
        <v>1.559681973149361E-2</v>
      </c>
      <c r="AA24">
        <f t="shared" si="6"/>
        <v>3.6781779055509397E-3</v>
      </c>
      <c r="AB24">
        <f t="shared" si="15"/>
        <v>-2.4854749499318847E-6</v>
      </c>
      <c r="AC24">
        <f t="shared" si="16"/>
        <v>1.0557961679371953E-5</v>
      </c>
    </row>
    <row r="25" spans="1:29" ht="15">
      <c r="A25" s="131">
        <f t="shared" si="11"/>
        <v>10</v>
      </c>
      <c r="B25" s="101">
        <v>-5.3533465000000003E-5</v>
      </c>
      <c r="C25" s="101">
        <v>2.2861506000000001E-5</v>
      </c>
      <c r="D25" s="101">
        <v>8.7605637000000002E-5</v>
      </c>
      <c r="E25" s="101">
        <v>-5.4603369000000002E-5</v>
      </c>
      <c r="F25" s="101">
        <v>8.8948071000000007E-6</v>
      </c>
      <c r="G25" s="101">
        <v>3.6949159000000003E-5</v>
      </c>
      <c r="H25" s="101">
        <v>-4.3479244000000002E-5</v>
      </c>
      <c r="I25" s="101">
        <v>2.8140230999999999E-4</v>
      </c>
      <c r="J25" s="101">
        <v>7.1386314000000006E-2</v>
      </c>
      <c r="K25" s="101">
        <v>1.5453794000000001E-4</v>
      </c>
      <c r="L25" s="101">
        <v>35.060222000000003</v>
      </c>
      <c r="M25" s="101">
        <v>7.1533134999999998E-2</v>
      </c>
      <c r="N25" s="101">
        <v>1.183276E-3</v>
      </c>
      <c r="O25" s="101">
        <v>35.143445</v>
      </c>
      <c r="P25" s="106">
        <f t="shared" si="2"/>
        <v>4.3973474996546305</v>
      </c>
      <c r="Q25" s="113">
        <f t="shared" si="3"/>
        <v>2.5848032695000001E-4</v>
      </c>
      <c r="R25" s="113">
        <f t="shared" si="4"/>
        <v>-2.0624963050000001E-5</v>
      </c>
      <c r="S25" s="113">
        <f t="shared" si="12"/>
        <v>1.08423961E-3</v>
      </c>
      <c r="T25" s="113">
        <f t="shared" si="7"/>
        <v>7.1401649979500006E-2</v>
      </c>
      <c r="U25" s="113">
        <f t="shared" si="8"/>
        <v>7.1548470979499998E-2</v>
      </c>
      <c r="V25" s="4">
        <f t="shared" si="9"/>
        <v>492.1937379610971</v>
      </c>
      <c r="W25" s="4">
        <f t="shared" si="13"/>
        <v>1.5185077800181005E-2</v>
      </c>
      <c r="X25" s="4">
        <f t="shared" si="10"/>
        <v>3.6200889898792507E-3</v>
      </c>
      <c r="Y25">
        <f t="shared" si="14"/>
        <v>-4.3727735918012523E-4</v>
      </c>
      <c r="Z25">
        <f t="shared" si="5"/>
        <v>1.5178437709461597E-2</v>
      </c>
      <c r="AA25">
        <f t="shared" si="6"/>
        <v>3.6216719728327418E-3</v>
      </c>
      <c r="AB25">
        <f t="shared" si="15"/>
        <v>-2.4516694075761025E-6</v>
      </c>
      <c r="AC25">
        <f t="shared" si="16"/>
        <v>1.0283943515877096E-5</v>
      </c>
    </row>
    <row r="26" spans="1:29" ht="15">
      <c r="A26" s="131">
        <f t="shared" si="11"/>
        <v>11</v>
      </c>
      <c r="B26" s="101">
        <v>-4.0867663999999997E-6</v>
      </c>
      <c r="C26" s="101">
        <v>3.7851529000000001E-5</v>
      </c>
      <c r="D26" s="101">
        <v>6.1502535999999994E-5</v>
      </c>
      <c r="E26" s="101">
        <v>2.6609911999999999E-6</v>
      </c>
      <c r="F26" s="101">
        <v>8.4387529999999993E-6</v>
      </c>
      <c r="G26" s="101">
        <v>2.5402971000000001E-5</v>
      </c>
      <c r="H26" s="101">
        <v>-1.5825494999999999E-5</v>
      </c>
      <c r="I26" s="101">
        <v>2.9689283999999999E-4</v>
      </c>
      <c r="J26" s="101">
        <v>7.3859770000000005E-2</v>
      </c>
      <c r="K26" s="101">
        <v>1.6259013E-4</v>
      </c>
      <c r="L26" s="101">
        <v>36.287143999999998</v>
      </c>
      <c r="M26" s="101">
        <v>7.4002540000000006E-2</v>
      </c>
      <c r="N26" s="101">
        <v>1.2222743999999999E-3</v>
      </c>
      <c r="O26" s="101">
        <v>36.347676999999997</v>
      </c>
      <c r="P26" s="106">
        <f t="shared" ref="P26:P31" si="17">(K26/O26)*1000000</f>
        <v>4.4731917805916455</v>
      </c>
      <c r="Q26" s="113">
        <f t="shared" ref="Q26:Q31" si="18">I26-((F26+G26)/2)</f>
        <v>2.79971978E-4</v>
      </c>
      <c r="R26" s="113">
        <f t="shared" ref="R26:R31" si="19">H26-((E26+F26)/2)</f>
        <v>-2.13753671E-5</v>
      </c>
      <c r="S26" s="113">
        <f t="shared" ref="S26:S31" si="20">N26-((D26+C26/2))</f>
        <v>1.1418460995E-3</v>
      </c>
      <c r="T26" s="113">
        <f t="shared" ref="T26:T31" si="21">J26-((B26+C26)/2)</f>
        <v>7.3842887618700004E-2</v>
      </c>
      <c r="U26" s="113">
        <f t="shared" ref="U26:U31" si="22">M26-((C26+B26)/2)</f>
        <v>7.3985657618700004E-2</v>
      </c>
      <c r="V26" s="4">
        <f t="shared" ref="V26:V31" si="23">IF(AND(A26&gt;0,NOT(A26="***")),O26/T26,"")</f>
        <v>492.22989745047965</v>
      </c>
      <c r="W26" s="4">
        <f t="shared" ref="W26:W31" si="24">IF(AND(A26&gt;0,NOT(A26="***")),S26/T26,"")</f>
        <v>1.546318320318284E-2</v>
      </c>
      <c r="X26" s="4">
        <f t="shared" ref="X26:X31" si="25">IF(AND(A26&gt;0,NOT(A26="***")),Q26/T26,"")</f>
        <v>3.7914548987531709E-3</v>
      </c>
      <c r="Y26">
        <f t="shared" ref="Y26:Y31" si="26">IF(AND(A26&gt;0,NOT(A26="***")),1/3*($W$7/V26-1),"")</f>
        <v>-4.6173209357118028E-4</v>
      </c>
      <c r="Z26">
        <f t="shared" ref="Z26:Z31" si="27">IF(AND(A26&gt;0,NOT(A26="***")),W26*(1+Y26),"")</f>
        <v>1.5456043355229161E-2</v>
      </c>
      <c r="AA26">
        <f t="shared" ref="AA26:AA31" si="28">IF(AND(A26&gt;0,NOT(A26="***")),X26*(1-Y26),"")</f>
        <v>3.793205535161253E-3</v>
      </c>
      <c r="AB26">
        <f t="shared" ref="AB26:AB31" si="29">IF(AND(A26&gt;0,NOT(A26="***")),-X26/(3*V26),"")</f>
        <v>-2.5675366452350362E-6</v>
      </c>
      <c r="AC26">
        <f t="shared" ref="AC26:AC31" si="30">IF(AND(A26&gt;0,NOT(A26="***")),W26/(3*V26),"")</f>
        <v>1.0471518344900007E-5</v>
      </c>
    </row>
    <row r="27" spans="1:29" ht="15">
      <c r="A27" s="131">
        <f t="shared" si="11"/>
        <v>12</v>
      </c>
      <c r="B27" s="101">
        <v>1.5376183E-6</v>
      </c>
      <c r="C27" s="101">
        <v>3.9104660999999998E-5</v>
      </c>
      <c r="D27" s="101">
        <v>7.9832456999999994E-5</v>
      </c>
      <c r="E27" s="101">
        <v>-1.4551356000000001E-5</v>
      </c>
      <c r="F27" s="101">
        <v>6.2988419999999996E-6</v>
      </c>
      <c r="G27" s="101">
        <v>2.7408883000000001E-5</v>
      </c>
      <c r="H27" s="101">
        <v>-2.1298999000000001E-5</v>
      </c>
      <c r="I27" s="101">
        <v>2.8782652999999997E-4</v>
      </c>
      <c r="J27" s="101">
        <v>7.4470176999999999E-2</v>
      </c>
      <c r="K27" s="101">
        <v>1.5417431000000001E-4</v>
      </c>
      <c r="L27" s="101">
        <v>36.586522000000002</v>
      </c>
      <c r="M27" s="101">
        <v>7.4604783999999993E-2</v>
      </c>
      <c r="N27" s="101">
        <v>1.2278331E-3</v>
      </c>
      <c r="O27" s="101">
        <v>36.650094000000003</v>
      </c>
      <c r="P27" s="106">
        <f t="shared" si="17"/>
        <v>4.206655240775099</v>
      </c>
      <c r="Q27" s="113">
        <f t="shared" si="18"/>
        <v>2.7097266749999996E-4</v>
      </c>
      <c r="R27" s="113">
        <f t="shared" si="19"/>
        <v>-1.7172742000000001E-5</v>
      </c>
      <c r="S27" s="113">
        <f t="shared" si="20"/>
        <v>1.1284483125E-3</v>
      </c>
      <c r="T27" s="113">
        <f t="shared" si="21"/>
        <v>7.4449855860349995E-2</v>
      </c>
      <c r="U27" s="113">
        <f t="shared" si="22"/>
        <v>7.458446286034999E-2</v>
      </c>
      <c r="V27" s="4">
        <f t="shared" si="23"/>
        <v>492.27891144271325</v>
      </c>
      <c r="W27" s="4">
        <f t="shared" si="24"/>
        <v>1.5157159130256712E-2</v>
      </c>
      <c r="X27" s="4">
        <f t="shared" si="25"/>
        <v>3.6396667846916916E-3</v>
      </c>
      <c r="Y27">
        <f t="shared" si="26"/>
        <v>-4.9487461846653424E-4</v>
      </c>
      <c r="Z27">
        <f t="shared" si="27"/>
        <v>1.514965823691509E-2</v>
      </c>
      <c r="AA27">
        <f t="shared" si="28"/>
        <v>3.641467963403111E-3</v>
      </c>
      <c r="AB27">
        <f t="shared" si="29"/>
        <v>-2.4645017963664701E-6</v>
      </c>
      <c r="AC27">
        <f t="shared" si="30"/>
        <v>1.0263259829565512E-5</v>
      </c>
    </row>
    <row r="28" spans="1:29" ht="15">
      <c r="A28" s="131">
        <f t="shared" si="11"/>
        <v>13</v>
      </c>
      <c r="B28" s="101">
        <v>-1.7597225E-5</v>
      </c>
      <c r="C28" s="101">
        <v>1.7625761E-5</v>
      </c>
      <c r="D28" s="101">
        <v>6.8780771999999994E-5</v>
      </c>
      <c r="E28" s="101">
        <v>-6.6426091000000001E-6</v>
      </c>
      <c r="F28" s="101">
        <v>6.3134990000000004E-6</v>
      </c>
      <c r="G28" s="101">
        <v>2.9444626E-5</v>
      </c>
      <c r="H28" s="101">
        <v>-2.1170832000000002E-5</v>
      </c>
      <c r="I28" s="101">
        <v>2.8959287000000002E-4</v>
      </c>
      <c r="J28" s="101">
        <v>7.5270497000000006E-2</v>
      </c>
      <c r="K28" s="101">
        <v>1.6195029000000001E-4</v>
      </c>
      <c r="L28" s="101">
        <v>36.981748000000003</v>
      </c>
      <c r="M28" s="101">
        <v>7.5375440000000002E-2</v>
      </c>
      <c r="N28" s="101">
        <v>1.2200733E-3</v>
      </c>
      <c r="O28" s="101">
        <v>37.039042999999999</v>
      </c>
      <c r="P28" s="106">
        <f t="shared" si="17"/>
        <v>4.3724210153053908</v>
      </c>
      <c r="Q28" s="113">
        <f t="shared" si="18"/>
        <v>2.717138075E-4</v>
      </c>
      <c r="R28" s="113">
        <f t="shared" si="19"/>
        <v>-2.100627695E-5</v>
      </c>
      <c r="S28" s="113">
        <f t="shared" si="20"/>
        <v>1.1424796475000001E-3</v>
      </c>
      <c r="T28" s="113">
        <f t="shared" si="21"/>
        <v>7.5270482732000002E-2</v>
      </c>
      <c r="U28" s="113">
        <f t="shared" si="22"/>
        <v>7.5375425731999998E-2</v>
      </c>
      <c r="V28" s="4">
        <f t="shared" si="23"/>
        <v>492.07925411980204</v>
      </c>
      <c r="W28" s="4">
        <f t="shared" si="24"/>
        <v>1.5178322312184318E-2</v>
      </c>
      <c r="X28" s="4">
        <f t="shared" si="25"/>
        <v>3.6098321365552418E-3</v>
      </c>
      <c r="Y28">
        <f t="shared" si="26"/>
        <v>-3.5982800743280158E-4</v>
      </c>
      <c r="Z28">
        <f t="shared" si="27"/>
        <v>1.5172860726710551E-2</v>
      </c>
      <c r="AA28">
        <f t="shared" si="28"/>
        <v>3.6111310552601056E-3</v>
      </c>
      <c r="AB28">
        <f t="shared" si="29"/>
        <v>-2.4452918280493008E-6</v>
      </c>
      <c r="AC28">
        <f t="shared" si="30"/>
        <v>1.0281759957098963E-5</v>
      </c>
    </row>
    <row r="29" spans="1:29" ht="15">
      <c r="A29" s="131">
        <f t="shared" si="11"/>
        <v>14</v>
      </c>
      <c r="B29" s="101">
        <v>-9.2813781000000004E-6</v>
      </c>
      <c r="C29" s="101">
        <v>3.6730307000000002E-5</v>
      </c>
      <c r="D29" s="101">
        <v>8.7983339000000002E-5</v>
      </c>
      <c r="E29" s="101">
        <v>-2.1027586E-5</v>
      </c>
      <c r="F29" s="101">
        <v>3.0596706000000002E-6</v>
      </c>
      <c r="G29" s="101">
        <v>1.9989267000000002E-5</v>
      </c>
      <c r="H29" s="101">
        <v>-1.2387577E-5</v>
      </c>
      <c r="I29" s="101">
        <v>2.8164800000000001E-4</v>
      </c>
      <c r="J29" s="101">
        <v>7.6074207000000005E-2</v>
      </c>
      <c r="K29" s="101">
        <v>1.7632056E-4</v>
      </c>
      <c r="L29" s="101">
        <v>37.376168999999997</v>
      </c>
      <c r="M29" s="101">
        <v>7.6255076000000005E-2</v>
      </c>
      <c r="N29" s="101">
        <v>1.2467704E-3</v>
      </c>
      <c r="O29" s="101">
        <v>37.468749000000003</v>
      </c>
      <c r="P29" s="106">
        <f t="shared" si="17"/>
        <v>4.7058032281782349</v>
      </c>
      <c r="Q29" s="113">
        <f t="shared" si="18"/>
        <v>2.7012353119999999E-4</v>
      </c>
      <c r="R29" s="113">
        <f t="shared" si="19"/>
        <v>-3.4036193000000009E-6</v>
      </c>
      <c r="S29" s="113">
        <f t="shared" si="20"/>
        <v>1.1404219075E-3</v>
      </c>
      <c r="T29" s="113">
        <f t="shared" si="21"/>
        <v>7.6060482535550006E-2</v>
      </c>
      <c r="U29" s="113">
        <f t="shared" si="22"/>
        <v>7.6241351535550006E-2</v>
      </c>
      <c r="V29" s="4">
        <f t="shared" si="23"/>
        <v>492.6178187534826</v>
      </c>
      <c r="W29" s="4">
        <f t="shared" si="24"/>
        <v>1.4993619149957099E-2</v>
      </c>
      <c r="X29" s="4">
        <f t="shared" si="25"/>
        <v>3.5514306798375439E-3</v>
      </c>
      <c r="Y29">
        <f t="shared" si="26"/>
        <v>-7.2385818883169417E-4</v>
      </c>
      <c r="Z29">
        <f t="shared" si="27"/>
        <v>1.4982765895955178E-2</v>
      </c>
      <c r="AA29">
        <f t="shared" si="28"/>
        <v>3.5540014120172127E-3</v>
      </c>
      <c r="AB29">
        <f t="shared" si="29"/>
        <v>-2.4031007031130573E-6</v>
      </c>
      <c r="AC29">
        <f t="shared" si="30"/>
        <v>1.0145538508193411E-5</v>
      </c>
    </row>
    <row r="30" spans="1:29" ht="15">
      <c r="A30" s="131">
        <f t="shared" si="11"/>
        <v>15</v>
      </c>
      <c r="B30" s="101">
        <v>-1.2123701999999999E-5</v>
      </c>
      <c r="C30" s="101">
        <v>3.6195344999999999E-5</v>
      </c>
      <c r="D30" s="101">
        <v>6.3694950000000002E-5</v>
      </c>
      <c r="E30" s="101">
        <v>-1.3925595000000001E-5</v>
      </c>
      <c r="F30" s="101">
        <v>-3.0522212E-6</v>
      </c>
      <c r="G30" s="101">
        <v>1.9027331000000001E-5</v>
      </c>
      <c r="H30" s="101">
        <v>-4.1696993999999996E-6</v>
      </c>
      <c r="I30" s="101">
        <v>3.0177417000000001E-4</v>
      </c>
      <c r="J30" s="101">
        <v>7.6954225000000001E-2</v>
      </c>
      <c r="K30" s="101">
        <v>1.5718532999999999E-4</v>
      </c>
      <c r="L30" s="101">
        <v>37.808933000000003</v>
      </c>
      <c r="M30" s="101">
        <v>7.7098443000000003E-2</v>
      </c>
      <c r="N30" s="101">
        <v>1.2794899000000001E-3</v>
      </c>
      <c r="O30" s="101">
        <v>37.892561999999998</v>
      </c>
      <c r="P30" s="106">
        <f t="shared" si="17"/>
        <v>4.148184279542777</v>
      </c>
      <c r="Q30" s="113">
        <f t="shared" si="18"/>
        <v>2.937866151E-4</v>
      </c>
      <c r="R30" s="113">
        <f t="shared" si="19"/>
        <v>4.3192086999999999E-6</v>
      </c>
      <c r="S30" s="113">
        <f t="shared" si="20"/>
        <v>1.1976972775000001E-3</v>
      </c>
      <c r="T30" s="113">
        <f t="shared" si="21"/>
        <v>7.6942189178500001E-2</v>
      </c>
      <c r="U30" s="113">
        <f t="shared" si="22"/>
        <v>7.7086407178500002E-2</v>
      </c>
      <c r="V30" s="4">
        <f t="shared" si="23"/>
        <v>492.48094451916552</v>
      </c>
      <c r="W30" s="4">
        <f t="shared" si="24"/>
        <v>1.5566197040760486E-2</v>
      </c>
      <c r="X30" s="4">
        <f t="shared" si="25"/>
        <v>3.8182773097141477E-3</v>
      </c>
      <c r="Y30">
        <f t="shared" si="26"/>
        <v>-6.3141670912843684E-4</v>
      </c>
      <c r="Z30">
        <f t="shared" si="27"/>
        <v>1.5556368283851364E-2</v>
      </c>
      <c r="AA30">
        <f t="shared" si="28"/>
        <v>3.820688233807587E-3</v>
      </c>
      <c r="AB30">
        <f t="shared" si="29"/>
        <v>-2.5843824363208802E-6</v>
      </c>
      <c r="AC30">
        <f t="shared" si="30"/>
        <v>1.0535904799293682E-5</v>
      </c>
    </row>
    <row r="31" spans="1:29" ht="15">
      <c r="A31" s="131">
        <f t="shared" si="11"/>
        <v>16</v>
      </c>
      <c r="B31" s="101">
        <v>2.6536574000000002E-5</v>
      </c>
      <c r="C31" s="101">
        <v>1.0207977999999999E-5</v>
      </c>
      <c r="D31" s="101">
        <v>6.6820536999999996E-5</v>
      </c>
      <c r="E31" s="101">
        <v>7.7680666999999993E-6</v>
      </c>
      <c r="F31" s="101">
        <v>-1.0600760000000001E-5</v>
      </c>
      <c r="G31" s="101">
        <v>2.4023213999999999E-5</v>
      </c>
      <c r="H31" s="101">
        <v>-1.0305784E-5</v>
      </c>
      <c r="I31" s="101">
        <v>2.5492085999999998E-4</v>
      </c>
      <c r="J31" s="101">
        <v>7.7580921999999997E-2</v>
      </c>
      <c r="K31" s="101">
        <v>1.3103670000000001E-4</v>
      </c>
      <c r="L31" s="101">
        <v>38.126013999999998</v>
      </c>
      <c r="M31" s="101">
        <v>7.7870401000000006E-2</v>
      </c>
      <c r="N31" s="101">
        <v>1.2887479999999999E-3</v>
      </c>
      <c r="O31" s="101">
        <v>38.281826000000002</v>
      </c>
      <c r="P31" s="106">
        <f t="shared" si="17"/>
        <v>3.4229480067121143</v>
      </c>
      <c r="Q31" s="113">
        <f t="shared" si="18"/>
        <v>2.4820963299999996E-4</v>
      </c>
      <c r="R31" s="113">
        <f t="shared" si="19"/>
        <v>-8.8894373499999984E-6</v>
      </c>
      <c r="S31" s="113">
        <f t="shared" si="20"/>
        <v>1.216823474E-3</v>
      </c>
      <c r="T31" s="113">
        <f t="shared" si="21"/>
        <v>7.7562549723999993E-2</v>
      </c>
      <c r="U31" s="113">
        <f t="shared" si="22"/>
        <v>7.7852028724000003E-2</v>
      </c>
      <c r="V31" s="4">
        <f t="shared" si="23"/>
        <v>493.56069567365637</v>
      </c>
      <c r="W31" s="4">
        <f t="shared" si="24"/>
        <v>1.5688286142345333E-2</v>
      </c>
      <c r="X31" s="4">
        <f t="shared" si="25"/>
        <v>3.2001221450717347E-3</v>
      </c>
      <c r="Y31">
        <f t="shared" si="26"/>
        <v>-1.3592608866028755E-3</v>
      </c>
      <c r="Z31">
        <f t="shared" si="27"/>
        <v>1.5666961668614209E-2</v>
      </c>
      <c r="AA31">
        <f t="shared" si="28"/>
        <v>3.2044719459358825E-3</v>
      </c>
      <c r="AB31">
        <f t="shared" si="29"/>
        <v>-2.1612486388014331E-6</v>
      </c>
      <c r="AC31">
        <f t="shared" si="30"/>
        <v>1.0595310282917713E-5</v>
      </c>
    </row>
    <row r="32" spans="1:29" ht="15">
      <c r="A32" s="131">
        <f t="shared" si="11"/>
        <v>17</v>
      </c>
      <c r="B32" s="101">
        <v>-1.2506288999999999E-6</v>
      </c>
      <c r="C32" s="101">
        <v>-7.0572733000000003E-6</v>
      </c>
      <c r="D32" s="101">
        <v>6.6329528999999995E-5</v>
      </c>
      <c r="E32" s="101">
        <v>-1.2885646999999999E-5</v>
      </c>
      <c r="F32" s="101">
        <v>-2.2558050999999999E-5</v>
      </c>
      <c r="G32" s="101">
        <v>1.2476748E-5</v>
      </c>
      <c r="H32" s="101">
        <v>-2.1619128000000001E-5</v>
      </c>
      <c r="I32" s="101">
        <v>2.4957472999999998E-4</v>
      </c>
      <c r="J32" s="101">
        <v>7.8490288000000005E-2</v>
      </c>
      <c r="K32" s="101">
        <v>1.4365444999999999E-4</v>
      </c>
      <c r="L32" s="101">
        <v>38.572597999999999</v>
      </c>
      <c r="M32" s="101">
        <v>7.8499498000000001E-2</v>
      </c>
      <c r="N32" s="101">
        <v>1.2736856999999999E-3</v>
      </c>
      <c r="O32" s="101">
        <v>38.581164000000001</v>
      </c>
      <c r="P32" s="106">
        <f t="shared" ref="P32:P95" si="31">(K32/O32)*1000000</f>
        <v>3.7234348346773567</v>
      </c>
      <c r="Q32" s="113">
        <f t="shared" ref="Q32:Q95" si="32">I32-((F32+G32)/2)</f>
        <v>2.5461538149999997E-4</v>
      </c>
      <c r="R32" s="113">
        <f t="shared" ref="R32:R95" si="33">H32-((E32+F32)/2)</f>
        <v>-3.8972790000000034E-6</v>
      </c>
      <c r="S32" s="113">
        <f t="shared" ref="S32:S95" si="34">N32-((D32+C32/2))</f>
        <v>1.21088480765E-3</v>
      </c>
      <c r="T32" s="113">
        <f t="shared" ref="T32:T95" si="35">J32-((B32+C32)/2)</f>
        <v>7.8494441951100002E-2</v>
      </c>
      <c r="U32" s="113">
        <f t="shared" ref="U32:U95" si="36">M32-((C32+B32)/2)</f>
        <v>7.8503651951099998E-2</v>
      </c>
      <c r="V32" s="4">
        <f t="shared" ref="V32:V95" si="37">IF(AND(A32&gt;0,NOT(A32="***")),O32/T32,"")</f>
        <v>491.51459697025507</v>
      </c>
      <c r="W32" s="4">
        <f t="shared" ref="W32:W95" si="38">IF(AND(A32&gt;0,NOT(A32="***")),S32/T32,"")</f>
        <v>1.5426376410247617E-2</v>
      </c>
      <c r="X32" s="4">
        <f t="shared" ref="X32:X95" si="39">IF(AND(A32&gt;0,NOT(A32="***")),Q32/T32,"")</f>
        <v>3.2437377115008821E-3</v>
      </c>
      <c r="Y32">
        <f t="shared" ref="Y32:Y95" si="40">IF(AND(A32&gt;0,NOT(A32="***")),1/3*($W$7/V32-1),"")</f>
        <v>2.2695465015321048E-5</v>
      </c>
      <c r="Z32">
        <f t="shared" ref="Z32:Z95" si="41">IF(AND(A32&gt;0,NOT(A32="***")),W32*(1+Y32),"")</f>
        <v>1.542672651903375E-2</v>
      </c>
      <c r="AA32">
        <f t="shared" ref="AA32:AA95" si="42">IF(AND(A32&gt;0,NOT(A32="***")),X32*(1-Y32),"")</f>
        <v>3.2436640933651319E-3</v>
      </c>
      <c r="AB32">
        <f t="shared" ref="AB32:AB95" si="43">IF(AND(A32&gt;0,NOT(A32="***")),-X32/(3*V32),"")</f>
        <v>-2.1998246043933075E-6</v>
      </c>
      <c r="AC32">
        <f t="shared" ref="AC32:AC95" si="44">IF(AND(A32&gt;0,NOT(A32="***")),W32/(3*V32),"")</f>
        <v>1.0461796051997463E-5</v>
      </c>
    </row>
    <row r="33" spans="1:29" ht="15">
      <c r="A33" s="131">
        <f t="shared" si="11"/>
        <v>18</v>
      </c>
      <c r="B33" s="101">
        <v>-1.5260869E-5</v>
      </c>
      <c r="C33" s="101">
        <v>-2.4035739000000001E-5</v>
      </c>
      <c r="D33" s="101">
        <v>6.6182959999999997E-5</v>
      </c>
      <c r="E33" s="101">
        <v>-1.8228061999999999E-5</v>
      </c>
      <c r="F33" s="101">
        <v>-8.9496474999999998E-6</v>
      </c>
      <c r="G33" s="101">
        <v>1.3741330999999999E-6</v>
      </c>
      <c r="H33" s="101">
        <v>-2.4820167E-5</v>
      </c>
      <c r="I33" s="101">
        <v>2.7729825999999998E-4</v>
      </c>
      <c r="J33" s="101">
        <v>7.9210242E-2</v>
      </c>
      <c r="K33" s="101">
        <v>1.8393239999999999E-4</v>
      </c>
      <c r="L33" s="101">
        <v>38.919080999999998</v>
      </c>
      <c r="M33" s="101">
        <v>7.9310634000000005E-2</v>
      </c>
      <c r="N33" s="101">
        <v>1.291234E-3</v>
      </c>
      <c r="O33" s="101">
        <v>38.984496</v>
      </c>
      <c r="P33" s="106">
        <f t="shared" si="31"/>
        <v>4.7180910072558069</v>
      </c>
      <c r="Q33" s="113">
        <f t="shared" si="32"/>
        <v>2.8108601719999999E-4</v>
      </c>
      <c r="R33" s="113">
        <f t="shared" si="33"/>
        <v>-1.1231312250000001E-5</v>
      </c>
      <c r="S33" s="113">
        <f t="shared" si="34"/>
        <v>1.2370689095000001E-3</v>
      </c>
      <c r="T33" s="113">
        <f t="shared" si="35"/>
        <v>7.9229890304000003E-2</v>
      </c>
      <c r="U33" s="113">
        <f t="shared" si="36"/>
        <v>7.9330282304000008E-2</v>
      </c>
      <c r="V33" s="4">
        <f t="shared" si="37"/>
        <v>492.04278650922009</v>
      </c>
      <c r="W33" s="4">
        <f t="shared" si="38"/>
        <v>1.5613664297065743E-2</v>
      </c>
      <c r="X33" s="4">
        <f t="shared" si="39"/>
        <v>3.5477269515518826E-3</v>
      </c>
      <c r="Y33">
        <f t="shared" si="40"/>
        <v>-3.3514977119142308E-4</v>
      </c>
      <c r="Z33">
        <f t="shared" si="41"/>
        <v>1.5608431381049122E-2</v>
      </c>
      <c r="AA33">
        <f t="shared" si="42"/>
        <v>3.5489159714279447E-3</v>
      </c>
      <c r="AB33">
        <f t="shared" si="43"/>
        <v>-2.403400035405528E-6</v>
      </c>
      <c r="AC33">
        <f t="shared" si="44"/>
        <v>1.0577443483344422E-5</v>
      </c>
    </row>
    <row r="34" spans="1:29" ht="15">
      <c r="A34" s="131">
        <f t="shared" si="11"/>
        <v>19</v>
      </c>
      <c r="B34" s="101">
        <v>-4.8098481999999996E-6</v>
      </c>
      <c r="C34" s="101">
        <v>-5.1196594000000004E-6</v>
      </c>
      <c r="D34" s="101">
        <v>6.0481432000000001E-5</v>
      </c>
      <c r="E34" s="101">
        <v>-2.8847029999999999E-5</v>
      </c>
      <c r="F34" s="101">
        <v>-2.6712158999999999E-5</v>
      </c>
      <c r="G34" s="101">
        <v>1.4997756E-5</v>
      </c>
      <c r="H34" s="101">
        <v>-1.7226817999999998E-5</v>
      </c>
      <c r="I34" s="101">
        <v>2.6689508000000002E-4</v>
      </c>
      <c r="J34" s="101">
        <v>7.9889865000000004E-2</v>
      </c>
      <c r="K34" s="101">
        <v>1.8214256999999999E-4</v>
      </c>
      <c r="L34" s="101">
        <v>39.252034000000002</v>
      </c>
      <c r="M34" s="101">
        <v>7.9983973E-2</v>
      </c>
      <c r="N34" s="101">
        <v>1.3075732999999999E-3</v>
      </c>
      <c r="O34" s="101">
        <v>39.309032999999999</v>
      </c>
      <c r="P34" s="106">
        <f t="shared" si="31"/>
        <v>4.633605970413976</v>
      </c>
      <c r="Q34" s="113">
        <f t="shared" si="32"/>
        <v>2.7275228150000003E-4</v>
      </c>
      <c r="R34" s="113">
        <f t="shared" si="33"/>
        <v>1.0552776500000001E-5</v>
      </c>
      <c r="S34" s="113">
        <f t="shared" si="34"/>
        <v>1.2496516976999998E-3</v>
      </c>
      <c r="T34" s="113">
        <f t="shared" si="35"/>
        <v>7.9894829753800009E-2</v>
      </c>
      <c r="U34" s="113">
        <f t="shared" si="36"/>
        <v>7.9988937753800005E-2</v>
      </c>
      <c r="V34" s="4">
        <f t="shared" si="37"/>
        <v>492.00972229533238</v>
      </c>
      <c r="W34" s="4">
        <f t="shared" si="38"/>
        <v>1.5641208593232696E-2</v>
      </c>
      <c r="X34" s="4">
        <f t="shared" si="39"/>
        <v>3.4138915163909869E-3</v>
      </c>
      <c r="Y34">
        <f t="shared" si="40"/>
        <v>-3.1277150778200957E-4</v>
      </c>
      <c r="Z34">
        <f t="shared" si="41"/>
        <v>1.5636316468837459E-2</v>
      </c>
      <c r="AA34">
        <f t="shared" si="42"/>
        <v>3.4149592843879728E-3</v>
      </c>
      <c r="AB34">
        <f t="shared" si="43"/>
        <v>-2.3128889272515727E-6</v>
      </c>
      <c r="AC34">
        <f t="shared" si="44"/>
        <v>1.0596815391006945E-5</v>
      </c>
    </row>
    <row r="35" spans="1:29" ht="15">
      <c r="A35" s="131">
        <f t="shared" si="11"/>
        <v>20</v>
      </c>
      <c r="B35" s="101">
        <v>-2.2101476999999999E-5</v>
      </c>
      <c r="C35" s="101">
        <v>-3.4760772999999999E-6</v>
      </c>
      <c r="D35" s="101">
        <v>7.5211667999999996E-5</v>
      </c>
      <c r="E35" s="101">
        <v>-2.0756746E-5</v>
      </c>
      <c r="F35" s="101">
        <v>-1.7167486999999999E-5</v>
      </c>
      <c r="G35" s="101">
        <v>1.6526546000000001E-5</v>
      </c>
      <c r="H35" s="101">
        <v>-9.5237840999999997E-6</v>
      </c>
      <c r="I35" s="101">
        <v>2.8512493000000001E-4</v>
      </c>
      <c r="J35" s="101">
        <v>8.0515752999999995E-2</v>
      </c>
      <c r="K35" s="101">
        <v>1.8009172E-4</v>
      </c>
      <c r="L35" s="101">
        <v>39.562725</v>
      </c>
      <c r="M35" s="101">
        <v>8.0695301999999997E-2</v>
      </c>
      <c r="N35" s="101">
        <v>1.3311269000000001E-3</v>
      </c>
      <c r="O35" s="101">
        <v>39.670743000000002</v>
      </c>
      <c r="P35" s="106">
        <f t="shared" si="31"/>
        <v>4.539660878043045</v>
      </c>
      <c r="Q35" s="113">
        <f t="shared" si="32"/>
        <v>2.8544540050000003E-4</v>
      </c>
      <c r="R35" s="113">
        <f t="shared" si="33"/>
        <v>9.4383324000000014E-6</v>
      </c>
      <c r="S35" s="113">
        <f t="shared" si="34"/>
        <v>1.2576532706500001E-3</v>
      </c>
      <c r="T35" s="113">
        <f t="shared" si="35"/>
        <v>8.0528541777149992E-2</v>
      </c>
      <c r="U35" s="113">
        <f t="shared" si="36"/>
        <v>8.0708090777149993E-2</v>
      </c>
      <c r="V35" s="4">
        <f t="shared" si="37"/>
        <v>492.62959597334458</v>
      </c>
      <c r="W35" s="4">
        <f t="shared" si="38"/>
        <v>1.5617484719024922E-2</v>
      </c>
      <c r="X35" s="4">
        <f t="shared" si="39"/>
        <v>3.5446488189234205E-3</v>
      </c>
      <c r="Y35">
        <f t="shared" si="40"/>
        <v>-7.3180983231594754E-4</v>
      </c>
      <c r="Z35">
        <f t="shared" si="41"/>
        <v>1.5606055690151496E-2</v>
      </c>
      <c r="AA35">
        <f t="shared" si="42"/>
        <v>3.5472428277812155E-3</v>
      </c>
      <c r="AB35">
        <f t="shared" si="43"/>
        <v>-2.3984543680801073E-6</v>
      </c>
      <c r="AC35">
        <f t="shared" si="44"/>
        <v>1.0567428920686797E-5</v>
      </c>
    </row>
    <row r="36" spans="1:29" ht="15">
      <c r="A36" s="131">
        <f t="shared" si="11"/>
        <v>21</v>
      </c>
      <c r="B36" s="101">
        <v>2.2916944000000001E-5</v>
      </c>
      <c r="C36" s="101">
        <v>1.6801698E-5</v>
      </c>
      <c r="D36" s="101">
        <v>7.0561011999999997E-5</v>
      </c>
      <c r="E36" s="101">
        <v>-4.0506574000000003E-8</v>
      </c>
      <c r="F36" s="101">
        <v>-6.1829249999999998E-6</v>
      </c>
      <c r="G36" s="101">
        <v>3.3356915E-5</v>
      </c>
      <c r="H36" s="101">
        <v>7.1853886999999999E-6</v>
      </c>
      <c r="I36" s="101">
        <v>3.198915E-4</v>
      </c>
      <c r="J36" s="101">
        <v>8.4043674999999998E-2</v>
      </c>
      <c r="K36" s="101">
        <v>2.0854365E-4</v>
      </c>
      <c r="L36" s="101">
        <v>41.288110000000003</v>
      </c>
      <c r="M36" s="101">
        <v>8.4166219E-2</v>
      </c>
      <c r="N36" s="101">
        <v>1.3940535999999999E-3</v>
      </c>
      <c r="O36" s="101">
        <v>41.361367000000001</v>
      </c>
      <c r="P36" s="106">
        <f t="shared" si="31"/>
        <v>5.0419912378621339</v>
      </c>
      <c r="Q36" s="113">
        <f t="shared" si="32"/>
        <v>3.0630450500000002E-4</v>
      </c>
      <c r="R36" s="113">
        <f t="shared" si="33"/>
        <v>1.0297104487E-5</v>
      </c>
      <c r="S36" s="113">
        <f t="shared" si="34"/>
        <v>1.3150917389999999E-3</v>
      </c>
      <c r="T36" s="113">
        <f t="shared" si="35"/>
        <v>8.4023815678999997E-2</v>
      </c>
      <c r="U36" s="113">
        <f t="shared" si="36"/>
        <v>8.4146359678999999E-2</v>
      </c>
      <c r="V36" s="4">
        <f t="shared" si="37"/>
        <v>492.25766130420345</v>
      </c>
      <c r="W36" s="4">
        <f t="shared" si="38"/>
        <v>1.565141654628141E-2</v>
      </c>
      <c r="X36" s="4">
        <f t="shared" si="39"/>
        <v>3.6454486448245704E-3</v>
      </c>
      <c r="Y36">
        <f t="shared" si="40"/>
        <v>-4.8050640461216876E-4</v>
      </c>
      <c r="Z36">
        <f t="shared" si="41"/>
        <v>1.564389594038967E-2</v>
      </c>
      <c r="AA36">
        <f t="shared" si="42"/>
        <v>3.6472003062460929E-3</v>
      </c>
      <c r="AB36">
        <f t="shared" si="43"/>
        <v>-2.4685233847968969E-6</v>
      </c>
      <c r="AC36">
        <f t="shared" si="44"/>
        <v>1.0598390353007433E-5</v>
      </c>
    </row>
    <row r="37" spans="1:29" ht="15">
      <c r="A37" s="131">
        <f t="shared" si="11"/>
        <v>22</v>
      </c>
      <c r="B37" s="101">
        <v>1.9740504999999999E-5</v>
      </c>
      <c r="C37" s="101">
        <v>2.5411022000000001E-5</v>
      </c>
      <c r="D37" s="101">
        <v>8.2699244999999999E-5</v>
      </c>
      <c r="E37" s="101">
        <v>3.5799616000000001E-6</v>
      </c>
      <c r="F37" s="101">
        <v>-3.8748884000000001E-7</v>
      </c>
      <c r="G37" s="101">
        <v>2.8049188999999999E-5</v>
      </c>
      <c r="H37" s="101">
        <v>-9.3889319000000001E-6</v>
      </c>
      <c r="I37" s="101">
        <v>3.1677772999999998E-4</v>
      </c>
      <c r="J37" s="101">
        <v>8.4910109999999997E-2</v>
      </c>
      <c r="K37" s="101">
        <v>2.0354524000000001E-4</v>
      </c>
      <c r="L37" s="101">
        <v>41.727353999999998</v>
      </c>
      <c r="M37" s="101">
        <v>8.5080551000000004E-2</v>
      </c>
      <c r="N37" s="101">
        <v>1.4120089000000001E-3</v>
      </c>
      <c r="O37" s="101">
        <v>41.823552999999997</v>
      </c>
      <c r="P37" s="106">
        <f t="shared" si="31"/>
        <v>4.8667610807718811</v>
      </c>
      <c r="Q37" s="113">
        <f t="shared" si="32"/>
        <v>3.0294687991999999E-4</v>
      </c>
      <c r="R37" s="113">
        <f t="shared" si="33"/>
        <v>-1.098516828E-5</v>
      </c>
      <c r="S37" s="113">
        <f t="shared" si="34"/>
        <v>1.3166041440000002E-3</v>
      </c>
      <c r="T37" s="113">
        <f t="shared" si="35"/>
        <v>8.4887534236500001E-2</v>
      </c>
      <c r="U37" s="113">
        <f t="shared" si="36"/>
        <v>8.5057975236500008E-2</v>
      </c>
      <c r="V37" s="4">
        <f t="shared" si="37"/>
        <v>492.6936961495187</v>
      </c>
      <c r="W37" s="4">
        <f t="shared" si="38"/>
        <v>1.550998218810184E-2</v>
      </c>
      <c r="X37" s="4">
        <f t="shared" si="39"/>
        <v>3.568802918411767E-3</v>
      </c>
      <c r="Y37">
        <f t="shared" si="40"/>
        <v>-7.7508178082837565E-4</v>
      </c>
      <c r="Z37">
        <f t="shared" si="41"/>
        <v>1.5497960683486869E-2</v>
      </c>
      <c r="AA37">
        <f t="shared" si="42"/>
        <v>3.571569032533195E-3</v>
      </c>
      <c r="AB37">
        <f t="shared" si="43"/>
        <v>-2.4144838509216726E-6</v>
      </c>
      <c r="AC37">
        <f t="shared" si="44"/>
        <v>1.0493322936958514E-5</v>
      </c>
    </row>
    <row r="38" spans="1:29" ht="15">
      <c r="A38" s="131">
        <f t="shared" si="11"/>
        <v>23</v>
      </c>
      <c r="B38" s="101">
        <v>1.8784564000000001E-5</v>
      </c>
      <c r="C38" s="101">
        <v>1.7349828000000001E-5</v>
      </c>
      <c r="D38" s="101">
        <v>9.0004872999999996E-5</v>
      </c>
      <c r="E38" s="101">
        <v>1.5585557000000001E-5</v>
      </c>
      <c r="F38" s="101">
        <v>6.8257941000000001E-6</v>
      </c>
      <c r="G38" s="101">
        <v>4.1047134000000002E-5</v>
      </c>
      <c r="H38" s="101">
        <v>-3.2394541E-6</v>
      </c>
      <c r="I38" s="101">
        <v>3.3029275000000003E-4</v>
      </c>
      <c r="J38" s="101">
        <v>8.5650072999999993E-2</v>
      </c>
      <c r="K38" s="101">
        <v>2.0630829E-4</v>
      </c>
      <c r="L38" s="101">
        <v>42.078377000000003</v>
      </c>
      <c r="M38" s="101">
        <v>8.5775245E-2</v>
      </c>
      <c r="N38" s="101">
        <v>1.412122E-3</v>
      </c>
      <c r="O38" s="101">
        <v>42.164628999999998</v>
      </c>
      <c r="P38" s="106">
        <f t="shared" si="31"/>
        <v>4.8929231655281491</v>
      </c>
      <c r="Q38" s="113">
        <f t="shared" si="32"/>
        <v>3.0635628595000004E-4</v>
      </c>
      <c r="R38" s="113">
        <f t="shared" si="33"/>
        <v>-1.444512965E-5</v>
      </c>
      <c r="S38" s="113">
        <f t="shared" si="34"/>
        <v>1.313442213E-3</v>
      </c>
      <c r="T38" s="113">
        <f t="shared" si="35"/>
        <v>8.5632005803999989E-2</v>
      </c>
      <c r="U38" s="113">
        <f t="shared" si="36"/>
        <v>8.5757177803999995E-2</v>
      </c>
      <c r="V38" s="4">
        <f t="shared" si="37"/>
        <v>492.3933359275631</v>
      </c>
      <c r="W38" s="4">
        <f t="shared" si="38"/>
        <v>1.5338216133886791E-2</v>
      </c>
      <c r="X38" s="4">
        <f t="shared" si="39"/>
        <v>3.5775909144439275E-3</v>
      </c>
      <c r="Y38">
        <f t="shared" si="40"/>
        <v>-5.7222105351713748E-4</v>
      </c>
      <c r="Z38">
        <f t="shared" si="41"/>
        <v>1.5329439283691584E-2</v>
      </c>
      <c r="AA38">
        <f t="shared" si="42"/>
        <v>3.5796380872860438E-3</v>
      </c>
      <c r="AB38">
        <f t="shared" si="43"/>
        <v>-2.4219058581858589E-6</v>
      </c>
      <c r="AC38">
        <f t="shared" si="44"/>
        <v>1.0383444165961949E-5</v>
      </c>
    </row>
    <row r="39" spans="1:29" ht="15">
      <c r="A39" s="131">
        <f t="shared" si="11"/>
        <v>24</v>
      </c>
      <c r="B39" s="101">
        <v>1.7283276E-6</v>
      </c>
      <c r="C39" s="101">
        <v>2.8677907000000001E-5</v>
      </c>
      <c r="D39" s="101">
        <v>7.1955770999999994E-5</v>
      </c>
      <c r="E39" s="101">
        <v>2.0101805000000002E-5</v>
      </c>
      <c r="F39" s="101">
        <v>5.1302659000000002E-6</v>
      </c>
      <c r="G39" s="101">
        <v>3.7669461999999998E-5</v>
      </c>
      <c r="H39" s="101">
        <v>-1.3835687999999999E-7</v>
      </c>
      <c r="I39" s="101">
        <v>3.1810071999999998E-4</v>
      </c>
      <c r="J39" s="101">
        <v>8.6716272999999996E-2</v>
      </c>
      <c r="K39" s="101">
        <v>1.9285225999999999E-4</v>
      </c>
      <c r="L39" s="101">
        <v>42.619076999999997</v>
      </c>
      <c r="M39" s="101">
        <v>8.6953707000000005E-2</v>
      </c>
      <c r="N39" s="101">
        <v>1.4251661999999999E-3</v>
      </c>
      <c r="O39" s="101">
        <v>42.737924999999997</v>
      </c>
      <c r="P39" s="106">
        <f t="shared" si="31"/>
        <v>4.5124385425824958</v>
      </c>
      <c r="Q39" s="113">
        <f t="shared" si="32"/>
        <v>2.9670085604999999E-4</v>
      </c>
      <c r="R39" s="113">
        <f t="shared" si="33"/>
        <v>-1.275439233E-5</v>
      </c>
      <c r="S39" s="113">
        <f t="shared" si="34"/>
        <v>1.3388714755E-3</v>
      </c>
      <c r="T39" s="113">
        <f t="shared" si="35"/>
        <v>8.6701069882700002E-2</v>
      </c>
      <c r="U39" s="113">
        <f t="shared" si="36"/>
        <v>8.6938503882700011E-2</v>
      </c>
      <c r="V39" s="4">
        <f t="shared" si="37"/>
        <v>492.93422858358241</v>
      </c>
      <c r="W39" s="4">
        <f t="shared" si="38"/>
        <v>1.5442387012194797E-2</v>
      </c>
      <c r="X39" s="4">
        <f t="shared" si="39"/>
        <v>3.4221129733625413E-3</v>
      </c>
      <c r="Y39">
        <f t="shared" si="40"/>
        <v>-9.3735707249102218E-4</v>
      </c>
      <c r="Z39">
        <f t="shared" si="41"/>
        <v>1.5427911981512773E-2</v>
      </c>
      <c r="AA39">
        <f t="shared" si="42"/>
        <v>3.4253207151609863E-3</v>
      </c>
      <c r="AB39">
        <f t="shared" si="43"/>
        <v>-2.3141106020004482E-6</v>
      </c>
      <c r="AC39">
        <f t="shared" si="44"/>
        <v>1.0442493214945118E-5</v>
      </c>
    </row>
    <row r="40" spans="1:29" ht="15">
      <c r="A40" s="131">
        <f t="shared" si="11"/>
        <v>25</v>
      </c>
      <c r="B40" s="101">
        <v>2.1930891999999998E-5</v>
      </c>
      <c r="C40" s="101">
        <v>1.9301172000000001E-5</v>
      </c>
      <c r="D40" s="101">
        <v>8.0618395E-5</v>
      </c>
      <c r="E40" s="101">
        <v>7.8745796999999998E-7</v>
      </c>
      <c r="F40" s="101">
        <v>5.8451073999999997E-7</v>
      </c>
      <c r="G40" s="101">
        <v>3.0868915E-5</v>
      </c>
      <c r="H40" s="101">
        <v>1.1897301999999999E-5</v>
      </c>
      <c r="I40" s="101">
        <v>3.3575290999999998E-4</v>
      </c>
      <c r="J40" s="101">
        <v>8.7594318000000004E-2</v>
      </c>
      <c r="K40" s="101">
        <v>2.0850700999999999E-4</v>
      </c>
      <c r="L40" s="101">
        <v>43.045504000000001</v>
      </c>
      <c r="M40" s="101">
        <v>8.7634934999999997E-2</v>
      </c>
      <c r="N40" s="101">
        <v>1.44534E-3</v>
      </c>
      <c r="O40" s="101">
        <v>43.068254000000003</v>
      </c>
      <c r="P40" s="106">
        <f t="shared" si="31"/>
        <v>4.841315601045725</v>
      </c>
      <c r="Q40" s="113">
        <f t="shared" si="32"/>
        <v>3.2002619712999999E-4</v>
      </c>
      <c r="R40" s="113">
        <f t="shared" si="33"/>
        <v>1.1211317644999999E-5</v>
      </c>
      <c r="S40" s="113">
        <f t="shared" si="34"/>
        <v>1.3550710190000002E-3</v>
      </c>
      <c r="T40" s="113">
        <f t="shared" si="35"/>
        <v>8.7573701968000003E-2</v>
      </c>
      <c r="U40" s="113">
        <f t="shared" si="36"/>
        <v>8.7614318967999996E-2</v>
      </c>
      <c r="V40" s="4">
        <f t="shared" si="37"/>
        <v>491.79437470551858</v>
      </c>
      <c r="W40" s="4">
        <f t="shared" si="38"/>
        <v>1.5473492481740144E-2</v>
      </c>
      <c r="X40" s="4">
        <f t="shared" si="39"/>
        <v>3.6543641520023857E-3</v>
      </c>
      <c r="Y40">
        <f t="shared" si="40"/>
        <v>-1.6694801114173577E-4</v>
      </c>
      <c r="Z40">
        <f t="shared" si="41"/>
        <v>1.5470909212944903E-2</v>
      </c>
      <c r="AA40">
        <f t="shared" si="42"/>
        <v>3.6549742408295499E-3</v>
      </c>
      <c r="AB40">
        <f t="shared" si="43"/>
        <v>-2.4768916576774464E-6</v>
      </c>
      <c r="AC40">
        <f t="shared" si="44"/>
        <v>1.0487779227517946E-5</v>
      </c>
    </row>
    <row r="41" spans="1:29" ht="15">
      <c r="A41" s="131">
        <f t="shared" si="11"/>
        <v>26</v>
      </c>
      <c r="B41" s="101">
        <v>3.1222549999999998E-5</v>
      </c>
      <c r="C41" s="101">
        <v>2.4625601E-5</v>
      </c>
      <c r="D41" s="101">
        <v>7.0797584000000004E-5</v>
      </c>
      <c r="E41" s="101">
        <v>2.1379095999999999E-5</v>
      </c>
      <c r="F41" s="101">
        <v>6.9219437000000003E-6</v>
      </c>
      <c r="G41" s="101">
        <v>3.0327846E-6</v>
      </c>
      <c r="H41" s="101">
        <v>1.4578221E-5</v>
      </c>
      <c r="I41" s="101">
        <v>3.1710651999999998E-4</v>
      </c>
      <c r="J41" s="101">
        <v>8.8563182000000004E-2</v>
      </c>
      <c r="K41" s="101">
        <v>1.5930164E-4</v>
      </c>
      <c r="L41" s="101">
        <v>43.526682999999998</v>
      </c>
      <c r="M41" s="101">
        <v>8.8725371999999997E-2</v>
      </c>
      <c r="N41" s="101">
        <v>1.4458733E-3</v>
      </c>
      <c r="O41" s="101">
        <v>43.608547000000002</v>
      </c>
      <c r="P41" s="106">
        <f t="shared" si="31"/>
        <v>3.6529912358694268</v>
      </c>
      <c r="Q41" s="113">
        <f t="shared" si="32"/>
        <v>3.1212915584999997E-4</v>
      </c>
      <c r="R41" s="113">
        <f t="shared" si="33"/>
        <v>4.2770114999999946E-7</v>
      </c>
      <c r="S41" s="113">
        <f t="shared" si="34"/>
        <v>1.3627629155E-3</v>
      </c>
      <c r="T41" s="113">
        <f t="shared" si="35"/>
        <v>8.853525792450001E-2</v>
      </c>
      <c r="U41" s="113">
        <f t="shared" si="36"/>
        <v>8.8697447924500003E-2</v>
      </c>
      <c r="V41" s="4">
        <f t="shared" si="37"/>
        <v>492.55571195362592</v>
      </c>
      <c r="W41" s="4">
        <f t="shared" si="38"/>
        <v>1.5392318805487864E-2</v>
      </c>
      <c r="X41" s="4">
        <f t="shared" si="39"/>
        <v>3.5254785852227772E-3</v>
      </c>
      <c r="Y41">
        <f t="shared" si="40"/>
        <v>-6.8191915614583076E-4</v>
      </c>
      <c r="Z41">
        <f t="shared" si="41"/>
        <v>1.5381822488436898E-2</v>
      </c>
      <c r="AA41">
        <f t="shared" si="42"/>
        <v>3.5278826766046226E-3</v>
      </c>
      <c r="AB41">
        <f t="shared" si="43"/>
        <v>-2.3858408295511422E-6</v>
      </c>
      <c r="AC41">
        <f t="shared" si="44"/>
        <v>1.0416634729120111E-5</v>
      </c>
    </row>
    <row r="42" spans="1:29" ht="15">
      <c r="A42" s="131">
        <f t="shared" si="11"/>
        <v>27</v>
      </c>
      <c r="B42" s="101">
        <v>-5.8763266999999998E-6</v>
      </c>
      <c r="C42" s="101">
        <v>1.9386731E-5</v>
      </c>
      <c r="D42" s="101">
        <v>6.7289369000000002E-5</v>
      </c>
      <c r="E42" s="101">
        <v>1.9087307E-6</v>
      </c>
      <c r="F42" s="101">
        <v>7.742387E-6</v>
      </c>
      <c r="G42" s="101">
        <v>1.2657849E-5</v>
      </c>
      <c r="H42" s="101">
        <v>-1.1560836E-6</v>
      </c>
      <c r="I42" s="101">
        <v>3.4597668E-4</v>
      </c>
      <c r="J42" s="101">
        <v>8.9443608999999993E-2</v>
      </c>
      <c r="K42" s="101">
        <v>1.7819678000000001E-4</v>
      </c>
      <c r="L42" s="101">
        <v>43.946109999999997</v>
      </c>
      <c r="M42" s="101">
        <v>8.9556780000000002E-2</v>
      </c>
      <c r="N42" s="101">
        <v>1.460991E-3</v>
      </c>
      <c r="O42" s="101">
        <v>44.016930000000002</v>
      </c>
      <c r="P42" s="106">
        <f t="shared" si="31"/>
        <v>4.048369116155988</v>
      </c>
      <c r="Q42" s="113">
        <f t="shared" si="32"/>
        <v>3.3577656200000001E-4</v>
      </c>
      <c r="R42" s="113">
        <f t="shared" si="33"/>
        <v>-5.9816424500000009E-6</v>
      </c>
      <c r="S42" s="113">
        <f t="shared" si="34"/>
        <v>1.3840082655E-3</v>
      </c>
      <c r="T42" s="113">
        <f t="shared" si="35"/>
        <v>8.9436853797849991E-2</v>
      </c>
      <c r="U42" s="113">
        <f t="shared" si="36"/>
        <v>8.955002479785E-2</v>
      </c>
      <c r="V42" s="4">
        <f t="shared" si="37"/>
        <v>492.15651189485538</v>
      </c>
      <c r="W42" s="4">
        <f t="shared" si="38"/>
        <v>1.5474697585272959E-2</v>
      </c>
      <c r="X42" s="4">
        <f t="shared" si="39"/>
        <v>3.7543422844338904E-3</v>
      </c>
      <c r="Y42">
        <f t="shared" si="40"/>
        <v>-4.1209754273600441E-4</v>
      </c>
      <c r="Z42">
        <f t="shared" si="41"/>
        <v>1.5468320500423486E-2</v>
      </c>
      <c r="AA42">
        <f t="shared" si="42"/>
        <v>3.7558894396638952E-3</v>
      </c>
      <c r="AB42">
        <f t="shared" si="43"/>
        <v>-2.5427834396144091E-6</v>
      </c>
      <c r="AC42">
        <f t="shared" si="44"/>
        <v>1.0480878346127274E-5</v>
      </c>
    </row>
    <row r="43" spans="1:29" ht="15">
      <c r="A43" s="131">
        <f t="shared" si="11"/>
        <v>28</v>
      </c>
      <c r="B43" s="101">
        <v>-1.1933684E-6</v>
      </c>
      <c r="C43" s="101">
        <v>2.7192356E-5</v>
      </c>
      <c r="D43" s="101">
        <v>8.4243030000000002E-5</v>
      </c>
      <c r="E43" s="101">
        <v>-1.2773956E-5</v>
      </c>
      <c r="F43" s="101">
        <v>-4.0072000000000004E-6</v>
      </c>
      <c r="G43" s="101">
        <v>1.2416673E-5</v>
      </c>
      <c r="H43" s="101">
        <v>4.1756552999999997E-6</v>
      </c>
      <c r="I43" s="101">
        <v>3.3883246000000002E-4</v>
      </c>
      <c r="J43" s="101">
        <v>9.0413737999999993E-2</v>
      </c>
      <c r="K43" s="101">
        <v>2.0708645999999999E-4</v>
      </c>
      <c r="L43" s="101">
        <v>44.435617999999998</v>
      </c>
      <c r="M43" s="101">
        <v>8.9803452000000006E-2</v>
      </c>
      <c r="N43" s="101">
        <v>1.4963916999999999E-3</v>
      </c>
      <c r="O43" s="101">
        <v>44.134469000000003</v>
      </c>
      <c r="P43" s="106">
        <f t="shared" si="31"/>
        <v>4.6921706478444314</v>
      </c>
      <c r="Q43" s="113">
        <f t="shared" si="32"/>
        <v>3.3462772350000003E-4</v>
      </c>
      <c r="R43" s="113">
        <f t="shared" si="33"/>
        <v>1.25662333E-5</v>
      </c>
      <c r="S43" s="113">
        <f t="shared" si="34"/>
        <v>1.3985524919999999E-3</v>
      </c>
      <c r="T43" s="113">
        <f t="shared" si="35"/>
        <v>9.0400738506199993E-2</v>
      </c>
      <c r="U43" s="113">
        <f t="shared" si="36"/>
        <v>8.9790452506200005E-2</v>
      </c>
      <c r="V43" s="4">
        <f t="shared" si="37"/>
        <v>488.20916431974842</v>
      </c>
      <c r="W43" s="4">
        <f t="shared" si="38"/>
        <v>1.54705870229598E-2</v>
      </c>
      <c r="X43" s="4">
        <f t="shared" si="39"/>
        <v>3.7016038699401788E-3</v>
      </c>
      <c r="Y43">
        <f t="shared" si="40"/>
        <v>2.2796909955449989E-3</v>
      </c>
      <c r="Z43">
        <f t="shared" si="41"/>
        <v>1.5505855180891835E-2</v>
      </c>
      <c r="AA43">
        <f t="shared" si="42"/>
        <v>3.6931653569288016E-3</v>
      </c>
      <c r="AB43">
        <f t="shared" si="43"/>
        <v>-2.5273346893558414E-6</v>
      </c>
      <c r="AC43">
        <f t="shared" si="44"/>
        <v>1.0562813478054986E-5</v>
      </c>
    </row>
    <row r="44" spans="1:29" ht="15">
      <c r="A44" s="131">
        <f t="shared" si="11"/>
        <v>29</v>
      </c>
      <c r="B44" s="101">
        <v>-1.7270439E-5</v>
      </c>
      <c r="C44" s="101">
        <v>2.4512694E-5</v>
      </c>
      <c r="D44" s="101">
        <v>7.6145291E-5</v>
      </c>
      <c r="E44" s="101">
        <v>-2.4205273999999999E-5</v>
      </c>
      <c r="F44" s="101">
        <v>1.1731708E-5</v>
      </c>
      <c r="G44" s="101">
        <v>2.0273191E-5</v>
      </c>
      <c r="H44" s="101">
        <v>-1.9537315000000001E-5</v>
      </c>
      <c r="I44" s="101">
        <v>3.4494532000000001E-4</v>
      </c>
      <c r="J44" s="101">
        <v>9.1328301000000001E-2</v>
      </c>
      <c r="K44" s="101">
        <v>2.1628505E-4</v>
      </c>
      <c r="L44" s="101">
        <v>44.89987</v>
      </c>
      <c r="M44" s="101">
        <v>9.1586396E-2</v>
      </c>
      <c r="N44" s="101">
        <v>1.4837098E-3</v>
      </c>
      <c r="O44" s="101">
        <v>45.014707000000001</v>
      </c>
      <c r="P44" s="106">
        <f t="shared" si="31"/>
        <v>4.8047641407507102</v>
      </c>
      <c r="Q44" s="113">
        <f t="shared" si="32"/>
        <v>3.2894287050000003E-4</v>
      </c>
      <c r="R44" s="113">
        <f t="shared" si="33"/>
        <v>-1.3300532000000002E-5</v>
      </c>
      <c r="S44" s="113">
        <f t="shared" si="34"/>
        <v>1.3953081620000001E-3</v>
      </c>
      <c r="T44" s="113">
        <f t="shared" si="35"/>
        <v>9.1324679872499995E-2</v>
      </c>
      <c r="U44" s="113">
        <f t="shared" si="36"/>
        <v>9.1582774872499995E-2</v>
      </c>
      <c r="V44" s="4">
        <f t="shared" si="37"/>
        <v>492.90845654039884</v>
      </c>
      <c r="W44" s="4">
        <f t="shared" si="38"/>
        <v>1.5278544243987655E-2</v>
      </c>
      <c r="X44" s="4">
        <f t="shared" si="39"/>
        <v>3.6019055414072405E-3</v>
      </c>
      <c r="Y44">
        <f t="shared" si="40"/>
        <v>-9.1997753002108029E-4</v>
      </c>
      <c r="Z44">
        <f t="shared" si="41"/>
        <v>1.5264488326591753E-2</v>
      </c>
      <c r="AA44">
        <f t="shared" si="42"/>
        <v>3.6052192135705933E-3</v>
      </c>
      <c r="AB44">
        <f t="shared" si="43"/>
        <v>-2.4358177761770173E-6</v>
      </c>
      <c r="AC44">
        <f t="shared" si="44"/>
        <v>1.0332239209435856E-5</v>
      </c>
    </row>
    <row r="45" spans="1:29" ht="15">
      <c r="A45" s="131">
        <f t="shared" si="11"/>
        <v>30</v>
      </c>
      <c r="B45" s="101">
        <v>3.2509880999999999E-6</v>
      </c>
      <c r="C45" s="101">
        <v>2.4452477000000001E-5</v>
      </c>
      <c r="D45" s="101">
        <v>6.7055488000000003E-5</v>
      </c>
      <c r="E45" s="101">
        <v>-2.8589854999999999E-5</v>
      </c>
      <c r="F45" s="101">
        <v>-4.6168802E-6</v>
      </c>
      <c r="G45" s="101">
        <v>1.1641987000000001E-5</v>
      </c>
      <c r="H45" s="101">
        <v>-4.6757613999999999E-6</v>
      </c>
      <c r="I45" s="101">
        <v>3.4946975999999998E-4</v>
      </c>
      <c r="J45" s="101">
        <v>9.227486E-2</v>
      </c>
      <c r="K45" s="101">
        <v>2.1804184000000001E-4</v>
      </c>
      <c r="L45" s="101">
        <v>45.347517000000003</v>
      </c>
      <c r="M45" s="101">
        <v>9.2595606999999996E-2</v>
      </c>
      <c r="N45" s="101">
        <v>1.5045831999999999E-3</v>
      </c>
      <c r="O45" s="101">
        <v>45.513540999999996</v>
      </c>
      <c r="P45" s="106">
        <f t="shared" si="31"/>
        <v>4.7907026174913527</v>
      </c>
      <c r="Q45" s="113">
        <f t="shared" si="32"/>
        <v>3.459572066E-4</v>
      </c>
      <c r="R45" s="113">
        <f t="shared" si="33"/>
        <v>1.19276062E-5</v>
      </c>
      <c r="S45" s="113">
        <f t="shared" si="34"/>
        <v>1.4253014735E-3</v>
      </c>
      <c r="T45" s="113">
        <f t="shared" si="35"/>
        <v>9.2261008267449998E-2</v>
      </c>
      <c r="U45" s="113">
        <f t="shared" si="36"/>
        <v>9.2581755267449994E-2</v>
      </c>
      <c r="V45" s="4">
        <f t="shared" si="37"/>
        <v>493.31285073390347</v>
      </c>
      <c r="W45" s="4">
        <f t="shared" si="38"/>
        <v>1.5448578985482984E-2</v>
      </c>
      <c r="X45" s="4">
        <f t="shared" si="39"/>
        <v>3.7497661590379008E-3</v>
      </c>
      <c r="Y45">
        <f t="shared" si="40"/>
        <v>-1.1924740415761117E-3</v>
      </c>
      <c r="Z45">
        <f t="shared" si="41"/>
        <v>1.5430156956063559E-2</v>
      </c>
      <c r="AA45">
        <f t="shared" si="42"/>
        <v>3.7542376578445337E-3</v>
      </c>
      <c r="AB45">
        <f t="shared" si="43"/>
        <v>-2.5337309805595365E-6</v>
      </c>
      <c r="AC45">
        <f t="shared" si="44"/>
        <v>1.0438662444802232E-5</v>
      </c>
    </row>
    <row r="46" spans="1:29" ht="15">
      <c r="A46" s="131">
        <f t="shared" si="11"/>
        <v>31</v>
      </c>
      <c r="B46" s="101">
        <v>9.0899665000000002E-7</v>
      </c>
      <c r="C46" s="101">
        <v>3.8831197E-5</v>
      </c>
      <c r="D46" s="101">
        <v>8.0568476999999997E-5</v>
      </c>
      <c r="E46" s="101">
        <v>-2.6730334E-5</v>
      </c>
      <c r="F46" s="101">
        <v>1.6110082000000001E-5</v>
      </c>
      <c r="G46" s="101">
        <v>2.938513E-5</v>
      </c>
      <c r="H46" s="101">
        <v>-1.8188215000000001E-5</v>
      </c>
      <c r="I46" s="101">
        <v>3.9348949000000001E-4</v>
      </c>
      <c r="J46" s="101">
        <v>9.7622370999999999E-2</v>
      </c>
      <c r="K46" s="101">
        <v>2.2411442E-4</v>
      </c>
      <c r="L46" s="101">
        <v>47.977710000000002</v>
      </c>
      <c r="M46" s="101">
        <v>9.7838265999999993E-2</v>
      </c>
      <c r="N46" s="101">
        <v>1.6093196999999999E-3</v>
      </c>
      <c r="O46" s="101">
        <v>48.088931000000002</v>
      </c>
      <c r="P46" s="106">
        <f t="shared" si="31"/>
        <v>4.6604159281477893</v>
      </c>
      <c r="Q46" s="113">
        <f t="shared" si="32"/>
        <v>3.70741884E-4</v>
      </c>
      <c r="R46" s="113">
        <f t="shared" si="33"/>
        <v>-1.2878089000000001E-5</v>
      </c>
      <c r="S46" s="113">
        <f t="shared" si="34"/>
        <v>1.5093356245E-3</v>
      </c>
      <c r="T46" s="113">
        <f t="shared" si="35"/>
        <v>9.7602500903175002E-2</v>
      </c>
      <c r="U46" s="113">
        <f t="shared" si="36"/>
        <v>9.7818395903174996E-2</v>
      </c>
      <c r="V46" s="4">
        <f t="shared" si="37"/>
        <v>492.70183197155836</v>
      </c>
      <c r="W46" s="4">
        <f t="shared" si="38"/>
        <v>1.5464108096956575E-2</v>
      </c>
      <c r="X46" s="4">
        <f t="shared" si="39"/>
        <v>3.7984875445741758E-3</v>
      </c>
      <c r="Y46">
        <f t="shared" si="40"/>
        <v>-7.8057320500601879E-4</v>
      </c>
      <c r="Z46">
        <f t="shared" si="41"/>
        <v>1.5452037228536775E-2</v>
      </c>
      <c r="AA46">
        <f t="shared" si="42"/>
        <v>3.8014525421710189E-3</v>
      </c>
      <c r="AB46">
        <f t="shared" si="43"/>
        <v>-2.5698352080232351E-6</v>
      </c>
      <c r="AC46">
        <f t="shared" si="44"/>
        <v>1.0462113928740344E-5</v>
      </c>
    </row>
    <row r="47" spans="1:29" ht="15">
      <c r="A47" s="131">
        <f t="shared" si="11"/>
        <v>32</v>
      </c>
      <c r="B47" s="101">
        <v>4.0308324000000002E-6</v>
      </c>
      <c r="C47" s="101">
        <v>4.0807294000000002E-5</v>
      </c>
      <c r="D47" s="101">
        <v>8.4858883999999998E-5</v>
      </c>
      <c r="E47" s="101">
        <v>-1.1951983E-5</v>
      </c>
      <c r="F47" s="101">
        <v>1.9719177999999999E-5</v>
      </c>
      <c r="G47" s="101">
        <v>2.0623645999999999E-5</v>
      </c>
      <c r="H47" s="101">
        <v>-1.2069233E-5</v>
      </c>
      <c r="I47" s="101">
        <v>4.0091049999999999E-4</v>
      </c>
      <c r="J47" s="101">
        <v>9.8641089000000001E-2</v>
      </c>
      <c r="K47" s="101">
        <v>2.3332375999999999E-4</v>
      </c>
      <c r="L47" s="101">
        <v>48.479605999999997</v>
      </c>
      <c r="M47" s="101">
        <v>9.8782732999999998E-2</v>
      </c>
      <c r="N47" s="101">
        <v>1.6221108E-3</v>
      </c>
      <c r="O47" s="101">
        <v>48.542740999999999</v>
      </c>
      <c r="P47" s="106">
        <f t="shared" si="31"/>
        <v>4.8065633541377482</v>
      </c>
      <c r="Q47" s="113">
        <f t="shared" si="32"/>
        <v>3.8073908799999998E-4</v>
      </c>
      <c r="R47" s="113">
        <f t="shared" si="33"/>
        <v>-1.5952830500000001E-5</v>
      </c>
      <c r="S47" s="113">
        <f t="shared" si="34"/>
        <v>1.5168482690000001E-3</v>
      </c>
      <c r="T47" s="113">
        <f t="shared" si="35"/>
        <v>9.8618669936800005E-2</v>
      </c>
      <c r="U47" s="113">
        <f t="shared" si="36"/>
        <v>9.8760313936800001E-2</v>
      </c>
      <c r="V47" s="4">
        <f t="shared" si="37"/>
        <v>492.22668518150493</v>
      </c>
      <c r="W47" s="4">
        <f t="shared" si="38"/>
        <v>1.538094429758661E-2</v>
      </c>
      <c r="X47" s="4">
        <f t="shared" si="39"/>
        <v>3.8607201683413237E-3</v>
      </c>
      <c r="Y47">
        <f t="shared" si="40"/>
        <v>-4.5955977510610718E-4</v>
      </c>
      <c r="Z47">
        <f t="shared" si="41"/>
        <v>1.5373875834284291E-2</v>
      </c>
      <c r="AA47">
        <f t="shared" si="42"/>
        <v>3.862494400033634E-3</v>
      </c>
      <c r="AB47">
        <f t="shared" si="43"/>
        <v>-2.6144594787783681E-6</v>
      </c>
      <c r="AC47">
        <f t="shared" si="44"/>
        <v>1.0415894925807067E-5</v>
      </c>
    </row>
    <row r="48" spans="1:29" ht="15">
      <c r="A48" s="131">
        <f t="shared" si="11"/>
        <v>33</v>
      </c>
      <c r="B48" s="101">
        <v>-5.3493014999999997E-6</v>
      </c>
      <c r="C48" s="101">
        <v>6.2291083999999993E-5</v>
      </c>
      <c r="D48" s="101">
        <v>8.5581480999999995E-5</v>
      </c>
      <c r="E48" s="101">
        <v>-3.4593754000000002E-5</v>
      </c>
      <c r="F48" s="101">
        <v>1.7295713E-5</v>
      </c>
      <c r="G48" s="101">
        <v>3.5700371000000002E-5</v>
      </c>
      <c r="H48" s="101">
        <v>-2.6056114000000001E-5</v>
      </c>
      <c r="I48" s="101">
        <v>3.9309419999999999E-4</v>
      </c>
      <c r="J48" s="101">
        <v>9.9516936E-2</v>
      </c>
      <c r="K48" s="101">
        <v>2.1841345E-4</v>
      </c>
      <c r="L48" s="101">
        <v>48.907919</v>
      </c>
      <c r="M48" s="101">
        <v>9.9780695000000003E-2</v>
      </c>
      <c r="N48" s="101">
        <v>1.6434323999999999E-3</v>
      </c>
      <c r="O48" s="101">
        <v>49.040705000000003</v>
      </c>
      <c r="P48" s="106">
        <f t="shared" si="31"/>
        <v>4.4537175801204318</v>
      </c>
      <c r="Q48" s="113">
        <f t="shared" si="32"/>
        <v>3.6659615799999998E-4</v>
      </c>
      <c r="R48" s="113">
        <f t="shared" si="33"/>
        <v>-1.74070935E-5</v>
      </c>
      <c r="S48" s="113">
        <f t="shared" si="34"/>
        <v>1.526705377E-3</v>
      </c>
      <c r="T48" s="113">
        <f t="shared" si="35"/>
        <v>9.9488465108750007E-2</v>
      </c>
      <c r="U48" s="113">
        <f t="shared" si="36"/>
        <v>9.9752224108750009E-2</v>
      </c>
      <c r="V48" s="4">
        <f t="shared" si="37"/>
        <v>492.9285515300092</v>
      </c>
      <c r="W48" s="4">
        <f t="shared" si="38"/>
        <v>1.5345551620795145E-2</v>
      </c>
      <c r="X48" s="4">
        <f t="shared" si="39"/>
        <v>3.6848106722651396E-3</v>
      </c>
      <c r="Y48">
        <f t="shared" si="40"/>
        <v>-9.3352887110383542E-4</v>
      </c>
      <c r="Z48">
        <f t="shared" si="41"/>
        <v>1.5331226105314118E-2</v>
      </c>
      <c r="AA48">
        <f t="shared" si="42"/>
        <v>3.6882505494122506E-3</v>
      </c>
      <c r="AB48">
        <f t="shared" si="43"/>
        <v>-2.4917814565131826E-6</v>
      </c>
      <c r="AC48">
        <f t="shared" si="44"/>
        <v>1.037713043344979E-5</v>
      </c>
    </row>
    <row r="49" spans="1:29" ht="15">
      <c r="A49" s="131">
        <f t="shared" si="11"/>
        <v>34</v>
      </c>
      <c r="B49" s="101">
        <v>-1.5982454999999998E-5</v>
      </c>
      <c r="C49" s="101">
        <v>4.8659524999999999E-5</v>
      </c>
      <c r="D49" s="101">
        <v>8.9224579999999998E-5</v>
      </c>
      <c r="E49" s="101">
        <v>-2.1900859E-5</v>
      </c>
      <c r="F49" s="101">
        <v>3.4573278999999999E-5</v>
      </c>
      <c r="G49" s="101">
        <v>3.5670261999999999E-5</v>
      </c>
      <c r="H49" s="101">
        <v>-1.7609295000000001E-5</v>
      </c>
      <c r="I49" s="101">
        <v>4.0094033E-4</v>
      </c>
      <c r="J49" s="101">
        <v>0.10047109</v>
      </c>
      <c r="K49" s="101">
        <v>2.2726459E-4</v>
      </c>
      <c r="L49" s="101">
        <v>49.391547000000003</v>
      </c>
      <c r="M49" s="101">
        <v>0.10073078000000001</v>
      </c>
      <c r="N49" s="101">
        <v>1.630435E-3</v>
      </c>
      <c r="O49" s="101">
        <v>49.505696999999998</v>
      </c>
      <c r="P49" s="106">
        <f t="shared" si="31"/>
        <v>4.5906754933679652</v>
      </c>
      <c r="Q49" s="113">
        <f t="shared" si="32"/>
        <v>3.658185595E-4</v>
      </c>
      <c r="R49" s="113">
        <f t="shared" si="33"/>
        <v>-2.3945505E-5</v>
      </c>
      <c r="S49" s="113">
        <f t="shared" si="34"/>
        <v>1.5168806574999999E-3</v>
      </c>
      <c r="T49" s="113">
        <f t="shared" si="35"/>
        <v>0.10045475146500001</v>
      </c>
      <c r="U49" s="113">
        <f t="shared" si="36"/>
        <v>0.10071444146500001</v>
      </c>
      <c r="V49" s="4">
        <f t="shared" si="37"/>
        <v>492.81588255433144</v>
      </c>
      <c r="W49" s="4">
        <f t="shared" si="38"/>
        <v>1.5100138474072126E-2</v>
      </c>
      <c r="X49" s="4">
        <f t="shared" si="39"/>
        <v>3.6416252508220765E-3</v>
      </c>
      <c r="Y49">
        <f t="shared" si="40"/>
        <v>-8.5753467771435921E-4</v>
      </c>
      <c r="Z49">
        <f t="shared" si="41"/>
        <v>1.508718958169232E-2</v>
      </c>
      <c r="AA49">
        <f t="shared" si="42"/>
        <v>3.6447480707578971E-3</v>
      </c>
      <c r="AB49">
        <f t="shared" si="43"/>
        <v>-2.4631411579425565E-6</v>
      </c>
      <c r="AC49">
        <f t="shared" si="44"/>
        <v>1.0213509080244509E-5</v>
      </c>
    </row>
    <row r="50" spans="1:29" ht="15">
      <c r="A50" s="131">
        <f t="shared" si="11"/>
        <v>35</v>
      </c>
      <c r="B50" s="101">
        <v>-1.275075E-5</v>
      </c>
      <c r="C50" s="101">
        <v>5.1239663999999998E-5</v>
      </c>
      <c r="D50" s="101">
        <v>1.0170455E-4</v>
      </c>
      <c r="E50" s="101">
        <v>-2.2179342000000001E-5</v>
      </c>
      <c r="F50" s="101">
        <v>9.8836767000000005E-6</v>
      </c>
      <c r="G50" s="101">
        <v>1.85763E-5</v>
      </c>
      <c r="H50" s="101">
        <v>-1.0720854E-5</v>
      </c>
      <c r="I50" s="101">
        <v>4.0317783E-4</v>
      </c>
      <c r="J50" s="101">
        <v>0.10140275999999999</v>
      </c>
      <c r="K50" s="101">
        <v>2.2454564999999999E-4</v>
      </c>
      <c r="L50" s="101">
        <v>49.837972999999998</v>
      </c>
      <c r="M50" s="101">
        <v>0.10157848999999999</v>
      </c>
      <c r="N50" s="101">
        <v>1.6699181999999999E-3</v>
      </c>
      <c r="O50" s="101">
        <v>49.918425999999997</v>
      </c>
      <c r="P50" s="106">
        <f t="shared" si="31"/>
        <v>4.4982518078594866</v>
      </c>
      <c r="Q50" s="113">
        <f t="shared" si="32"/>
        <v>3.8894784165000002E-4</v>
      </c>
      <c r="R50" s="113">
        <f t="shared" si="33"/>
        <v>-4.5730213499999998E-6</v>
      </c>
      <c r="S50" s="113">
        <f t="shared" si="34"/>
        <v>1.5425938179999999E-3</v>
      </c>
      <c r="T50" s="113">
        <f t="shared" si="35"/>
        <v>0.101383515543</v>
      </c>
      <c r="U50" s="113">
        <f t="shared" si="36"/>
        <v>0.101559245543</v>
      </c>
      <c r="V50" s="4">
        <f t="shared" si="37"/>
        <v>492.37221389139927</v>
      </c>
      <c r="W50" s="4">
        <f t="shared" si="38"/>
        <v>1.5215430336362091E-2</v>
      </c>
      <c r="X50" s="4">
        <f t="shared" si="39"/>
        <v>3.8364012094750724E-3</v>
      </c>
      <c r="Y50">
        <f t="shared" si="40"/>
        <v>-5.5794609638271098E-4</v>
      </c>
      <c r="Z50">
        <f t="shared" si="41"/>
        <v>1.5206940946401135E-2</v>
      </c>
      <c r="AA50">
        <f t="shared" si="42"/>
        <v>3.838541714554057E-3</v>
      </c>
      <c r="AB50">
        <f t="shared" si="43"/>
        <v>-2.5972229282630025E-6</v>
      </c>
      <c r="AC50">
        <f t="shared" si="44"/>
        <v>1.0300764277570237E-5</v>
      </c>
    </row>
    <row r="51" spans="1:29" ht="15">
      <c r="A51" s="131">
        <f t="shared" si="11"/>
        <v>36</v>
      </c>
      <c r="B51" s="101">
        <v>5.3688588E-5</v>
      </c>
      <c r="C51" s="101">
        <v>-7.2519981000000001E-7</v>
      </c>
      <c r="D51" s="101">
        <v>1.0194894000000001E-4</v>
      </c>
      <c r="E51" s="101">
        <v>3.1651089000000003E-5</v>
      </c>
      <c r="F51" s="101">
        <v>-2.7045457999999999E-5</v>
      </c>
      <c r="G51" s="101">
        <v>2.2709367999999999E-5</v>
      </c>
      <c r="H51" s="101">
        <v>2.3719817999999999E-5</v>
      </c>
      <c r="I51" s="101">
        <v>3.6116201000000001E-4</v>
      </c>
      <c r="J51" s="101">
        <v>0.10132399</v>
      </c>
      <c r="K51" s="101">
        <v>1.8235387999999999E-4</v>
      </c>
      <c r="L51" s="101">
        <v>49.790928000000001</v>
      </c>
      <c r="M51" s="101">
        <v>0.10130333</v>
      </c>
      <c r="N51" s="101">
        <v>1.6790455000000001E-3</v>
      </c>
      <c r="O51" s="101">
        <v>49.803246000000001</v>
      </c>
      <c r="P51" s="106">
        <f t="shared" si="31"/>
        <v>3.6614858396980789</v>
      </c>
      <c r="Q51" s="113">
        <f t="shared" si="32"/>
        <v>3.6333005500000003E-4</v>
      </c>
      <c r="R51" s="113">
        <f t="shared" si="33"/>
        <v>2.1417002499999999E-5</v>
      </c>
      <c r="S51" s="113">
        <f t="shared" si="34"/>
        <v>1.5774591599050001E-3</v>
      </c>
      <c r="T51" s="113">
        <f t="shared" si="35"/>
        <v>0.101297508305905</v>
      </c>
      <c r="U51" s="113">
        <f t="shared" si="36"/>
        <v>0.101276848305905</v>
      </c>
      <c r="V51" s="4">
        <f t="shared" si="37"/>
        <v>491.65321865174434</v>
      </c>
      <c r="W51" s="4">
        <f t="shared" si="38"/>
        <v>1.5572536642671241E-2</v>
      </c>
      <c r="X51" s="4">
        <f t="shared" si="39"/>
        <v>3.5867620149430683E-3</v>
      </c>
      <c r="Y51">
        <f t="shared" si="40"/>
        <v>-7.1294305606632108E-5</v>
      </c>
      <c r="Z51">
        <f t="shared" si="41"/>
        <v>1.5571426409484768E-2</v>
      </c>
      <c r="AA51">
        <f t="shared" si="42"/>
        <v>3.5870177306503003E-3</v>
      </c>
      <c r="AB51">
        <f t="shared" si="43"/>
        <v>-2.4317695744838266E-6</v>
      </c>
      <c r="AC51">
        <f t="shared" si="44"/>
        <v>1.0557940740817041E-5</v>
      </c>
    </row>
    <row r="52" spans="1:29" ht="15">
      <c r="A52" s="131">
        <f t="shared" si="11"/>
        <v>37</v>
      </c>
      <c r="B52" s="101">
        <v>1.2360937999999999E-5</v>
      </c>
      <c r="C52" s="101">
        <v>-3.6931281000000001E-6</v>
      </c>
      <c r="D52" s="101">
        <v>9.4819657000000005E-5</v>
      </c>
      <c r="E52" s="101">
        <v>5.7110615999999999E-6</v>
      </c>
      <c r="F52" s="101">
        <v>-1.9595209E-5</v>
      </c>
      <c r="G52" s="101">
        <v>4.0039225999999999E-5</v>
      </c>
      <c r="H52" s="101">
        <v>-1.4871611E-5</v>
      </c>
      <c r="I52" s="101">
        <v>3.4255962E-4</v>
      </c>
      <c r="J52" s="101">
        <v>9.7642048999999995E-2</v>
      </c>
      <c r="K52" s="101">
        <v>1.8384438000000001E-4</v>
      </c>
      <c r="L52" s="101">
        <v>47.985863999999999</v>
      </c>
      <c r="M52" s="101">
        <v>9.7629876000000004E-2</v>
      </c>
      <c r="N52" s="101">
        <v>1.6076918999999999E-3</v>
      </c>
      <c r="O52" s="101">
        <v>48.013333000000003</v>
      </c>
      <c r="P52" s="106">
        <f t="shared" si="31"/>
        <v>3.829027657796638</v>
      </c>
      <c r="Q52" s="113">
        <f t="shared" si="32"/>
        <v>3.3233761149999998E-4</v>
      </c>
      <c r="R52" s="113">
        <f t="shared" si="33"/>
        <v>-7.9295373000000003E-6</v>
      </c>
      <c r="S52" s="113">
        <f t="shared" si="34"/>
        <v>1.5147188070499999E-3</v>
      </c>
      <c r="T52" s="113">
        <f t="shared" si="35"/>
        <v>9.7637715095049996E-2</v>
      </c>
      <c r="U52" s="113">
        <f t="shared" si="36"/>
        <v>9.7625542095050005E-2</v>
      </c>
      <c r="V52" s="4">
        <f t="shared" si="37"/>
        <v>491.74986277852958</v>
      </c>
      <c r="W52" s="4">
        <f t="shared" si="38"/>
        <v>1.5513665037894692E-2</v>
      </c>
      <c r="X52" s="4">
        <f t="shared" si="39"/>
        <v>3.4037831710468686E-3</v>
      </c>
      <c r="Y52">
        <f t="shared" si="40"/>
        <v>-1.367906507820186E-4</v>
      </c>
      <c r="Z52">
        <f t="shared" si="41"/>
        <v>1.5511542913558145E-2</v>
      </c>
      <c r="AA52">
        <f t="shared" si="42"/>
        <v>3.4042487767619572E-3</v>
      </c>
      <c r="AB52">
        <f t="shared" si="43"/>
        <v>-2.3072591905530349E-6</v>
      </c>
      <c r="AC52">
        <f t="shared" si="44"/>
        <v>1.0515959577658703E-5</v>
      </c>
    </row>
    <row r="53" spans="1:29" ht="15">
      <c r="A53" s="131">
        <f t="shared" si="11"/>
        <v>38</v>
      </c>
      <c r="B53" s="101">
        <v>-5.9148070999999996E-6</v>
      </c>
      <c r="C53" s="101">
        <v>1.3191206E-5</v>
      </c>
      <c r="D53" s="101">
        <v>1.0221741E-4</v>
      </c>
      <c r="E53" s="101">
        <v>-8.2294096000000005E-6</v>
      </c>
      <c r="F53" s="101">
        <v>2.6164783999999998E-6</v>
      </c>
      <c r="G53" s="101">
        <v>4.3969059E-5</v>
      </c>
      <c r="H53" s="101">
        <v>-1.3838717999999999E-5</v>
      </c>
      <c r="I53" s="101">
        <v>3.4738242999999999E-4</v>
      </c>
      <c r="J53" s="101">
        <v>9.7538605E-2</v>
      </c>
      <c r="K53" s="101">
        <v>1.9077748999999999E-4</v>
      </c>
      <c r="L53" s="101">
        <v>47.937331</v>
      </c>
      <c r="M53" s="101">
        <v>9.7434337999999995E-2</v>
      </c>
      <c r="N53" s="101">
        <v>1.6025127E-3</v>
      </c>
      <c r="O53" s="101">
        <v>47.916950999999997</v>
      </c>
      <c r="P53" s="106">
        <f t="shared" si="31"/>
        <v>3.9814196441672598</v>
      </c>
      <c r="Q53" s="113">
        <f t="shared" si="32"/>
        <v>3.2408966130000001E-4</v>
      </c>
      <c r="R53" s="113">
        <f t="shared" si="33"/>
        <v>-1.10322524E-5</v>
      </c>
      <c r="S53" s="113">
        <f t="shared" si="34"/>
        <v>1.4936996869999999E-3</v>
      </c>
      <c r="T53" s="113">
        <f t="shared" si="35"/>
        <v>9.7534966800550002E-2</v>
      </c>
      <c r="U53" s="113">
        <f t="shared" si="36"/>
        <v>9.7430699800549997E-2</v>
      </c>
      <c r="V53" s="4">
        <f t="shared" si="37"/>
        <v>491.27971815467714</v>
      </c>
      <c r="W53" s="4">
        <f t="shared" si="38"/>
        <v>1.5314504490010006E-2</v>
      </c>
      <c r="X53" s="4">
        <f t="shared" si="39"/>
        <v>3.3228048558496303E-3</v>
      </c>
      <c r="Y53">
        <f t="shared" si="40"/>
        <v>1.8207161330008326E-4</v>
      </c>
      <c r="Z53">
        <f t="shared" si="41"/>
        <v>1.5317292826549393E-2</v>
      </c>
      <c r="AA53">
        <f t="shared" si="42"/>
        <v>3.3221998674088445E-3</v>
      </c>
      <c r="AB53">
        <f t="shared" si="43"/>
        <v>-2.2545233961150829E-6</v>
      </c>
      <c r="AC53">
        <f t="shared" si="44"/>
        <v>1.0390892685694185E-5</v>
      </c>
    </row>
    <row r="54" spans="1:29" ht="15">
      <c r="A54" s="131">
        <f t="shared" si="11"/>
        <v>39</v>
      </c>
      <c r="B54" s="101">
        <v>-3.1855296E-6</v>
      </c>
      <c r="C54" s="101">
        <v>-1.7951207000000001E-6</v>
      </c>
      <c r="D54" s="101">
        <v>8.0158550999999994E-5</v>
      </c>
      <c r="E54" s="101">
        <v>-9.6543577000000006E-6</v>
      </c>
      <c r="F54" s="101">
        <v>-3.3274637999999999E-5</v>
      </c>
      <c r="G54" s="101">
        <v>2.2455834999999998E-5</v>
      </c>
      <c r="H54" s="101">
        <v>-7.3171401999999999E-6</v>
      </c>
      <c r="I54" s="101">
        <v>3.3525215999999998E-4</v>
      </c>
      <c r="J54" s="101">
        <v>9.7415712000000002E-2</v>
      </c>
      <c r="K54" s="101">
        <v>1.88075E-4</v>
      </c>
      <c r="L54" s="101">
        <v>47.879955000000002</v>
      </c>
      <c r="M54" s="101">
        <v>9.7324430000000003E-2</v>
      </c>
      <c r="N54" s="101">
        <v>1.5912289E-3</v>
      </c>
      <c r="O54" s="101">
        <v>47.858449999999998</v>
      </c>
      <c r="P54" s="106">
        <f t="shared" si="31"/>
        <v>3.9298180363133368</v>
      </c>
      <c r="Q54" s="113">
        <f t="shared" si="32"/>
        <v>3.406615615E-4</v>
      </c>
      <c r="R54" s="113">
        <f t="shared" si="33"/>
        <v>1.4147357649999997E-5</v>
      </c>
      <c r="S54" s="113">
        <f t="shared" si="34"/>
        <v>1.5119679093499999E-3</v>
      </c>
      <c r="T54" s="113">
        <f t="shared" si="35"/>
        <v>9.741820232515E-2</v>
      </c>
      <c r="U54" s="113">
        <f t="shared" si="36"/>
        <v>9.7326920325150001E-2</v>
      </c>
      <c r="V54" s="4">
        <f t="shared" si="37"/>
        <v>491.2680470151173</v>
      </c>
      <c r="W54" s="4">
        <f t="shared" si="38"/>
        <v>1.552038400691841E-2</v>
      </c>
      <c r="X54" s="4">
        <f t="shared" si="39"/>
        <v>3.496898458082643E-3</v>
      </c>
      <c r="Y54">
        <f t="shared" si="40"/>
        <v>1.8999499618677085E-4</v>
      </c>
      <c r="Z54">
        <f t="shared" si="41"/>
        <v>1.5523332802218622E-2</v>
      </c>
      <c r="AA54">
        <f t="shared" si="42"/>
        <v>3.4962340648734343E-3</v>
      </c>
      <c r="AB54">
        <f t="shared" si="43"/>
        <v>-2.3727022883802822E-6</v>
      </c>
      <c r="AC54">
        <f t="shared" si="44"/>
        <v>1.0530832133440732E-5</v>
      </c>
    </row>
    <row r="55" spans="1:29" ht="15">
      <c r="A55" s="131">
        <f t="shared" si="11"/>
        <v>40</v>
      </c>
      <c r="B55" s="101">
        <v>4.2333173000000003E-6</v>
      </c>
      <c r="C55" s="101">
        <v>-9.4823947000000007E-6</v>
      </c>
      <c r="D55" s="101">
        <v>8.8570390000000001E-5</v>
      </c>
      <c r="E55" s="101">
        <v>-2.3398595E-5</v>
      </c>
      <c r="F55" s="101">
        <v>-1.4296987E-5</v>
      </c>
      <c r="G55" s="101">
        <v>4.3819919000000002E-5</v>
      </c>
      <c r="H55" s="101">
        <v>-3.4760257000000002E-5</v>
      </c>
      <c r="I55" s="101">
        <v>3.3235888E-4</v>
      </c>
      <c r="J55" s="101">
        <v>9.7234378999999996E-2</v>
      </c>
      <c r="K55" s="101">
        <v>2.0416012999999999E-4</v>
      </c>
      <c r="L55" s="101">
        <v>47.794603000000002</v>
      </c>
      <c r="M55" s="101">
        <v>9.7108878999999995E-2</v>
      </c>
      <c r="N55" s="101">
        <v>1.58902E-3</v>
      </c>
      <c r="O55" s="101">
        <v>47.763109</v>
      </c>
      <c r="P55" s="106">
        <f t="shared" si="31"/>
        <v>4.2744313398861866</v>
      </c>
      <c r="Q55" s="113">
        <f t="shared" si="32"/>
        <v>3.17597414E-4</v>
      </c>
      <c r="R55" s="113">
        <f t="shared" si="33"/>
        <v>-1.5912466000000001E-5</v>
      </c>
      <c r="S55" s="113">
        <f t="shared" si="34"/>
        <v>1.50519080735E-3</v>
      </c>
      <c r="T55" s="113">
        <f t="shared" si="35"/>
        <v>9.723700353869999E-2</v>
      </c>
      <c r="U55" s="113">
        <f t="shared" si="36"/>
        <v>9.7111503538699989E-2</v>
      </c>
      <c r="V55" s="4">
        <f t="shared" si="37"/>
        <v>491.20301183479444</v>
      </c>
      <c r="W55" s="4">
        <f t="shared" si="38"/>
        <v>1.5479609125870887E-2</v>
      </c>
      <c r="X55" s="4">
        <f t="shared" si="39"/>
        <v>3.2662196740112148E-3</v>
      </c>
      <c r="Y55">
        <f t="shared" si="40"/>
        <v>2.3415341801473014E-4</v>
      </c>
      <c r="Z55">
        <f t="shared" si="41"/>
        <v>1.5483233729257242E-2</v>
      </c>
      <c r="AA55">
        <f t="shared" si="42"/>
        <v>3.2654548775105582E-3</v>
      </c>
      <c r="AB55">
        <f t="shared" si="43"/>
        <v>-2.2164764162790714E-6</v>
      </c>
      <c r="AC55">
        <f t="shared" si="44"/>
        <v>1.0504556332726721E-5</v>
      </c>
    </row>
    <row r="56" spans="1:29" ht="15">
      <c r="A56" s="131">
        <f t="shared" si="11"/>
        <v>41</v>
      </c>
      <c r="B56" s="101">
        <v>-1.6833156999999999E-5</v>
      </c>
      <c r="C56" s="101">
        <v>3.3614892E-5</v>
      </c>
      <c r="D56" s="101">
        <v>7.6663238000000006E-5</v>
      </c>
      <c r="E56" s="101">
        <v>-2.1883228000000001E-5</v>
      </c>
      <c r="F56" s="101">
        <v>4.7186936000000001E-7</v>
      </c>
      <c r="G56" s="101">
        <v>2.5863546999999999E-5</v>
      </c>
      <c r="H56" s="101">
        <v>-1.2499282999999999E-5</v>
      </c>
      <c r="I56" s="101">
        <v>3.5574210999999998E-4</v>
      </c>
      <c r="J56" s="101">
        <v>9.4520315999999993E-2</v>
      </c>
      <c r="K56" s="101">
        <v>2.3389493E-4</v>
      </c>
      <c r="L56" s="101">
        <v>46.448872999999999</v>
      </c>
      <c r="M56" s="101">
        <v>9.4458162999999998E-2</v>
      </c>
      <c r="N56" s="101">
        <v>1.5509566E-3</v>
      </c>
      <c r="O56" s="101">
        <v>46.429471999999997</v>
      </c>
      <c r="P56" s="106">
        <f t="shared" si="31"/>
        <v>5.037639239145344</v>
      </c>
      <c r="Q56" s="113">
        <f t="shared" si="32"/>
        <v>3.4257440181999997E-4</v>
      </c>
      <c r="R56" s="113">
        <f t="shared" si="33"/>
        <v>-1.793603679999999E-6</v>
      </c>
      <c r="S56" s="113">
        <f t="shared" si="34"/>
        <v>1.4574859159999999E-3</v>
      </c>
      <c r="T56" s="113">
        <f t="shared" si="35"/>
        <v>9.4511925132499994E-2</v>
      </c>
      <c r="U56" s="113">
        <f t="shared" si="36"/>
        <v>9.4449772132499998E-2</v>
      </c>
      <c r="V56" s="4">
        <f t="shared" si="37"/>
        <v>491.25517160833078</v>
      </c>
      <c r="W56" s="4">
        <f t="shared" si="38"/>
        <v>1.5421185357897355E-2</v>
      </c>
      <c r="X56" s="4">
        <f t="shared" si="39"/>
        <v>3.6246685414536993E-3</v>
      </c>
      <c r="Y56">
        <f t="shared" si="40"/>
        <v>1.9873637698678928E-4</v>
      </c>
      <c r="Z56">
        <f t="shared" si="41"/>
        <v>1.5424250108404225E-2</v>
      </c>
      <c r="AA56">
        <f t="shared" si="42"/>
        <v>3.6239481879599932E-3</v>
      </c>
      <c r="AB56">
        <f t="shared" si="43"/>
        <v>-2.4594608199148449E-6</v>
      </c>
      <c r="AC56">
        <f t="shared" si="44"/>
        <v>1.0463798482710867E-5</v>
      </c>
    </row>
    <row r="57" spans="1:29" ht="15">
      <c r="A57" s="131">
        <f t="shared" si="11"/>
        <v>42</v>
      </c>
      <c r="B57" s="101">
        <v>-1.5386097999999999E-5</v>
      </c>
      <c r="C57" s="101">
        <v>4.8550717999999998E-5</v>
      </c>
      <c r="D57" s="101">
        <v>8.5501421000000005E-5</v>
      </c>
      <c r="E57" s="101">
        <v>-1.5210697E-5</v>
      </c>
      <c r="F57" s="101">
        <v>4.3998188000000002E-6</v>
      </c>
      <c r="G57" s="101">
        <v>2.2788479999999999E-5</v>
      </c>
      <c r="H57" s="101">
        <v>-3.1091684000000002E-5</v>
      </c>
      <c r="I57" s="101">
        <v>3.5435465999999999E-4</v>
      </c>
      <c r="J57" s="101">
        <v>9.4335199999999994E-2</v>
      </c>
      <c r="K57" s="101">
        <v>2.1110346999999999E-4</v>
      </c>
      <c r="L57" s="101">
        <v>46.355829999999997</v>
      </c>
      <c r="M57" s="101">
        <v>9.4214054000000005E-2</v>
      </c>
      <c r="N57" s="101">
        <v>1.5519467E-3</v>
      </c>
      <c r="O57" s="101">
        <v>46.322141999999999</v>
      </c>
      <c r="P57" s="106">
        <f t="shared" si="31"/>
        <v>4.5572907660444537</v>
      </c>
      <c r="Q57" s="113">
        <f t="shared" si="32"/>
        <v>3.4076051060000001E-4</v>
      </c>
      <c r="R57" s="113">
        <f t="shared" si="33"/>
        <v>-2.5686244900000003E-5</v>
      </c>
      <c r="S57" s="113">
        <f t="shared" si="34"/>
        <v>1.4421699200000001E-3</v>
      </c>
      <c r="T57" s="113">
        <f t="shared" si="35"/>
        <v>9.4318617689999995E-2</v>
      </c>
      <c r="U57" s="113">
        <f t="shared" si="36"/>
        <v>9.4197471690000006E-2</v>
      </c>
      <c r="V57" s="4">
        <f t="shared" si="37"/>
        <v>491.12405519182289</v>
      </c>
      <c r="W57" s="4">
        <f t="shared" si="38"/>
        <v>1.5290405598818528E-2</v>
      </c>
      <c r="X57" s="4">
        <f t="shared" si="39"/>
        <v>3.6128658259177251E-3</v>
      </c>
      <c r="Y57">
        <f t="shared" si="40"/>
        <v>2.8778013142842041E-4</v>
      </c>
      <c r="Z57">
        <f t="shared" si="41"/>
        <v>1.5294805873751351E-2</v>
      </c>
      <c r="AA57">
        <f t="shared" si="42"/>
        <v>3.6118261149155092E-3</v>
      </c>
      <c r="AB57">
        <f t="shared" si="43"/>
        <v>-2.4521067455530587E-6</v>
      </c>
      <c r="AC57">
        <f t="shared" si="44"/>
        <v>1.0377829822003195E-5</v>
      </c>
    </row>
    <row r="58" spans="1:29" ht="15">
      <c r="A58" s="131">
        <f t="shared" si="11"/>
        <v>43</v>
      </c>
      <c r="B58" s="101">
        <v>-4.5330916999999998E-6</v>
      </c>
      <c r="C58" s="101">
        <v>2.6995248E-5</v>
      </c>
      <c r="D58" s="101">
        <v>9.2331646000000001E-5</v>
      </c>
      <c r="E58" s="101">
        <v>-1.8777180999999998E-5</v>
      </c>
      <c r="F58" s="101">
        <v>1.0612192E-5</v>
      </c>
      <c r="G58" s="101">
        <v>1.6984315E-5</v>
      </c>
      <c r="H58" s="101">
        <v>-2.7269454000000001E-5</v>
      </c>
      <c r="I58" s="101">
        <v>3.5805705999999998E-4</v>
      </c>
      <c r="J58" s="101">
        <v>9.3982015000000002E-2</v>
      </c>
      <c r="K58" s="101">
        <v>2.1303506000000001E-4</v>
      </c>
      <c r="L58" s="101">
        <v>46.207836</v>
      </c>
      <c r="M58" s="101">
        <v>9.4006714000000005E-2</v>
      </c>
      <c r="N58" s="101">
        <v>1.549349E-3</v>
      </c>
      <c r="O58" s="101">
        <v>46.206260999999998</v>
      </c>
      <c r="P58" s="106">
        <f t="shared" si="31"/>
        <v>4.6105236690759295</v>
      </c>
      <c r="Q58" s="113">
        <f t="shared" si="32"/>
        <v>3.4425880649999999E-4</v>
      </c>
      <c r="R58" s="113">
        <f t="shared" si="33"/>
        <v>-2.3186959500000003E-5</v>
      </c>
      <c r="S58" s="113">
        <f t="shared" si="34"/>
        <v>1.44351973E-3</v>
      </c>
      <c r="T58" s="113">
        <f t="shared" si="35"/>
        <v>9.3970783921850001E-2</v>
      </c>
      <c r="U58" s="113">
        <f t="shared" si="36"/>
        <v>9.3995482921850004E-2</v>
      </c>
      <c r="V58" s="4">
        <f t="shared" si="37"/>
        <v>491.70879577238645</v>
      </c>
      <c r="W58" s="4">
        <f t="shared" si="38"/>
        <v>1.536136732881244E-2</v>
      </c>
      <c r="X58" s="4">
        <f t="shared" si="39"/>
        <v>3.663466368294851E-3</v>
      </c>
      <c r="Y58">
        <f t="shared" si="40"/>
        <v>-1.0896242280877821E-4</v>
      </c>
      <c r="Z58">
        <f t="shared" si="41"/>
        <v>1.5359693517010636E-2</v>
      </c>
      <c r="AA58">
        <f t="shared" si="42"/>
        <v>3.6638655484662187E-3</v>
      </c>
      <c r="AB58">
        <f t="shared" si="43"/>
        <v>-2.4834932110174422E-6</v>
      </c>
      <c r="AC58">
        <f t="shared" si="44"/>
        <v>1.0413594022103052E-5</v>
      </c>
    </row>
    <row r="59" spans="1:29" ht="15">
      <c r="A59" s="131">
        <f t="shared" si="11"/>
        <v>44</v>
      </c>
      <c r="B59" s="101">
        <v>-1.97565E-5</v>
      </c>
      <c r="C59" s="101">
        <v>1.8830074999999999E-5</v>
      </c>
      <c r="D59" s="101">
        <v>7.8832469000000003E-5</v>
      </c>
      <c r="E59" s="101">
        <v>-2.0808901999999999E-5</v>
      </c>
      <c r="F59" s="101">
        <v>-7.8891085000000003E-6</v>
      </c>
      <c r="G59" s="101">
        <v>1.9637224000000001E-5</v>
      </c>
      <c r="H59" s="101">
        <v>-2.418535E-5</v>
      </c>
      <c r="I59" s="101">
        <v>3.6606516000000001E-4</v>
      </c>
      <c r="J59" s="101">
        <v>9.3883018999999998E-2</v>
      </c>
      <c r="K59" s="101">
        <v>2.1457137999999999E-4</v>
      </c>
      <c r="L59" s="101">
        <v>46.146178999999997</v>
      </c>
      <c r="M59" s="101">
        <v>9.3794035999999997E-2</v>
      </c>
      <c r="N59" s="101">
        <v>1.5317983999999999E-3</v>
      </c>
      <c r="O59" s="101">
        <v>46.109157000000003</v>
      </c>
      <c r="P59" s="106">
        <f t="shared" si="31"/>
        <v>4.6535524386186449</v>
      </c>
      <c r="Q59" s="113">
        <f t="shared" si="32"/>
        <v>3.6019110225000002E-4</v>
      </c>
      <c r="R59" s="113">
        <f t="shared" si="33"/>
        <v>-9.8363447500000001E-6</v>
      </c>
      <c r="S59" s="113">
        <f t="shared" si="34"/>
        <v>1.4435508934999999E-3</v>
      </c>
      <c r="T59" s="113">
        <f t="shared" si="35"/>
        <v>9.3883482212499994E-2</v>
      </c>
      <c r="U59" s="113">
        <f t="shared" si="36"/>
        <v>9.3794499212499993E-2</v>
      </c>
      <c r="V59" s="4">
        <f t="shared" si="37"/>
        <v>491.13172960110825</v>
      </c>
      <c r="W59" s="4">
        <f t="shared" si="38"/>
        <v>1.5375983713861438E-2</v>
      </c>
      <c r="X59" s="4">
        <f t="shared" si="39"/>
        <v>3.8365758678904523E-3</v>
      </c>
      <c r="Y59">
        <f t="shared" si="40"/>
        <v>2.8256697818126081E-4</v>
      </c>
      <c r="Z59">
        <f t="shared" si="41"/>
        <v>1.5380328459116027E-2</v>
      </c>
      <c r="AA59">
        <f t="shared" si="42"/>
        <v>3.8354917782408991E-3</v>
      </c>
      <c r="AB59">
        <f t="shared" si="43"/>
        <v>-2.6039014495537184E-6</v>
      </c>
      <c r="AC59">
        <f t="shared" si="44"/>
        <v>1.0435749913334278E-5</v>
      </c>
    </row>
    <row r="60" spans="1:29" ht="15">
      <c r="A60" s="131">
        <f t="shared" si="11"/>
        <v>45</v>
      </c>
      <c r="B60" s="101">
        <v>-1.1066835E-5</v>
      </c>
      <c r="C60" s="101">
        <v>5.4496268999999997E-5</v>
      </c>
      <c r="D60" s="101">
        <v>9.9323149999999994E-5</v>
      </c>
      <c r="E60" s="101">
        <v>-2.9907743999999999E-5</v>
      </c>
      <c r="F60" s="101">
        <v>9.4435996000000008E-6</v>
      </c>
      <c r="G60" s="101">
        <v>2.7321839999999999E-5</v>
      </c>
      <c r="H60" s="101">
        <v>-1.2301956E-5</v>
      </c>
      <c r="I60" s="101">
        <v>3.4864649999999999E-4</v>
      </c>
      <c r="J60" s="101">
        <v>9.3798340999999993E-2</v>
      </c>
      <c r="K60" s="101">
        <v>2.0169915999999999E-4</v>
      </c>
      <c r="L60" s="101">
        <v>46.109730999999996</v>
      </c>
      <c r="M60" s="101">
        <v>9.3729791000000007E-2</v>
      </c>
      <c r="N60" s="101">
        <v>1.5472954000000001E-3</v>
      </c>
      <c r="O60" s="101">
        <v>46.070644999999999</v>
      </c>
      <c r="P60" s="106">
        <f t="shared" si="31"/>
        <v>4.3780407241965023</v>
      </c>
      <c r="Q60" s="113">
        <f t="shared" si="32"/>
        <v>3.302637802E-4</v>
      </c>
      <c r="R60" s="113">
        <f t="shared" si="33"/>
        <v>-2.0698838E-6</v>
      </c>
      <c r="S60" s="113">
        <f t="shared" si="34"/>
        <v>1.4207241155000001E-3</v>
      </c>
      <c r="T60" s="113">
        <f t="shared" si="35"/>
        <v>9.3776626283E-2</v>
      </c>
      <c r="U60" s="113">
        <f t="shared" si="36"/>
        <v>9.3708076283000014E-2</v>
      </c>
      <c r="V60" s="4">
        <f t="shared" si="37"/>
        <v>491.28068289605096</v>
      </c>
      <c r="W60" s="4">
        <f t="shared" si="38"/>
        <v>1.5150087733083139E-2</v>
      </c>
      <c r="X60" s="4">
        <f t="shared" si="39"/>
        <v>3.5218134122603942E-3</v>
      </c>
      <c r="Y60">
        <f t="shared" si="40"/>
        <v>1.8141667993683736E-4</v>
      </c>
      <c r="Z60">
        <f t="shared" si="41"/>
        <v>1.5152836211700426E-2</v>
      </c>
      <c r="AA60">
        <f t="shared" si="42"/>
        <v>3.5211744965637846E-3</v>
      </c>
      <c r="AB60">
        <f t="shared" si="43"/>
        <v>-2.3895460272660246E-6</v>
      </c>
      <c r="AC60">
        <f t="shared" si="44"/>
        <v>1.0279315715390283E-5</v>
      </c>
    </row>
    <row r="61" spans="1:29" ht="15">
      <c r="A61" s="131">
        <f t="shared" si="11"/>
        <v>46</v>
      </c>
      <c r="B61" s="101">
        <v>3.0028309E-5</v>
      </c>
      <c r="C61" s="101">
        <v>4.2809532999999998E-6</v>
      </c>
      <c r="D61" s="101">
        <v>7.0449318000000006E-5</v>
      </c>
      <c r="E61" s="101">
        <v>5.0228516000000004E-6</v>
      </c>
      <c r="F61" s="101">
        <v>-1.5839218000000002E-5</v>
      </c>
      <c r="G61" s="101">
        <v>1.1411359999999999E-5</v>
      </c>
      <c r="H61" s="101">
        <v>1.9151385999999999E-5</v>
      </c>
      <c r="I61" s="101">
        <v>3.1816929000000002E-4</v>
      </c>
      <c r="J61" s="101">
        <v>9.3571548000000004E-2</v>
      </c>
      <c r="K61" s="101">
        <v>1.4959597999999999E-4</v>
      </c>
      <c r="L61" s="101">
        <v>45.989339999999999</v>
      </c>
      <c r="M61" s="101">
        <v>9.3507505000000005E-2</v>
      </c>
      <c r="N61" s="101">
        <v>1.5304095000000001E-3</v>
      </c>
      <c r="O61" s="101">
        <v>45.984090999999999</v>
      </c>
      <c r="P61" s="106">
        <f t="shared" si="31"/>
        <v>3.2532116379119027</v>
      </c>
      <c r="Q61" s="113">
        <f t="shared" si="32"/>
        <v>3.2038321900000003E-4</v>
      </c>
      <c r="R61" s="113">
        <f t="shared" si="33"/>
        <v>2.45595692E-5</v>
      </c>
      <c r="S61" s="113">
        <f t="shared" si="34"/>
        <v>1.4578197053500002E-3</v>
      </c>
      <c r="T61" s="113">
        <f t="shared" si="35"/>
        <v>9.3554393368850006E-2</v>
      </c>
      <c r="U61" s="113">
        <f t="shared" si="36"/>
        <v>9.3490350368850006E-2</v>
      </c>
      <c r="V61" s="4">
        <f t="shared" si="37"/>
        <v>491.52251801475444</v>
      </c>
      <c r="W61" s="4">
        <f t="shared" si="38"/>
        <v>1.5582589473936963E-2</v>
      </c>
      <c r="X61" s="4">
        <f t="shared" si="39"/>
        <v>3.4245662599387367E-3</v>
      </c>
      <c r="Y61">
        <f t="shared" si="40"/>
        <v>1.7323324693248782E-5</v>
      </c>
      <c r="Z61">
        <f t="shared" si="41"/>
        <v>1.5582859416193981E-2</v>
      </c>
      <c r="AA61">
        <f t="shared" si="42"/>
        <v>3.424506935065482E-3</v>
      </c>
      <c r="AB61">
        <f t="shared" si="43"/>
        <v>-2.3224207331473258E-6</v>
      </c>
      <c r="AC61">
        <f t="shared" si="44"/>
        <v>1.0567565677950085E-5</v>
      </c>
    </row>
    <row r="62" spans="1:29" ht="15">
      <c r="A62" s="131">
        <f t="shared" si="11"/>
        <v>47</v>
      </c>
      <c r="B62" s="101">
        <v>9.5090350000000007E-6</v>
      </c>
      <c r="C62" s="101">
        <v>-7.5660989000000001E-6</v>
      </c>
      <c r="D62" s="101">
        <v>6.5646790000000002E-5</v>
      </c>
      <c r="E62" s="101">
        <v>-1.3877612E-5</v>
      </c>
      <c r="F62" s="101">
        <v>-2.0626193999999999E-5</v>
      </c>
      <c r="G62" s="101">
        <v>3.1081628999999997E-5</v>
      </c>
      <c r="H62" s="101">
        <v>-9.1431204000000001E-6</v>
      </c>
      <c r="I62" s="101">
        <v>3.2507685000000001E-4</v>
      </c>
      <c r="J62" s="101">
        <v>9.3451333999999997E-2</v>
      </c>
      <c r="K62" s="101">
        <v>2.0999269E-4</v>
      </c>
      <c r="L62" s="101">
        <v>45.940952000000003</v>
      </c>
      <c r="M62" s="101">
        <v>9.3339551000000007E-2</v>
      </c>
      <c r="N62" s="101">
        <v>1.5440204E-3</v>
      </c>
      <c r="O62" s="101">
        <v>45.908738</v>
      </c>
      <c r="P62" s="106">
        <f t="shared" si="31"/>
        <v>4.5741333599716905</v>
      </c>
      <c r="Q62" s="113">
        <f t="shared" si="32"/>
        <v>3.1984913249999999E-4</v>
      </c>
      <c r="R62" s="113">
        <f t="shared" si="33"/>
        <v>8.1087825999999981E-6</v>
      </c>
      <c r="S62" s="113">
        <f t="shared" si="34"/>
        <v>1.4821566594500001E-3</v>
      </c>
      <c r="T62" s="113">
        <f t="shared" si="35"/>
        <v>9.3450362531949993E-2</v>
      </c>
      <c r="U62" s="113">
        <f t="shared" si="36"/>
        <v>9.3338579531950003E-2</v>
      </c>
      <c r="V62" s="4">
        <f t="shared" si="37"/>
        <v>491.26334832894992</v>
      </c>
      <c r="W62" s="4">
        <f t="shared" si="38"/>
        <v>1.5860362863153812E-2</v>
      </c>
      <c r="X62" s="4">
        <f t="shared" si="39"/>
        <v>3.4226633673105967E-3</v>
      </c>
      <c r="Y62">
        <f t="shared" si="40"/>
        <v>1.9318497861601594E-4</v>
      </c>
      <c r="Z62">
        <f t="shared" si="41"/>
        <v>1.5863426847014375E-2</v>
      </c>
      <c r="AA62">
        <f t="shared" si="42"/>
        <v>3.4220021601611729E-3</v>
      </c>
      <c r="AB62">
        <f t="shared" si="43"/>
        <v>-2.3223547878837357E-6</v>
      </c>
      <c r="AC62">
        <f t="shared" si="44"/>
        <v>1.076161622688619E-5</v>
      </c>
    </row>
    <row r="63" spans="1:29" ht="15">
      <c r="A63" s="131">
        <f t="shared" si="11"/>
        <v>48</v>
      </c>
      <c r="B63" s="101">
        <v>3.3668829000000001E-6</v>
      </c>
      <c r="C63" s="101">
        <v>1.2546933E-5</v>
      </c>
      <c r="D63" s="101">
        <v>7.2884516999999996E-5</v>
      </c>
      <c r="E63" s="101">
        <v>-8.9474175999999996E-6</v>
      </c>
      <c r="F63" s="101">
        <v>-2.3556834000000001E-5</v>
      </c>
      <c r="G63" s="101">
        <v>1.3341427E-5</v>
      </c>
      <c r="H63" s="101">
        <v>7.0702348999999996E-6</v>
      </c>
      <c r="I63" s="101">
        <v>3.2877551999999999E-4</v>
      </c>
      <c r="J63" s="101">
        <v>9.3220623000000002E-2</v>
      </c>
      <c r="K63" s="101">
        <v>1.8678923999999999E-4</v>
      </c>
      <c r="L63" s="101">
        <v>45.819813000000003</v>
      </c>
      <c r="M63" s="101">
        <v>9.3136825000000006E-2</v>
      </c>
      <c r="N63" s="101">
        <v>1.5260938999999999E-3</v>
      </c>
      <c r="O63" s="101">
        <v>45.799934</v>
      </c>
      <c r="P63" s="106">
        <f t="shared" si="31"/>
        <v>4.078373562721727</v>
      </c>
      <c r="Q63" s="113">
        <f t="shared" si="32"/>
        <v>3.3388322350000002E-4</v>
      </c>
      <c r="R63" s="113">
        <f t="shared" si="33"/>
        <v>2.3322360700000001E-5</v>
      </c>
      <c r="S63" s="113">
        <f t="shared" si="34"/>
        <v>1.4469359164999999E-3</v>
      </c>
      <c r="T63" s="113">
        <f t="shared" si="35"/>
        <v>9.3212666092050006E-2</v>
      </c>
      <c r="U63" s="113">
        <f t="shared" si="36"/>
        <v>9.312886809205001E-2</v>
      </c>
      <c r="V63" s="4">
        <f t="shared" si="37"/>
        <v>491.34882543506842</v>
      </c>
      <c r="W63" s="4">
        <f t="shared" si="38"/>
        <v>1.5522953877009717E-2</v>
      </c>
      <c r="X63" s="4">
        <f t="shared" si="39"/>
        <v>3.5819512250650719E-3</v>
      </c>
      <c r="Y63">
        <f t="shared" si="40"/>
        <v>1.351633041491625E-4</v>
      </c>
      <c r="Z63">
        <f t="shared" si="41"/>
        <v>1.5525052010745888E-2</v>
      </c>
      <c r="AA63">
        <f t="shared" si="42"/>
        <v>3.5814670767021907E-3</v>
      </c>
      <c r="AB63">
        <f t="shared" si="43"/>
        <v>-2.4300124064225364E-6</v>
      </c>
      <c r="AC63">
        <f t="shared" si="44"/>
        <v>1.0530844262060872E-5</v>
      </c>
    </row>
    <row r="64" spans="1:29" ht="15">
      <c r="A64" s="131">
        <f t="shared" si="11"/>
        <v>49</v>
      </c>
      <c r="B64" s="101">
        <v>1.7781429000000002E-5</v>
      </c>
      <c r="C64" s="101">
        <v>4.3832726999999997E-6</v>
      </c>
      <c r="D64" s="101">
        <v>6.6868152999999996E-5</v>
      </c>
      <c r="E64" s="101">
        <v>-5.6731530999999999E-6</v>
      </c>
      <c r="F64" s="101">
        <v>-3.1954059000000001E-5</v>
      </c>
      <c r="G64" s="101">
        <v>2.6392094000000001E-5</v>
      </c>
      <c r="H64" s="101">
        <v>-2.0862639999999999E-5</v>
      </c>
      <c r="I64" s="101">
        <v>3.2539116000000003E-4</v>
      </c>
      <c r="J64" s="101">
        <v>9.3016630000000003E-2</v>
      </c>
      <c r="K64" s="101">
        <v>2.0778665000000001E-4</v>
      </c>
      <c r="L64" s="101">
        <v>45.727615</v>
      </c>
      <c r="M64" s="101">
        <v>9.2917152000000003E-2</v>
      </c>
      <c r="N64" s="101">
        <v>1.5310734999999999E-3</v>
      </c>
      <c r="O64" s="101">
        <v>45.686677000000003</v>
      </c>
      <c r="P64" s="106">
        <f t="shared" si="31"/>
        <v>4.5480797388700429</v>
      </c>
      <c r="Q64" s="113">
        <f t="shared" si="32"/>
        <v>3.2817214250000003E-4</v>
      </c>
      <c r="R64" s="113">
        <f t="shared" si="33"/>
        <v>-2.0490339499999974E-6</v>
      </c>
      <c r="S64" s="113">
        <f t="shared" si="34"/>
        <v>1.4620137106499999E-3</v>
      </c>
      <c r="T64" s="113">
        <f t="shared" si="35"/>
        <v>9.3005547649150005E-2</v>
      </c>
      <c r="U64" s="113">
        <f t="shared" si="36"/>
        <v>9.2906069649150005E-2</v>
      </c>
      <c r="V64" s="4">
        <f t="shared" si="37"/>
        <v>491.22528875746633</v>
      </c>
      <c r="W64" s="4">
        <f t="shared" si="38"/>
        <v>1.5719639823693479E-2</v>
      </c>
      <c r="X64" s="4">
        <f t="shared" si="39"/>
        <v>3.5285222311467056E-3</v>
      </c>
      <c r="Y64">
        <f t="shared" si="40"/>
        <v>2.1902623039175376E-4</v>
      </c>
      <c r="Z64">
        <f t="shared" si="41"/>
        <v>1.5723082837147181E-2</v>
      </c>
      <c r="AA64">
        <f t="shared" si="42"/>
        <v>3.5277493922235641E-3</v>
      </c>
      <c r="AB64">
        <f t="shared" si="43"/>
        <v>-2.3943679284590267E-6</v>
      </c>
      <c r="AC64">
        <f t="shared" si="44"/>
        <v>1.0666958849950937E-5</v>
      </c>
    </row>
    <row r="65" spans="1:29" ht="15">
      <c r="A65" s="131">
        <f t="shared" si="11"/>
        <v>50</v>
      </c>
      <c r="B65" s="101">
        <v>-1.2321797000000001E-6</v>
      </c>
      <c r="C65" s="101">
        <v>5.7426599999999998E-6</v>
      </c>
      <c r="D65" s="101">
        <v>6.6702288999999997E-5</v>
      </c>
      <c r="E65" s="101">
        <v>-1.7445402E-5</v>
      </c>
      <c r="F65" s="101">
        <v>-3.6609407999999997E-5</v>
      </c>
      <c r="G65" s="101">
        <v>4.0454733999999997E-6</v>
      </c>
      <c r="H65" s="101">
        <v>-1.9011009999999999E-5</v>
      </c>
      <c r="I65" s="101">
        <v>3.3642874000000002E-4</v>
      </c>
      <c r="J65" s="101">
        <v>9.2753216999999999E-2</v>
      </c>
      <c r="K65" s="101">
        <v>2.1222805000000001E-4</v>
      </c>
      <c r="L65" s="101">
        <v>45.586281999999997</v>
      </c>
      <c r="M65" s="101">
        <v>9.2612353999999994E-2</v>
      </c>
      <c r="N65" s="101">
        <v>1.5099029999999999E-3</v>
      </c>
      <c r="O65" s="101">
        <v>45.543157999999998</v>
      </c>
      <c r="P65" s="106">
        <f t="shared" si="31"/>
        <v>4.6599326730921913</v>
      </c>
      <c r="Q65" s="113">
        <f t="shared" si="32"/>
        <v>3.5271070730000004E-4</v>
      </c>
      <c r="R65" s="113">
        <f t="shared" si="33"/>
        <v>8.0163949999999997E-6</v>
      </c>
      <c r="S65" s="113">
        <f t="shared" si="34"/>
        <v>1.440329381E-3</v>
      </c>
      <c r="T65" s="113">
        <f t="shared" si="35"/>
        <v>9.2750961759849995E-2</v>
      </c>
      <c r="U65" s="113">
        <f t="shared" si="36"/>
        <v>9.261009875984999E-2</v>
      </c>
      <c r="V65" s="4">
        <f t="shared" si="37"/>
        <v>491.02626146260303</v>
      </c>
      <c r="W65" s="4">
        <f t="shared" si="38"/>
        <v>1.5528996720586991E-2</v>
      </c>
      <c r="X65" s="4">
        <f t="shared" si="39"/>
        <v>3.802771428001314E-3</v>
      </c>
      <c r="Y65">
        <f t="shared" si="40"/>
        <v>3.5422475036798551E-4</v>
      </c>
      <c r="Z65">
        <f t="shared" si="41"/>
        <v>1.5534497475573807E-2</v>
      </c>
      <c r="AA65">
        <f t="shared" si="42"/>
        <v>3.8014243922415238E-3</v>
      </c>
      <c r="AB65">
        <f t="shared" si="43"/>
        <v>-2.5815125900287084E-6</v>
      </c>
      <c r="AC65">
        <f t="shared" si="44"/>
        <v>1.0541864349122796E-5</v>
      </c>
    </row>
    <row r="66" spans="1:29" ht="15">
      <c r="A66" s="131">
        <f t="shared" si="11"/>
        <v>51</v>
      </c>
      <c r="B66" s="101">
        <v>3.9164119999999998E-6</v>
      </c>
      <c r="C66" s="101">
        <v>2.9272777999999998E-5</v>
      </c>
      <c r="D66" s="101">
        <v>6.3521047000000006E-5</v>
      </c>
      <c r="E66" s="101">
        <v>-1.2943748000000001E-5</v>
      </c>
      <c r="F66" s="101">
        <v>2.6766281E-5</v>
      </c>
      <c r="G66" s="101">
        <v>1.8580809000000001E-5</v>
      </c>
      <c r="H66" s="101">
        <v>1.0888741999999999E-5</v>
      </c>
      <c r="I66" s="101">
        <v>3.4499846000000001E-4</v>
      </c>
      <c r="J66" s="101">
        <v>9.1791078999999998E-2</v>
      </c>
      <c r="K66" s="101">
        <v>2.117895E-4</v>
      </c>
      <c r="L66" s="101">
        <v>45.118112000000004</v>
      </c>
      <c r="M66" s="101">
        <v>9.1765826999999994E-2</v>
      </c>
      <c r="N66" s="101">
        <v>1.5042471E-3</v>
      </c>
      <c r="O66" s="101">
        <v>45.105590999999997</v>
      </c>
      <c r="P66" s="106">
        <f t="shared" si="31"/>
        <v>4.695415696914381</v>
      </c>
      <c r="Q66" s="113">
        <f t="shared" si="32"/>
        <v>3.22324915E-4</v>
      </c>
      <c r="R66" s="113">
        <f t="shared" si="33"/>
        <v>3.9774755000000001E-6</v>
      </c>
      <c r="S66" s="113">
        <f t="shared" si="34"/>
        <v>1.4260896640000001E-3</v>
      </c>
      <c r="T66" s="113">
        <f t="shared" si="35"/>
        <v>9.1774484404999995E-2</v>
      </c>
      <c r="U66" s="113">
        <f t="shared" si="36"/>
        <v>9.1749232404999992E-2</v>
      </c>
      <c r="V66" s="4">
        <f t="shared" si="37"/>
        <v>491.48291371433282</v>
      </c>
      <c r="W66" s="4">
        <f t="shared" si="38"/>
        <v>1.5539064841886541E-2</v>
      </c>
      <c r="X66" s="4">
        <f t="shared" si="39"/>
        <v>3.5121408427377589E-3</v>
      </c>
      <c r="Y66">
        <f t="shared" si="40"/>
        <v>4.4185132466475111E-5</v>
      </c>
      <c r="Z66">
        <f t="shared" si="41"/>
        <v>1.5539751437524984E-2</v>
      </c>
      <c r="AA66">
        <f t="shared" si="42"/>
        <v>3.5119856583293815E-3</v>
      </c>
      <c r="AB66">
        <f t="shared" si="43"/>
        <v>-2.3820026730906453E-6</v>
      </c>
      <c r="AC66">
        <f t="shared" si="44"/>
        <v>1.0538897967955534E-5</v>
      </c>
    </row>
    <row r="67" spans="1:29" ht="15">
      <c r="A67" s="131">
        <f t="shared" si="11"/>
        <v>52</v>
      </c>
      <c r="B67" s="101">
        <v>1.0761972E-5</v>
      </c>
      <c r="C67" s="101">
        <v>4.6479707999999997E-5</v>
      </c>
      <c r="D67" s="101">
        <v>7.5492789000000007E-5</v>
      </c>
      <c r="E67" s="101">
        <v>-1.7619204E-5</v>
      </c>
      <c r="F67" s="101">
        <v>2.8369534999999999E-5</v>
      </c>
      <c r="G67" s="101">
        <v>3.0318132000000001E-5</v>
      </c>
      <c r="H67" s="101">
        <v>6.6605958000000002E-6</v>
      </c>
      <c r="I67" s="101">
        <v>3.6825281999999999E-4</v>
      </c>
      <c r="J67" s="101">
        <v>9.1876346999999997E-2</v>
      </c>
      <c r="K67" s="101">
        <v>1.8616174000000001E-4</v>
      </c>
      <c r="L67" s="101">
        <v>45.163375000000002</v>
      </c>
      <c r="M67" s="101">
        <v>9.1868538E-2</v>
      </c>
      <c r="N67" s="101">
        <v>1.5069605000000001E-3</v>
      </c>
      <c r="O67" s="101">
        <v>45.166339000000001</v>
      </c>
      <c r="P67" s="106">
        <f t="shared" si="31"/>
        <v>4.1216920415001974</v>
      </c>
      <c r="Q67" s="113">
        <f t="shared" si="32"/>
        <v>3.3890898649999998E-4</v>
      </c>
      <c r="R67" s="113">
        <f t="shared" si="33"/>
        <v>1.2854303000000007E-6</v>
      </c>
      <c r="S67" s="113">
        <f t="shared" si="34"/>
        <v>1.408227857E-3</v>
      </c>
      <c r="T67" s="113">
        <f t="shared" si="35"/>
        <v>9.1847726160000004E-2</v>
      </c>
      <c r="U67" s="113">
        <f t="shared" si="36"/>
        <v>9.1839917160000006E-2</v>
      </c>
      <c r="V67" s="4">
        <f t="shared" si="37"/>
        <v>491.75239157602681</v>
      </c>
      <c r="W67" s="4">
        <f t="shared" si="38"/>
        <v>1.5332201632807411E-2</v>
      </c>
      <c r="X67" s="4">
        <f t="shared" si="39"/>
        <v>3.6899006722236742E-3</v>
      </c>
      <c r="Y67">
        <f t="shared" si="40"/>
        <v>-1.3850408745800605E-4</v>
      </c>
      <c r="Z67">
        <f t="shared" si="41"/>
        <v>1.5330078060211538E-2</v>
      </c>
      <c r="AA67">
        <f t="shared" si="42"/>
        <v>3.690411738549091E-3</v>
      </c>
      <c r="AB67">
        <f t="shared" si="43"/>
        <v>-2.501191477278392E-6</v>
      </c>
      <c r="AC67">
        <f t="shared" si="44"/>
        <v>1.0392900909384457E-5</v>
      </c>
    </row>
    <row r="68" spans="1:29" ht="15">
      <c r="A68" s="131">
        <f t="shared" si="11"/>
        <v>53</v>
      </c>
      <c r="B68" s="101">
        <v>-7.4703789999999997E-6</v>
      </c>
      <c r="C68" s="101">
        <v>4.1865573000000001E-5</v>
      </c>
      <c r="D68" s="101">
        <v>7.2649669999999995E-5</v>
      </c>
      <c r="E68" s="101">
        <v>-1.7827995999999998E-5</v>
      </c>
      <c r="F68" s="101">
        <v>2.9972791000000001E-5</v>
      </c>
      <c r="G68" s="101">
        <v>2.2220387999999999E-5</v>
      </c>
      <c r="H68" s="101">
        <v>-4.3160942000000002E-6</v>
      </c>
      <c r="I68" s="101">
        <v>3.6204959E-4</v>
      </c>
      <c r="J68" s="101">
        <v>9.2012888000000001E-2</v>
      </c>
      <c r="K68" s="101">
        <v>2.0045710999999999E-4</v>
      </c>
      <c r="L68" s="101">
        <v>45.231555</v>
      </c>
      <c r="M68" s="101">
        <v>9.2100335000000005E-2</v>
      </c>
      <c r="N68" s="101">
        <v>1.4902632E-3</v>
      </c>
      <c r="O68" s="101">
        <v>45.264673000000002</v>
      </c>
      <c r="P68" s="106">
        <f t="shared" si="31"/>
        <v>4.428555354856976</v>
      </c>
      <c r="Q68" s="113">
        <f t="shared" si="32"/>
        <v>3.359530005E-4</v>
      </c>
      <c r="R68" s="113">
        <f t="shared" si="33"/>
        <v>-1.0388491700000001E-5</v>
      </c>
      <c r="S68" s="113">
        <f t="shared" si="34"/>
        <v>1.3966807435E-3</v>
      </c>
      <c r="T68" s="113">
        <f t="shared" si="35"/>
        <v>9.1995690402999999E-2</v>
      </c>
      <c r="U68" s="113">
        <f t="shared" si="36"/>
        <v>9.2083137403000004E-2</v>
      </c>
      <c r="V68" s="4">
        <f t="shared" si="37"/>
        <v>492.03036361498857</v>
      </c>
      <c r="W68" s="4">
        <f t="shared" si="38"/>
        <v>1.5182023607645581E-2</v>
      </c>
      <c r="X68" s="4">
        <f t="shared" si="39"/>
        <v>3.6518341134058655E-3</v>
      </c>
      <c r="Y68">
        <f t="shared" si="40"/>
        <v>-3.2674215751634278E-4</v>
      </c>
      <c r="Z68">
        <f t="shared" si="41"/>
        <v>1.5177063000496554E-2</v>
      </c>
      <c r="AA68">
        <f t="shared" si="42"/>
        <v>3.6530273215629717E-3</v>
      </c>
      <c r="AB68">
        <f t="shared" si="43"/>
        <v>-2.4739896718131595E-6</v>
      </c>
      <c r="AC68">
        <f t="shared" si="44"/>
        <v>1.0285289100251167E-5</v>
      </c>
    </row>
    <row r="69" spans="1:29" ht="15">
      <c r="A69" s="131">
        <f t="shared" si="11"/>
        <v>54</v>
      </c>
      <c r="B69" s="101">
        <v>-7.0602479000000003E-6</v>
      </c>
      <c r="C69" s="101">
        <v>4.4929114999999997E-5</v>
      </c>
      <c r="D69" s="101">
        <v>6.7146174000000007E-5</v>
      </c>
      <c r="E69" s="101">
        <v>-5.0245041999999999E-6</v>
      </c>
      <c r="F69" s="101">
        <v>3.1749172999999997E-5</v>
      </c>
      <c r="G69" s="101">
        <v>4.4245858000000001E-6</v>
      </c>
      <c r="H69" s="101">
        <v>-2.4807582E-5</v>
      </c>
      <c r="I69" s="101">
        <v>3.5834575000000002E-4</v>
      </c>
      <c r="J69" s="101">
        <v>9.2195226000000005E-2</v>
      </c>
      <c r="K69" s="101">
        <v>1.9584276E-4</v>
      </c>
      <c r="L69" s="101">
        <v>45.318562</v>
      </c>
      <c r="M69" s="101">
        <v>9.2252028E-2</v>
      </c>
      <c r="N69" s="101">
        <v>1.5090742000000001E-3</v>
      </c>
      <c r="O69" s="101">
        <v>45.353821000000003</v>
      </c>
      <c r="P69" s="106">
        <f t="shared" si="31"/>
        <v>4.3181093826692125</v>
      </c>
      <c r="Q69" s="113">
        <f t="shared" si="32"/>
        <v>3.4025887060000004E-4</v>
      </c>
      <c r="R69" s="113">
        <f t="shared" si="33"/>
        <v>-3.8169916399999999E-5</v>
      </c>
      <c r="S69" s="113">
        <f t="shared" si="34"/>
        <v>1.4194634685E-3</v>
      </c>
      <c r="T69" s="113">
        <f t="shared" si="35"/>
        <v>9.2176291566450005E-2</v>
      </c>
      <c r="U69" s="113">
        <f t="shared" si="36"/>
        <v>9.223309356645E-2</v>
      </c>
      <c r="V69" s="4">
        <f t="shared" si="37"/>
        <v>492.03347443528224</v>
      </c>
      <c r="W69" s="4">
        <f t="shared" si="38"/>
        <v>1.5399442138293305E-2</v>
      </c>
      <c r="X69" s="4">
        <f t="shared" si="39"/>
        <v>3.6913924916875942E-3</v>
      </c>
      <c r="Y69">
        <f t="shared" si="40"/>
        <v>-3.2884755016863532E-4</v>
      </c>
      <c r="Z69">
        <f t="shared" si="41"/>
        <v>1.5394378069472164E-2</v>
      </c>
      <c r="AA69">
        <f t="shared" si="42"/>
        <v>3.6926063970651964E-3</v>
      </c>
      <c r="AB69">
        <f t="shared" si="43"/>
        <v>-2.5007732762655951E-6</v>
      </c>
      <c r="AC69">
        <f t="shared" si="44"/>
        <v>1.0432516578922865E-5</v>
      </c>
    </row>
    <row r="70" spans="1:29" ht="15">
      <c r="A70" s="131">
        <f t="shared" si="11"/>
        <v>55</v>
      </c>
      <c r="B70" s="101">
        <v>-1.103658E-7</v>
      </c>
      <c r="C70" s="101">
        <v>5.3991837000000002E-5</v>
      </c>
      <c r="D70" s="101">
        <v>7.4374543000000002E-5</v>
      </c>
      <c r="E70" s="101">
        <v>-3.8686772000000002E-6</v>
      </c>
      <c r="F70" s="101">
        <v>1.9668337000000001E-5</v>
      </c>
      <c r="G70" s="101">
        <v>3.1224382000000003E-5</v>
      </c>
      <c r="H70" s="101">
        <v>-1.2220429999999999E-5</v>
      </c>
      <c r="I70" s="101">
        <v>3.6943475000000001E-4</v>
      </c>
      <c r="J70" s="101">
        <v>9.2205326000000004E-2</v>
      </c>
      <c r="K70" s="101">
        <v>1.9494552999999999E-4</v>
      </c>
      <c r="L70" s="101">
        <v>45.323911000000003</v>
      </c>
      <c r="M70" s="101">
        <v>9.2385751000000002E-2</v>
      </c>
      <c r="N70" s="101">
        <v>1.5176241E-3</v>
      </c>
      <c r="O70" s="101">
        <v>45.406911999999998</v>
      </c>
      <c r="P70" s="106">
        <f t="shared" si="31"/>
        <v>4.2933007644298735</v>
      </c>
      <c r="Q70" s="113">
        <f t="shared" si="32"/>
        <v>3.439883905E-4</v>
      </c>
      <c r="R70" s="113">
        <f t="shared" si="33"/>
        <v>-2.01202599E-5</v>
      </c>
      <c r="S70" s="113">
        <f t="shared" si="34"/>
        <v>1.4162536385E-3</v>
      </c>
      <c r="T70" s="113">
        <f t="shared" si="35"/>
        <v>9.2178385264400003E-2</v>
      </c>
      <c r="U70" s="113">
        <f t="shared" si="36"/>
        <v>9.2358810264400001E-2</v>
      </c>
      <c r="V70" s="4">
        <f t="shared" si="37"/>
        <v>492.59825792952455</v>
      </c>
      <c r="W70" s="4">
        <f t="shared" si="38"/>
        <v>1.5364270424543528E-2</v>
      </c>
      <c r="X70" s="4">
        <f t="shared" si="39"/>
        <v>3.731768456491404E-3</v>
      </c>
      <c r="Y70">
        <f t="shared" si="40"/>
        <v>-7.1065043731137012E-4</v>
      </c>
      <c r="Z70">
        <f t="shared" si="41"/>
        <v>1.5353351799047357E-2</v>
      </c>
      <c r="AA70">
        <f t="shared" si="42"/>
        <v>3.7344204393769541E-3</v>
      </c>
      <c r="AB70">
        <f t="shared" si="43"/>
        <v>-2.5252278074609729E-6</v>
      </c>
      <c r="AC70">
        <f t="shared" si="44"/>
        <v>1.0396755149671193E-5</v>
      </c>
    </row>
    <row r="71" spans="1:29" ht="15">
      <c r="A71" s="131">
        <f t="shared" si="11"/>
        <v>56</v>
      </c>
      <c r="B71" s="101">
        <v>3.8881916000000002E-5</v>
      </c>
      <c r="C71" s="101">
        <v>-4.4354054E-6</v>
      </c>
      <c r="D71" s="101">
        <v>9.5577963999999993E-5</v>
      </c>
      <c r="E71" s="101">
        <v>1.5811894E-5</v>
      </c>
      <c r="F71" s="101">
        <v>-1.7112137999999999E-5</v>
      </c>
      <c r="G71" s="101">
        <v>3.1824442999999997E-5</v>
      </c>
      <c r="H71" s="101">
        <v>7.8752862000000006E-6</v>
      </c>
      <c r="I71" s="101">
        <v>3.3732726E-4</v>
      </c>
      <c r="J71" s="101">
        <v>9.2294373999999998E-2</v>
      </c>
      <c r="K71" s="101">
        <v>1.629465E-4</v>
      </c>
      <c r="L71" s="101">
        <v>45.356735999999998</v>
      </c>
      <c r="M71" s="101">
        <v>9.2309769E-2</v>
      </c>
      <c r="N71" s="101">
        <v>1.5157262999999999E-3</v>
      </c>
      <c r="O71" s="101">
        <v>45.388939000000001</v>
      </c>
      <c r="P71" s="106">
        <f t="shared" si="31"/>
        <v>3.5900046044257614</v>
      </c>
      <c r="Q71" s="113">
        <f t="shared" si="32"/>
        <v>3.2997110749999998E-4</v>
      </c>
      <c r="R71" s="113">
        <f t="shared" si="33"/>
        <v>8.5254081999999998E-6</v>
      </c>
      <c r="S71" s="113">
        <f t="shared" si="34"/>
        <v>1.4223660386999998E-3</v>
      </c>
      <c r="T71" s="113">
        <f t="shared" si="35"/>
        <v>9.2277150744699998E-2</v>
      </c>
      <c r="U71" s="113">
        <f t="shared" si="36"/>
        <v>9.22925457447E-2</v>
      </c>
      <c r="V71" s="4">
        <f t="shared" si="37"/>
        <v>491.87625141976923</v>
      </c>
      <c r="W71" s="4">
        <f t="shared" si="38"/>
        <v>1.5414065423792839E-2</v>
      </c>
      <c r="X71" s="4">
        <f t="shared" si="39"/>
        <v>3.5758701350989872E-3</v>
      </c>
      <c r="Y71">
        <f t="shared" si="40"/>
        <v>-2.2240620586085519E-4</v>
      </c>
      <c r="Z71">
        <f t="shared" si="41"/>
        <v>1.5410637239985042E-2</v>
      </c>
      <c r="AA71">
        <f t="shared" si="42"/>
        <v>3.5766654308083861E-3</v>
      </c>
      <c r="AB71">
        <f t="shared" si="43"/>
        <v>-2.423285751770198E-6</v>
      </c>
      <c r="AC71">
        <f t="shared" si="44"/>
        <v>1.0445761089502444E-5</v>
      </c>
    </row>
    <row r="72" spans="1:29" ht="15">
      <c r="A72" s="131">
        <f t="shared" si="11"/>
        <v>57</v>
      </c>
      <c r="B72" s="101">
        <v>-1.3508532E-5</v>
      </c>
      <c r="C72" s="101">
        <v>1.0381660999999999E-5</v>
      </c>
      <c r="D72" s="101">
        <v>8.5363778999999993E-5</v>
      </c>
      <c r="E72" s="101">
        <v>-2.1547495999999999E-5</v>
      </c>
      <c r="F72" s="101">
        <v>-1.7074853999999999E-5</v>
      </c>
      <c r="G72" s="101">
        <v>4.0119281999999998E-5</v>
      </c>
      <c r="H72" s="101">
        <v>-2.1430246999999999E-5</v>
      </c>
      <c r="I72" s="101">
        <v>3.3781204E-4</v>
      </c>
      <c r="J72" s="101">
        <v>9.2627541999999993E-2</v>
      </c>
      <c r="K72" s="101">
        <v>1.8254948000000001E-4</v>
      </c>
      <c r="L72" s="101">
        <v>45.527493</v>
      </c>
      <c r="M72" s="101">
        <v>9.2582080999999997E-2</v>
      </c>
      <c r="N72" s="101">
        <v>1.5141896E-3</v>
      </c>
      <c r="O72" s="101">
        <v>45.522275</v>
      </c>
      <c r="P72" s="106">
        <f t="shared" si="31"/>
        <v>4.0101132906912058</v>
      </c>
      <c r="Q72" s="113">
        <f t="shared" si="32"/>
        <v>3.2628982600000001E-4</v>
      </c>
      <c r="R72" s="113">
        <f t="shared" si="33"/>
        <v>-2.1190720000000015E-6</v>
      </c>
      <c r="S72" s="113">
        <f t="shared" si="34"/>
        <v>1.4236349905E-3</v>
      </c>
      <c r="T72" s="113">
        <f t="shared" si="35"/>
        <v>9.2629105435499987E-2</v>
      </c>
      <c r="U72" s="113">
        <f t="shared" si="36"/>
        <v>9.258364443549999E-2</v>
      </c>
      <c r="V72" s="4">
        <f t="shared" si="37"/>
        <v>491.44677351654144</v>
      </c>
      <c r="W72" s="4">
        <f t="shared" si="38"/>
        <v>1.5369197228092777E-2</v>
      </c>
      <c r="X72" s="4">
        <f t="shared" si="39"/>
        <v>3.5225410465310383E-3</v>
      </c>
      <c r="Y72">
        <f t="shared" si="40"/>
        <v>6.8701173889129663E-5</v>
      </c>
      <c r="Z72">
        <f t="shared" si="41"/>
        <v>1.537025310998408E-2</v>
      </c>
      <c r="AA72">
        <f t="shared" si="42"/>
        <v>3.5222990438260691E-3</v>
      </c>
      <c r="AB72">
        <f t="shared" si="43"/>
        <v>-2.3892319822182293E-6</v>
      </c>
      <c r="AC72">
        <f t="shared" si="44"/>
        <v>1.0424456968227825E-5</v>
      </c>
    </row>
    <row r="73" spans="1:29" ht="15">
      <c r="A73" s="131">
        <f t="shared" si="11"/>
        <v>58</v>
      </c>
      <c r="B73" s="101">
        <v>-3.3076732999999998E-6</v>
      </c>
      <c r="C73" s="101">
        <v>-6.9782216999999999E-6</v>
      </c>
      <c r="D73" s="101">
        <v>1.0263838E-4</v>
      </c>
      <c r="E73" s="101">
        <v>-2.2998460000000001E-5</v>
      </c>
      <c r="F73" s="101">
        <v>-7.8059406E-6</v>
      </c>
      <c r="G73" s="101">
        <v>3.3457812999999999E-5</v>
      </c>
      <c r="H73" s="101">
        <v>-2.3423489E-5</v>
      </c>
      <c r="I73" s="101">
        <v>3.1917166E-4</v>
      </c>
      <c r="J73" s="101">
        <v>9.2636420999999997E-2</v>
      </c>
      <c r="K73" s="101">
        <v>1.882141E-4</v>
      </c>
      <c r="L73" s="101">
        <v>45.530400999999998</v>
      </c>
      <c r="M73" s="101">
        <v>9.2648516E-2</v>
      </c>
      <c r="N73" s="101">
        <v>1.5196961000000001E-3</v>
      </c>
      <c r="O73" s="101">
        <v>45.553784999999998</v>
      </c>
      <c r="P73" s="106">
        <f t="shared" si="31"/>
        <v>4.1316896060338353</v>
      </c>
      <c r="Q73" s="113">
        <f t="shared" si="32"/>
        <v>3.0634572379999999E-4</v>
      </c>
      <c r="R73" s="113">
        <f t="shared" si="33"/>
        <v>-8.021288699999999E-6</v>
      </c>
      <c r="S73" s="113">
        <f t="shared" si="34"/>
        <v>1.4205468308500001E-3</v>
      </c>
      <c r="T73" s="113">
        <f t="shared" si="35"/>
        <v>9.2641563947499991E-2</v>
      </c>
      <c r="U73" s="113">
        <f t="shared" si="36"/>
        <v>9.2653658947499995E-2</v>
      </c>
      <c r="V73" s="4">
        <f t="shared" si="37"/>
        <v>491.72081146876303</v>
      </c>
      <c r="W73" s="4">
        <f t="shared" si="38"/>
        <v>1.5333795872174875E-2</v>
      </c>
      <c r="X73" s="4">
        <f t="shared" si="39"/>
        <v>3.3067848894866047E-3</v>
      </c>
      <c r="Y73">
        <f t="shared" si="40"/>
        <v>-1.1710509802761078E-4</v>
      </c>
      <c r="Z73">
        <f t="shared" si="41"/>
        <v>1.5332000206506128E-2</v>
      </c>
      <c r="AA73">
        <f t="shared" si="42"/>
        <v>3.3071721308552439E-3</v>
      </c>
      <c r="AB73">
        <f t="shared" si="43"/>
        <v>-2.2416411998841956E-6</v>
      </c>
      <c r="AC73">
        <f t="shared" si="44"/>
        <v>1.0394649100691268E-5</v>
      </c>
    </row>
    <row r="74" spans="1:29" ht="15">
      <c r="A74" s="131">
        <f t="shared" si="11"/>
        <v>59</v>
      </c>
      <c r="B74" s="101">
        <v>-1.2997332E-6</v>
      </c>
      <c r="C74" s="101">
        <v>5.5644128000000003E-6</v>
      </c>
      <c r="D74" s="101">
        <v>9.2062827999999999E-5</v>
      </c>
      <c r="E74" s="101">
        <v>-3.0595237999999999E-5</v>
      </c>
      <c r="F74" s="101">
        <v>-1.5740076E-5</v>
      </c>
      <c r="G74" s="101">
        <v>2.9302885999999999E-5</v>
      </c>
      <c r="H74" s="101">
        <v>-3.4552606999999998E-5</v>
      </c>
      <c r="I74" s="101">
        <v>3.3153228000000002E-4</v>
      </c>
      <c r="J74" s="101">
        <v>9.2779827999999995E-2</v>
      </c>
      <c r="K74" s="101">
        <v>1.9704895000000001E-4</v>
      </c>
      <c r="L74" s="101">
        <v>45.606245000000001</v>
      </c>
      <c r="M74" s="101">
        <v>9.2864923000000002E-2</v>
      </c>
      <c r="N74" s="101">
        <v>1.5290163999999999E-3</v>
      </c>
      <c r="O74" s="101">
        <v>45.665019000000001</v>
      </c>
      <c r="P74" s="106">
        <f t="shared" si="31"/>
        <v>4.3150962008797151</v>
      </c>
      <c r="Q74" s="113">
        <f t="shared" si="32"/>
        <v>3.2475087500000003E-4</v>
      </c>
      <c r="R74" s="113">
        <f t="shared" si="33"/>
        <v>-1.1384949999999997E-5</v>
      </c>
      <c r="S74" s="113">
        <f t="shared" si="34"/>
        <v>1.4341713655999999E-3</v>
      </c>
      <c r="T74" s="113">
        <f t="shared" si="35"/>
        <v>9.2777695660199999E-2</v>
      </c>
      <c r="U74" s="113">
        <f t="shared" si="36"/>
        <v>9.2862790660200006E-2</v>
      </c>
      <c r="V74" s="4">
        <f t="shared" si="37"/>
        <v>492.19824522532832</v>
      </c>
      <c r="W74" s="4">
        <f t="shared" si="38"/>
        <v>1.545814816152234E-2</v>
      </c>
      <c r="X74" s="4">
        <f t="shared" si="39"/>
        <v>3.5003119304601619E-3</v>
      </c>
      <c r="Y74">
        <f t="shared" si="40"/>
        <v>-4.4032582694767764E-4</v>
      </c>
      <c r="Z74">
        <f t="shared" si="41"/>
        <v>1.5451341539650039E-2</v>
      </c>
      <c r="AA74">
        <f t="shared" si="42"/>
        <v>3.5018532082055163E-3</v>
      </c>
      <c r="AB74">
        <f t="shared" si="43"/>
        <v>-2.3705298724756183E-6</v>
      </c>
      <c r="AC74">
        <f t="shared" si="44"/>
        <v>1.0468781845172704E-5</v>
      </c>
    </row>
    <row r="75" spans="1:29" ht="15">
      <c r="A75" s="131">
        <f t="shared" si="11"/>
        <v>60</v>
      </c>
      <c r="B75" s="101">
        <v>-1.7773515E-5</v>
      </c>
      <c r="C75" s="101">
        <v>-2.6084513E-6</v>
      </c>
      <c r="D75" s="101">
        <v>6.6216102000000003E-5</v>
      </c>
      <c r="E75" s="101">
        <v>-3.0917690999999999E-5</v>
      </c>
      <c r="F75" s="101">
        <v>-3.0802829000000002E-5</v>
      </c>
      <c r="G75" s="101">
        <v>2.8008238000000001E-5</v>
      </c>
      <c r="H75" s="101">
        <v>-3.0470654E-5</v>
      </c>
      <c r="I75" s="101">
        <v>3.3801341000000001E-4</v>
      </c>
      <c r="J75" s="101">
        <v>9.2743442999999995E-2</v>
      </c>
      <c r="K75" s="101">
        <v>1.9743631999999999E-4</v>
      </c>
      <c r="L75" s="101">
        <v>45.584113000000002</v>
      </c>
      <c r="M75" s="101">
        <v>9.2638684999999998E-2</v>
      </c>
      <c r="N75" s="101">
        <v>1.5388086E-3</v>
      </c>
      <c r="O75" s="101">
        <v>45.557226999999997</v>
      </c>
      <c r="P75" s="106">
        <f t="shared" si="31"/>
        <v>4.3338089914910762</v>
      </c>
      <c r="Q75" s="113">
        <f t="shared" si="32"/>
        <v>3.394107055E-4</v>
      </c>
      <c r="R75" s="113">
        <f t="shared" si="33"/>
        <v>3.896060000000036E-7</v>
      </c>
      <c r="S75" s="113">
        <f t="shared" si="34"/>
        <v>1.4738967236500001E-3</v>
      </c>
      <c r="T75" s="113">
        <f t="shared" si="35"/>
        <v>9.2753633983149994E-2</v>
      </c>
      <c r="U75" s="113">
        <f t="shared" si="36"/>
        <v>9.2648875983149998E-2</v>
      </c>
      <c r="V75" s="4">
        <f t="shared" si="37"/>
        <v>491.16379643169677</v>
      </c>
      <c r="W75" s="4">
        <f t="shared" si="38"/>
        <v>1.5890447202508037E-2</v>
      </c>
      <c r="X75" s="4">
        <f t="shared" si="39"/>
        <v>3.659271242802829E-3</v>
      </c>
      <c r="Y75">
        <f t="shared" si="40"/>
        <v>2.6078604759427471E-4</v>
      </c>
      <c r="Z75">
        <f t="shared" si="41"/>
        <v>1.5894591209428485E-2</v>
      </c>
      <c r="AA75">
        <f t="shared" si="42"/>
        <v>3.6583169559183432E-3</v>
      </c>
      <c r="AB75">
        <f t="shared" si="43"/>
        <v>-2.48340185045357E-6</v>
      </c>
      <c r="AC75">
        <f t="shared" si="44"/>
        <v>1.0784214497588571E-5</v>
      </c>
    </row>
    <row r="76" spans="1:29" ht="15">
      <c r="A76" s="131">
        <f t="shared" si="11"/>
        <v>61</v>
      </c>
      <c r="B76" s="101">
        <v>-2.0842536999999999E-6</v>
      </c>
      <c r="C76" s="101">
        <v>4.7887816999999999E-5</v>
      </c>
      <c r="D76" s="101">
        <v>8.4640444000000004E-5</v>
      </c>
      <c r="E76" s="101">
        <v>-2.6255506999999999E-5</v>
      </c>
      <c r="F76" s="101">
        <v>5.4818418999999997E-6</v>
      </c>
      <c r="G76" s="101">
        <v>4.0508584999999999E-5</v>
      </c>
      <c r="H76" s="101">
        <v>-1.4961587E-5</v>
      </c>
      <c r="I76" s="101">
        <v>3.5718856999999998E-4</v>
      </c>
      <c r="J76" s="101">
        <v>9.3569220999999994E-2</v>
      </c>
      <c r="K76" s="101">
        <v>2.0159375E-4</v>
      </c>
      <c r="L76" s="101">
        <v>45.998362</v>
      </c>
      <c r="M76" s="101">
        <v>9.3491024000000006E-2</v>
      </c>
      <c r="N76" s="101">
        <v>1.5304177000000001E-3</v>
      </c>
      <c r="O76" s="101">
        <v>45.968654999999998</v>
      </c>
      <c r="P76" s="106">
        <f t="shared" si="31"/>
        <v>4.3854611365070397</v>
      </c>
      <c r="Q76" s="113">
        <f t="shared" si="32"/>
        <v>3.3419335654999996E-4</v>
      </c>
      <c r="R76" s="113">
        <f t="shared" si="33"/>
        <v>-4.5747544500000004E-6</v>
      </c>
      <c r="S76" s="113">
        <f t="shared" si="34"/>
        <v>1.4218333475000001E-3</v>
      </c>
      <c r="T76" s="113">
        <f t="shared" si="35"/>
        <v>9.3546319218349994E-2</v>
      </c>
      <c r="U76" s="113">
        <f t="shared" si="36"/>
        <v>9.3468122218350005E-2</v>
      </c>
      <c r="V76" s="4">
        <f t="shared" si="37"/>
        <v>491.39993303961887</v>
      </c>
      <c r="W76" s="4">
        <f t="shared" si="38"/>
        <v>1.5199244175297215E-2</v>
      </c>
      <c r="X76" s="4">
        <f t="shared" si="39"/>
        <v>3.5724907120070286E-3</v>
      </c>
      <c r="Y76">
        <f t="shared" si="40"/>
        <v>1.0048121546679667E-4</v>
      </c>
      <c r="Z76">
        <f t="shared" si="41"/>
        <v>1.5200771413826126E-2</v>
      </c>
      <c r="AA76">
        <f t="shared" si="42"/>
        <v>3.5721317437980423E-3</v>
      </c>
      <c r="AB76">
        <f t="shared" si="43"/>
        <v>-2.4233422865356111E-6</v>
      </c>
      <c r="AC76">
        <f t="shared" si="44"/>
        <v>1.031016568065058E-5</v>
      </c>
    </row>
    <row r="77" spans="1:29" ht="15">
      <c r="A77" s="131">
        <f t="shared" si="11"/>
        <v>62</v>
      </c>
      <c r="B77" s="101">
        <v>-1.4622315E-5</v>
      </c>
      <c r="C77" s="101">
        <v>1.5675721E-5</v>
      </c>
      <c r="D77" s="101">
        <v>9.0613830999999994E-5</v>
      </c>
      <c r="E77" s="101">
        <v>-1.2880717999999999E-5</v>
      </c>
      <c r="F77" s="101">
        <v>1.8482536999999999E-5</v>
      </c>
      <c r="G77" s="101">
        <v>3.8047757999999997E-5</v>
      </c>
      <c r="H77" s="101">
        <v>-2.9708496000000001E-5</v>
      </c>
      <c r="I77" s="101">
        <v>3.7359071000000002E-4</v>
      </c>
      <c r="J77" s="101">
        <v>9.3790630999999999E-2</v>
      </c>
      <c r="K77" s="101">
        <v>1.9331355E-4</v>
      </c>
      <c r="L77" s="101">
        <v>46.105139999999999</v>
      </c>
      <c r="M77" s="101">
        <v>9.3711635000000001E-2</v>
      </c>
      <c r="N77" s="101">
        <v>1.5464761E-3</v>
      </c>
      <c r="O77" s="101">
        <v>46.076087000000001</v>
      </c>
      <c r="P77" s="106">
        <f t="shared" si="31"/>
        <v>4.1955288000042197</v>
      </c>
      <c r="Q77" s="113">
        <f t="shared" si="32"/>
        <v>3.4532556250000003E-4</v>
      </c>
      <c r="R77" s="113">
        <f t="shared" si="33"/>
        <v>-3.2509405500000003E-5</v>
      </c>
      <c r="S77" s="113">
        <f t="shared" si="34"/>
        <v>1.4480244084999999E-3</v>
      </c>
      <c r="T77" s="113">
        <f t="shared" si="35"/>
        <v>9.3790104296999993E-2</v>
      </c>
      <c r="U77" s="113">
        <f t="shared" si="36"/>
        <v>9.3711108296999995E-2</v>
      </c>
      <c r="V77" s="4">
        <f t="shared" si="37"/>
        <v>491.26810707122553</v>
      </c>
      <c r="W77" s="4">
        <f t="shared" si="38"/>
        <v>1.5438989212706495E-2</v>
      </c>
      <c r="X77" s="4">
        <f t="shared" si="39"/>
        <v>3.6818976275628875E-3</v>
      </c>
      <c r="Y77">
        <f t="shared" si="40"/>
        <v>1.8995422392246533E-4</v>
      </c>
      <c r="Z77">
        <f t="shared" si="41"/>
        <v>1.5441921913920542E-2</v>
      </c>
      <c r="AA77">
        <f t="shared" si="42"/>
        <v>3.681198235556482E-3</v>
      </c>
      <c r="AB77">
        <f t="shared" si="43"/>
        <v>-2.4982269183000141E-6</v>
      </c>
      <c r="AC77">
        <f t="shared" si="44"/>
        <v>1.0475603165549481E-5</v>
      </c>
    </row>
    <row r="78" spans="1:29" ht="15">
      <c r="A78" s="131">
        <f t="shared" si="11"/>
        <v>63</v>
      </c>
      <c r="B78" s="101">
        <v>-1.2239869E-5</v>
      </c>
      <c r="C78" s="101">
        <v>5.6901660000000002E-5</v>
      </c>
      <c r="D78" s="101">
        <v>8.5751596000000003E-5</v>
      </c>
      <c r="E78" s="101">
        <v>-1.4599697E-5</v>
      </c>
      <c r="F78" s="101">
        <v>1.4935543000000001E-5</v>
      </c>
      <c r="G78" s="101">
        <v>2.5311210999999999E-5</v>
      </c>
      <c r="H78" s="101">
        <v>-3.0311637000000001E-5</v>
      </c>
      <c r="I78" s="101">
        <v>3.6947327E-4</v>
      </c>
      <c r="J78" s="101">
        <v>9.3830732E-2</v>
      </c>
      <c r="K78" s="101">
        <v>1.9085209E-4</v>
      </c>
      <c r="L78" s="101">
        <v>46.120538000000003</v>
      </c>
      <c r="M78" s="101">
        <v>9.3645512E-2</v>
      </c>
      <c r="N78" s="101">
        <v>1.5484387000000001E-3</v>
      </c>
      <c r="O78" s="101">
        <v>46.035335000000003</v>
      </c>
      <c r="P78" s="106">
        <f t="shared" si="31"/>
        <v>4.1457738930323851</v>
      </c>
      <c r="Q78" s="113">
        <f t="shared" si="32"/>
        <v>3.49349893E-4</v>
      </c>
      <c r="R78" s="113">
        <f t="shared" si="33"/>
        <v>-3.0479560000000003E-5</v>
      </c>
      <c r="S78" s="113">
        <f t="shared" si="34"/>
        <v>1.4342362740000002E-3</v>
      </c>
      <c r="T78" s="113">
        <f t="shared" si="35"/>
        <v>9.3808401104500005E-2</v>
      </c>
      <c r="U78" s="113">
        <f t="shared" si="36"/>
        <v>9.3623181104500006E-2</v>
      </c>
      <c r="V78" s="4">
        <f t="shared" si="37"/>
        <v>490.73787057427717</v>
      </c>
      <c r="W78" s="4">
        <f t="shared" si="38"/>
        <v>1.5288996050602121E-2</v>
      </c>
      <c r="X78" s="4">
        <f t="shared" si="39"/>
        <v>3.7240789618707363E-3</v>
      </c>
      <c r="Y78">
        <f t="shared" si="40"/>
        <v>5.5032221312637886E-4</v>
      </c>
      <c r="Z78">
        <f t="shared" si="41"/>
        <v>1.5297409924745169E-2</v>
      </c>
      <c r="AA78">
        <f t="shared" si="42"/>
        <v>3.7220295184945823E-3</v>
      </c>
      <c r="AB78">
        <f t="shared" si="43"/>
        <v>-2.5295778630335444E-6</v>
      </c>
      <c r="AC78">
        <f t="shared" si="44"/>
        <v>1.0385039187832564E-5</v>
      </c>
    </row>
    <row r="79" spans="1:29" ht="15">
      <c r="A79" s="131">
        <f t="shared" si="11"/>
        <v>64</v>
      </c>
      <c r="B79" s="101">
        <v>-1.8550323000000001E-5</v>
      </c>
      <c r="C79" s="101">
        <v>1.016471E-5</v>
      </c>
      <c r="D79" s="101">
        <v>8.2492718E-5</v>
      </c>
      <c r="E79" s="101">
        <v>-2.3149314E-5</v>
      </c>
      <c r="F79" s="101">
        <v>2.0521494999999998E-6</v>
      </c>
      <c r="G79" s="101">
        <v>3.0754796999999997E-5</v>
      </c>
      <c r="H79" s="101">
        <v>-2.6398753E-5</v>
      </c>
      <c r="I79" s="101">
        <v>3.541614E-4</v>
      </c>
      <c r="J79" s="101">
        <v>9.3906966999999994E-2</v>
      </c>
      <c r="K79" s="101">
        <v>1.7975740000000001E-4</v>
      </c>
      <c r="L79" s="101">
        <v>46.159528999999999</v>
      </c>
      <c r="M79" s="101">
        <v>9.3916411000000005E-2</v>
      </c>
      <c r="N79" s="101">
        <v>1.5370297000000001E-3</v>
      </c>
      <c r="O79" s="101">
        <v>46.179138000000002</v>
      </c>
      <c r="P79" s="106">
        <f t="shared" si="31"/>
        <v>3.892610555008627</v>
      </c>
      <c r="Q79" s="113">
        <f t="shared" si="32"/>
        <v>3.3775792674999998E-4</v>
      </c>
      <c r="R79" s="113">
        <f t="shared" si="33"/>
        <v>-1.5850170750000001E-5</v>
      </c>
      <c r="S79" s="113">
        <f t="shared" si="34"/>
        <v>1.4494546270000001E-3</v>
      </c>
      <c r="T79" s="113">
        <f t="shared" si="35"/>
        <v>9.39111598065E-2</v>
      </c>
      <c r="U79" s="113">
        <f t="shared" si="36"/>
        <v>9.3920603806500011E-2</v>
      </c>
      <c r="V79" s="4">
        <f t="shared" si="37"/>
        <v>491.73216575271965</v>
      </c>
      <c r="W79" s="4">
        <f t="shared" si="38"/>
        <v>1.5434317177921564E-2</v>
      </c>
      <c r="X79" s="4">
        <f t="shared" si="39"/>
        <v>3.5965685808367824E-3</v>
      </c>
      <c r="Y79">
        <f t="shared" si="40"/>
        <v>-1.2479918830243797E-4</v>
      </c>
      <c r="Z79">
        <f t="shared" si="41"/>
        <v>1.5432390987665757E-2</v>
      </c>
      <c r="AA79">
        <f t="shared" si="42"/>
        <v>3.5970174296763449E-3</v>
      </c>
      <c r="AB79">
        <f t="shared" si="43"/>
        <v>-2.4380267900049003E-6</v>
      </c>
      <c r="AC79">
        <f t="shared" si="44"/>
        <v>1.0462550044423378E-5</v>
      </c>
    </row>
    <row r="80" spans="1:29" ht="15">
      <c r="A80" s="131">
        <f t="shared" si="11"/>
        <v>65</v>
      </c>
      <c r="B80" s="101">
        <v>-1.9334415E-5</v>
      </c>
      <c r="C80" s="101">
        <v>2.0744189E-5</v>
      </c>
      <c r="D80" s="101">
        <v>8.0934127999999998E-5</v>
      </c>
      <c r="E80" s="101">
        <v>-2.7182839E-5</v>
      </c>
      <c r="F80" s="101">
        <v>2.0568314999999999E-5</v>
      </c>
      <c r="G80" s="101">
        <v>2.6288071000000001E-5</v>
      </c>
      <c r="H80" s="101">
        <v>-9.2014886000000001E-6</v>
      </c>
      <c r="I80" s="101">
        <v>3.7212482999999998E-4</v>
      </c>
      <c r="J80" s="101">
        <v>9.3864004000000001E-2</v>
      </c>
      <c r="K80" s="101">
        <v>1.9566211000000001E-4</v>
      </c>
      <c r="L80" s="101">
        <v>46.132520999999997</v>
      </c>
      <c r="M80" s="101">
        <v>9.3689586000000005E-2</v>
      </c>
      <c r="N80" s="101">
        <v>1.5361342E-3</v>
      </c>
      <c r="O80" s="101">
        <v>46.063160000000003</v>
      </c>
      <c r="P80" s="106">
        <f t="shared" si="31"/>
        <v>4.2476918648221274</v>
      </c>
      <c r="Q80" s="113">
        <f t="shared" si="32"/>
        <v>3.4869663699999996E-4</v>
      </c>
      <c r="R80" s="113">
        <f t="shared" si="33"/>
        <v>-5.8942265999999993E-6</v>
      </c>
      <c r="S80" s="113">
        <f t="shared" si="34"/>
        <v>1.4448279775000001E-3</v>
      </c>
      <c r="T80" s="113">
        <f t="shared" si="35"/>
        <v>9.3863299112999996E-2</v>
      </c>
      <c r="U80" s="113">
        <f t="shared" si="36"/>
        <v>9.3688881113E-2</v>
      </c>
      <c r="V80" s="4">
        <f t="shared" si="37"/>
        <v>490.74729351400231</v>
      </c>
      <c r="W80" s="4">
        <f t="shared" si="38"/>
        <v>1.5392895744699991E-2</v>
      </c>
      <c r="X80" s="4">
        <f t="shared" si="39"/>
        <v>3.7149411995439411E-3</v>
      </c>
      <c r="Y80">
        <f t="shared" si="40"/>
        <v>5.4391124437932104E-4</v>
      </c>
      <c r="Z80">
        <f t="shared" si="41"/>
        <v>1.5401268113779091E-2</v>
      </c>
      <c r="AA80">
        <f t="shared" si="42"/>
        <v>3.7129206012533008E-3</v>
      </c>
      <c r="AB80">
        <f t="shared" si="43"/>
        <v>-2.523322593007803E-6</v>
      </c>
      <c r="AC80">
        <f t="shared" si="44"/>
        <v>1.0455412217341002E-5</v>
      </c>
    </row>
    <row r="81" spans="1:29" ht="15">
      <c r="A81" s="131">
        <f t="shared" si="11"/>
        <v>66</v>
      </c>
      <c r="B81" s="101">
        <v>5.0524240000000003E-5</v>
      </c>
      <c r="C81" s="101">
        <v>7.2496535999999996E-6</v>
      </c>
      <c r="D81" s="101">
        <v>8.4515312999999996E-5</v>
      </c>
      <c r="E81" s="101">
        <v>1.6680211999999999E-5</v>
      </c>
      <c r="F81" s="101">
        <v>-1.8648333999999999E-5</v>
      </c>
      <c r="G81" s="101">
        <v>9.2926252999999996E-6</v>
      </c>
      <c r="H81" s="101">
        <v>6.3750595000000002E-6</v>
      </c>
      <c r="I81" s="101">
        <v>3.2264422000000001E-4</v>
      </c>
      <c r="J81" s="101">
        <v>9.3739166999999998E-2</v>
      </c>
      <c r="K81" s="101">
        <v>1.6885873000000001E-4</v>
      </c>
      <c r="L81" s="101">
        <v>46.079839999999997</v>
      </c>
      <c r="M81" s="101">
        <v>9.3809221999999998E-2</v>
      </c>
      <c r="N81" s="101">
        <v>1.5303746999999999E-3</v>
      </c>
      <c r="O81" s="101">
        <v>46.131202000000002</v>
      </c>
      <c r="P81" s="106">
        <f t="shared" si="31"/>
        <v>3.6604016951476788</v>
      </c>
      <c r="Q81" s="113">
        <f t="shared" si="32"/>
        <v>3.2732207435000001E-4</v>
      </c>
      <c r="R81" s="113">
        <f t="shared" si="33"/>
        <v>7.3591204999999998E-6</v>
      </c>
      <c r="S81" s="113">
        <f t="shared" si="34"/>
        <v>1.4422345602E-3</v>
      </c>
      <c r="T81" s="113">
        <f t="shared" si="35"/>
        <v>9.3710280053199993E-2</v>
      </c>
      <c r="U81" s="113">
        <f t="shared" si="36"/>
        <v>9.3780335053199992E-2</v>
      </c>
      <c r="V81" s="4">
        <f t="shared" si="37"/>
        <v>492.27472134125509</v>
      </c>
      <c r="W81" s="4">
        <f t="shared" si="38"/>
        <v>1.5390355886048288E-2</v>
      </c>
      <c r="X81" s="4">
        <f t="shared" si="39"/>
        <v>3.4929153361208283E-3</v>
      </c>
      <c r="Y81">
        <f t="shared" si="40"/>
        <v>-4.9204159281901472E-4</v>
      </c>
      <c r="Z81">
        <f t="shared" si="41"/>
        <v>1.5382783190824065E-2</v>
      </c>
      <c r="AA81">
        <f t="shared" si="42"/>
        <v>3.4946339957463947E-3</v>
      </c>
      <c r="AB81">
        <f t="shared" si="43"/>
        <v>-2.3651531585209218E-6</v>
      </c>
      <c r="AC81">
        <f t="shared" si="44"/>
        <v>1.0421251399432427E-5</v>
      </c>
    </row>
    <row r="82" spans="1:29" ht="15">
      <c r="A82" s="131">
        <f t="shared" ref="A82:A95" si="45">A81+1</f>
        <v>67</v>
      </c>
      <c r="B82" s="101">
        <v>7.8879368000000008E-6</v>
      </c>
      <c r="C82" s="101">
        <v>-8.4852437000000002E-6</v>
      </c>
      <c r="D82" s="101">
        <v>9.2268967000000003E-5</v>
      </c>
      <c r="E82" s="101">
        <v>-8.0592806000000008E-6</v>
      </c>
      <c r="F82" s="101">
        <v>-1.6853968000000001E-5</v>
      </c>
      <c r="G82" s="101">
        <v>2.0072825E-5</v>
      </c>
      <c r="H82" s="101">
        <v>2.6549991000000001E-6</v>
      </c>
      <c r="I82" s="101">
        <v>3.3406819999999999E-4</v>
      </c>
      <c r="J82" s="101">
        <v>9.3819990000000006E-2</v>
      </c>
      <c r="K82" s="101">
        <v>1.8713741E-4</v>
      </c>
      <c r="L82" s="101">
        <v>46.118816000000002</v>
      </c>
      <c r="M82" s="101">
        <v>9.3643506000000001E-2</v>
      </c>
      <c r="N82" s="101">
        <v>1.5280351000000001E-3</v>
      </c>
      <c r="O82" s="101">
        <v>46.046644999999998</v>
      </c>
      <c r="P82" s="106">
        <f t="shared" si="31"/>
        <v>4.0640834962026009</v>
      </c>
      <c r="Q82" s="113">
        <f t="shared" si="32"/>
        <v>3.324587715E-4</v>
      </c>
      <c r="R82" s="113">
        <f t="shared" si="33"/>
        <v>1.51116234E-5</v>
      </c>
      <c r="S82" s="113">
        <f t="shared" si="34"/>
        <v>1.4400087548500002E-3</v>
      </c>
      <c r="T82" s="113">
        <f t="shared" si="35"/>
        <v>9.3820288653450004E-2</v>
      </c>
      <c r="U82" s="113">
        <f t="shared" si="36"/>
        <v>9.364380465345E-2</v>
      </c>
      <c r="V82" s="4">
        <f t="shared" si="37"/>
        <v>490.79624099309086</v>
      </c>
      <c r="W82" s="4">
        <f t="shared" si="38"/>
        <v>1.5348585849794734E-2</v>
      </c>
      <c r="X82" s="4">
        <f t="shared" si="39"/>
        <v>3.5435701197640119E-3</v>
      </c>
      <c r="Y82">
        <f t="shared" si="40"/>
        <v>5.1061341509265701E-4</v>
      </c>
      <c r="Z82">
        <f t="shared" si="41"/>
        <v>1.5356423043632342E-2</v>
      </c>
      <c r="AA82">
        <f t="shared" si="42"/>
        <v>3.5417607253235392E-3</v>
      </c>
      <c r="AB82">
        <f t="shared" si="43"/>
        <v>-2.4066811056484136E-6</v>
      </c>
      <c r="AC82">
        <f t="shared" si="44"/>
        <v>1.0424275607556934E-5</v>
      </c>
    </row>
    <row r="83" spans="1:29" ht="15">
      <c r="A83" s="131">
        <f t="shared" si="45"/>
        <v>68</v>
      </c>
      <c r="B83" s="101">
        <v>6.7438335000000001E-7</v>
      </c>
      <c r="C83" s="101">
        <v>5.4250865999999996E-6</v>
      </c>
      <c r="D83" s="101">
        <v>8.4332099000000002E-5</v>
      </c>
      <c r="E83" s="101">
        <v>-1.6076641999999999E-5</v>
      </c>
      <c r="F83" s="101">
        <v>-2.7710588999999998E-5</v>
      </c>
      <c r="G83" s="101">
        <v>2.4972508E-5</v>
      </c>
      <c r="H83" s="101">
        <v>-2.7441158999999999E-5</v>
      </c>
      <c r="I83" s="101">
        <v>3.2225211000000003E-4</v>
      </c>
      <c r="J83" s="101">
        <v>9.3654033999999997E-2</v>
      </c>
      <c r="K83" s="101">
        <v>1.8572044000000001E-4</v>
      </c>
      <c r="L83" s="101">
        <v>46.036217999999998</v>
      </c>
      <c r="M83" s="101">
        <v>9.3703687999999993E-2</v>
      </c>
      <c r="N83" s="101">
        <v>1.5210897E-3</v>
      </c>
      <c r="O83" s="101">
        <v>46.082079999999998</v>
      </c>
      <c r="P83" s="106">
        <f t="shared" si="31"/>
        <v>4.0302095738734014</v>
      </c>
      <c r="Q83" s="113">
        <f t="shared" si="32"/>
        <v>3.2362115050000001E-4</v>
      </c>
      <c r="R83" s="113">
        <f t="shared" si="33"/>
        <v>-5.5475434999999997E-6</v>
      </c>
      <c r="S83" s="113">
        <f t="shared" si="34"/>
        <v>1.4340450577000001E-3</v>
      </c>
      <c r="T83" s="113">
        <f t="shared" si="35"/>
        <v>9.3650984265024995E-2</v>
      </c>
      <c r="U83" s="113">
        <f t="shared" si="36"/>
        <v>9.3700638265024991E-2</v>
      </c>
      <c r="V83" s="4">
        <f t="shared" si="37"/>
        <v>492.06188660645893</v>
      </c>
      <c r="W83" s="4">
        <f t="shared" si="38"/>
        <v>1.5312653347473254E-2</v>
      </c>
      <c r="X83" s="4">
        <f t="shared" si="39"/>
        <v>3.4556086413803973E-3</v>
      </c>
      <c r="Y83">
        <f t="shared" si="40"/>
        <v>-3.4807557963038394E-4</v>
      </c>
      <c r="Z83">
        <f t="shared" si="41"/>
        <v>1.5307323386783653E-2</v>
      </c>
      <c r="AA83">
        <f t="shared" si="42"/>
        <v>3.4568114543612216E-3</v>
      </c>
      <c r="AB83">
        <f t="shared" si="43"/>
        <v>-2.3409038140928826E-6</v>
      </c>
      <c r="AC83">
        <f t="shared" si="44"/>
        <v>1.037312159592912E-5</v>
      </c>
    </row>
    <row r="84" spans="1:29" ht="15">
      <c r="A84" s="131">
        <f t="shared" si="45"/>
        <v>69</v>
      </c>
      <c r="B84" s="101">
        <v>-1.3438302E-5</v>
      </c>
      <c r="C84" s="101">
        <v>1.0672497999999999E-6</v>
      </c>
      <c r="D84" s="101">
        <v>6.6604458000000001E-5</v>
      </c>
      <c r="E84" s="101">
        <v>-1.8941536E-5</v>
      </c>
      <c r="F84" s="101">
        <v>-2.3006067E-5</v>
      </c>
      <c r="G84" s="101">
        <v>2.1806763000000001E-5</v>
      </c>
      <c r="H84" s="101">
        <v>-1.9445815E-5</v>
      </c>
      <c r="I84" s="101">
        <v>3.2845044999999998E-4</v>
      </c>
      <c r="J84" s="101">
        <v>9.3942179000000001E-2</v>
      </c>
      <c r="K84" s="101">
        <v>1.9208187999999999E-4</v>
      </c>
      <c r="L84" s="101">
        <v>46.184108999999999</v>
      </c>
      <c r="M84" s="101">
        <v>9.3909705999999996E-2</v>
      </c>
      <c r="N84" s="101">
        <v>1.5524516E-3</v>
      </c>
      <c r="O84" s="101">
        <v>46.178967999999998</v>
      </c>
      <c r="P84" s="106">
        <f t="shared" si="31"/>
        <v>4.1595100176340019</v>
      </c>
      <c r="Q84" s="113">
        <f t="shared" si="32"/>
        <v>3.2905010199999997E-4</v>
      </c>
      <c r="R84" s="113">
        <f t="shared" si="33"/>
        <v>1.5279864999999993E-6</v>
      </c>
      <c r="S84" s="113">
        <f t="shared" si="34"/>
        <v>1.4853135171E-3</v>
      </c>
      <c r="T84" s="113">
        <f t="shared" si="35"/>
        <v>9.3948364526100003E-2</v>
      </c>
      <c r="U84" s="113">
        <f t="shared" si="36"/>
        <v>9.3915891526099998E-2</v>
      </c>
      <c r="V84" s="4">
        <f t="shared" si="37"/>
        <v>491.53562420100371</v>
      </c>
      <c r="W84" s="4">
        <f t="shared" si="38"/>
        <v>1.5809892216775756E-2</v>
      </c>
      <c r="X84" s="4">
        <f t="shared" si="39"/>
        <v>3.5024569470667672E-3</v>
      </c>
      <c r="Y84">
        <f t="shared" si="40"/>
        <v>8.4349439180009256E-6</v>
      </c>
      <c r="Z84">
        <f t="shared" si="41"/>
        <v>1.5810025572329953E-2</v>
      </c>
      <c r="AA84">
        <f t="shared" si="42"/>
        <v>3.5024274040388434E-3</v>
      </c>
      <c r="AB84">
        <f t="shared" si="43"/>
        <v>-2.3751801325082304E-6</v>
      </c>
      <c r="AC84">
        <f t="shared" si="44"/>
        <v>1.0721428545133359E-5</v>
      </c>
    </row>
    <row r="85" spans="1:29" ht="15">
      <c r="A85" s="131">
        <f t="shared" si="45"/>
        <v>70</v>
      </c>
      <c r="B85" s="101">
        <v>1.4086022999999999E-7</v>
      </c>
      <c r="C85" s="101">
        <v>1.9192129999999999E-6</v>
      </c>
      <c r="D85" s="101">
        <v>8.6721213999999997E-5</v>
      </c>
      <c r="E85" s="101">
        <v>-3.2023470000000001E-5</v>
      </c>
      <c r="F85" s="101">
        <v>-1.9801853999999998E-5</v>
      </c>
      <c r="G85" s="101">
        <v>1.8848962000000001E-5</v>
      </c>
      <c r="H85" s="101">
        <v>-3.3024705999999999E-5</v>
      </c>
      <c r="I85" s="101">
        <v>3.3205486000000001E-4</v>
      </c>
      <c r="J85" s="101">
        <v>9.4260653999999999E-2</v>
      </c>
      <c r="K85" s="101">
        <v>1.8866624E-4</v>
      </c>
      <c r="L85" s="101">
        <v>46.340158000000002</v>
      </c>
      <c r="M85" s="101">
        <v>9.4150164999999994E-2</v>
      </c>
      <c r="N85" s="101">
        <v>1.5372101E-3</v>
      </c>
      <c r="O85" s="101">
        <v>46.295056000000002</v>
      </c>
      <c r="P85" s="106">
        <f t="shared" si="31"/>
        <v>4.0752999629161266</v>
      </c>
      <c r="Q85" s="113">
        <f t="shared" si="32"/>
        <v>3.3253130600000003E-4</v>
      </c>
      <c r="R85" s="113">
        <f t="shared" si="33"/>
        <v>-7.1120439999999994E-6</v>
      </c>
      <c r="S85" s="113">
        <f t="shared" si="34"/>
        <v>1.4495292795000001E-3</v>
      </c>
      <c r="T85" s="113">
        <f t="shared" si="35"/>
        <v>9.4259623963384997E-2</v>
      </c>
      <c r="U85" s="113">
        <f t="shared" si="36"/>
        <v>9.4149134963384992E-2</v>
      </c>
      <c r="V85" s="4">
        <f t="shared" si="37"/>
        <v>491.14407689535494</v>
      </c>
      <c r="W85" s="4">
        <f t="shared" si="38"/>
        <v>1.5378050734247226E-2</v>
      </c>
      <c r="X85" s="4">
        <f t="shared" si="39"/>
        <v>3.5278233884019237E-3</v>
      </c>
      <c r="Y85">
        <f t="shared" si="40"/>
        <v>2.741799205330242E-4</v>
      </c>
      <c r="Z85">
        <f t="shared" si="41"/>
        <v>1.5382267086975494E-2</v>
      </c>
      <c r="AA85">
        <f t="shared" si="42"/>
        <v>3.5268561300656372E-3</v>
      </c>
      <c r="AB85">
        <f t="shared" si="43"/>
        <v>-2.3942895471746844E-6</v>
      </c>
      <c r="AC85">
        <f t="shared" si="44"/>
        <v>1.0436890420869131E-5</v>
      </c>
    </row>
    <row r="86" spans="1:29" ht="15">
      <c r="A86" s="131">
        <f t="shared" si="45"/>
        <v>71</v>
      </c>
      <c r="B86" s="101">
        <v>2.5922495000000001E-5</v>
      </c>
      <c r="C86" s="101">
        <v>3.6647792000000003E-5</v>
      </c>
      <c r="D86" s="101">
        <v>8.7474184000000006E-5</v>
      </c>
      <c r="E86" s="101">
        <v>-7.0763726000000003E-6</v>
      </c>
      <c r="F86" s="101">
        <v>3.4718349000000003E-5</v>
      </c>
      <c r="G86" s="101">
        <v>3.0622671000000001E-5</v>
      </c>
      <c r="H86" s="101">
        <v>-2.2515599E-6</v>
      </c>
      <c r="I86" s="101">
        <v>3.8291009E-4</v>
      </c>
      <c r="J86" s="101">
        <v>9.6565384000000004E-2</v>
      </c>
      <c r="K86" s="101">
        <v>2.0150655E-4</v>
      </c>
      <c r="L86" s="101">
        <v>47.467669999999998</v>
      </c>
      <c r="M86" s="101">
        <v>9.6634023999999999E-2</v>
      </c>
      <c r="N86" s="101">
        <v>1.5981006000000001E-3</v>
      </c>
      <c r="O86" s="101">
        <v>47.511301000000003</v>
      </c>
      <c r="P86" s="106">
        <f t="shared" si="31"/>
        <v>4.2412341013351744</v>
      </c>
      <c r="Q86" s="113">
        <f t="shared" si="32"/>
        <v>3.5023957999999998E-4</v>
      </c>
      <c r="R86" s="113">
        <f t="shared" si="33"/>
        <v>-1.6072548100000002E-5</v>
      </c>
      <c r="S86" s="113">
        <f t="shared" si="34"/>
        <v>1.4923025200000001E-3</v>
      </c>
      <c r="T86" s="113">
        <f t="shared" si="35"/>
        <v>9.6534098856500009E-2</v>
      </c>
      <c r="U86" s="113">
        <f t="shared" si="36"/>
        <v>9.6602738856500003E-2</v>
      </c>
      <c r="V86" s="4">
        <f t="shared" si="37"/>
        <v>492.17117643193171</v>
      </c>
      <c r="W86" s="4">
        <f t="shared" si="38"/>
        <v>1.5458812354154148E-2</v>
      </c>
      <c r="X86" s="4">
        <f t="shared" si="39"/>
        <v>3.6281436730521365E-3</v>
      </c>
      <c r="Y86">
        <f t="shared" si="40"/>
        <v>-4.2201713177236755E-4</v>
      </c>
      <c r="Z86">
        <f t="shared" si="41"/>
        <v>1.5452288470503841E-2</v>
      </c>
      <c r="AA86">
        <f t="shared" si="42"/>
        <v>3.6296748118386959E-3</v>
      </c>
      <c r="AB86">
        <f t="shared" si="43"/>
        <v>-2.4572369985546521E-6</v>
      </c>
      <c r="AC86">
        <f t="shared" si="44"/>
        <v>1.0469807453458985E-5</v>
      </c>
    </row>
    <row r="87" spans="1:29" ht="15">
      <c r="A87" s="131">
        <f t="shared" si="45"/>
        <v>72</v>
      </c>
      <c r="B87" s="101">
        <v>-6.7088296000000003E-7</v>
      </c>
      <c r="C87" s="101">
        <v>3.5266486E-5</v>
      </c>
      <c r="D87" s="101">
        <v>8.6531760000000001E-5</v>
      </c>
      <c r="E87" s="101">
        <v>-1.0651686999999999E-5</v>
      </c>
      <c r="F87" s="101">
        <v>3.1889969000000003E-5</v>
      </c>
      <c r="G87" s="101">
        <v>3.4098350999999998E-5</v>
      </c>
      <c r="H87" s="101">
        <v>-1.4008708E-5</v>
      </c>
      <c r="I87" s="101">
        <v>3.6921167000000002E-4</v>
      </c>
      <c r="J87" s="101">
        <v>9.6928625000000004E-2</v>
      </c>
      <c r="K87" s="101">
        <v>2.1029402E-4</v>
      </c>
      <c r="L87" s="101">
        <v>47.654598</v>
      </c>
      <c r="M87" s="101">
        <v>9.6921161000000006E-2</v>
      </c>
      <c r="N87" s="101">
        <v>1.6004321E-3</v>
      </c>
      <c r="O87" s="101">
        <v>47.647441000000001</v>
      </c>
      <c r="P87" s="106">
        <f t="shared" si="31"/>
        <v>4.4135427965585814</v>
      </c>
      <c r="Q87" s="113">
        <f t="shared" si="32"/>
        <v>3.3621751000000001E-4</v>
      </c>
      <c r="R87" s="113">
        <f t="shared" si="33"/>
        <v>-2.4627849000000002E-5</v>
      </c>
      <c r="S87" s="113">
        <f t="shared" si="34"/>
        <v>1.496267097E-3</v>
      </c>
      <c r="T87" s="113">
        <f t="shared" si="35"/>
        <v>9.6911327198480002E-2</v>
      </c>
      <c r="U87" s="113">
        <f t="shared" si="36"/>
        <v>9.6903863198480003E-2</v>
      </c>
      <c r="V87" s="4">
        <f t="shared" si="37"/>
        <v>491.66018439119387</v>
      </c>
      <c r="W87" s="4">
        <f t="shared" si="38"/>
        <v>1.5439548092614172E-2</v>
      </c>
      <c r="X87" s="4">
        <f t="shared" si="39"/>
        <v>3.4693313951980774E-3</v>
      </c>
      <c r="Y87">
        <f t="shared" si="40"/>
        <v>-7.6015893007800678E-5</v>
      </c>
      <c r="Z87">
        <f t="shared" si="41"/>
        <v>1.5438374441578275E-2</v>
      </c>
      <c r="AA87">
        <f t="shared" si="42"/>
        <v>3.4695951195222231E-3</v>
      </c>
      <c r="AB87">
        <f t="shared" si="43"/>
        <v>-2.3521200925215135E-6</v>
      </c>
      <c r="AC87">
        <f t="shared" si="44"/>
        <v>1.0467628240517681E-5</v>
      </c>
    </row>
    <row r="88" spans="1:29" ht="15">
      <c r="A88" s="131">
        <f t="shared" si="45"/>
        <v>73</v>
      </c>
      <c r="B88" s="101">
        <v>-4.7354757000000002E-6</v>
      </c>
      <c r="C88" s="101">
        <v>3.6523546999999999E-5</v>
      </c>
      <c r="D88" s="101">
        <v>8.6260342000000006E-5</v>
      </c>
      <c r="E88" s="101">
        <v>-1.063549E-7</v>
      </c>
      <c r="F88" s="101">
        <v>7.2716350999999998E-7</v>
      </c>
      <c r="G88" s="101">
        <v>2.6325210000000001E-5</v>
      </c>
      <c r="H88" s="101">
        <v>2.8969397000000002E-6</v>
      </c>
      <c r="I88" s="101">
        <v>3.8258115E-4</v>
      </c>
      <c r="J88" s="101">
        <v>9.7054761000000003E-2</v>
      </c>
      <c r="K88" s="101">
        <v>2.1612794E-4</v>
      </c>
      <c r="L88" s="101">
        <v>47.706453000000003</v>
      </c>
      <c r="M88" s="101">
        <v>9.7280202999999996E-2</v>
      </c>
      <c r="N88" s="101">
        <v>1.598342E-3</v>
      </c>
      <c r="O88" s="101">
        <v>47.832104999999999</v>
      </c>
      <c r="P88" s="106">
        <f t="shared" si="31"/>
        <v>4.5184701781366305</v>
      </c>
      <c r="Q88" s="113">
        <f t="shared" si="32"/>
        <v>3.6905496324499999E-4</v>
      </c>
      <c r="R88" s="113">
        <f t="shared" si="33"/>
        <v>2.5865353950000003E-6</v>
      </c>
      <c r="S88" s="113">
        <f t="shared" si="34"/>
        <v>1.4938198844999999E-3</v>
      </c>
      <c r="T88" s="113">
        <f t="shared" si="35"/>
        <v>9.7038866964350004E-2</v>
      </c>
      <c r="U88" s="113">
        <f t="shared" si="36"/>
        <v>9.7264308964349996E-2</v>
      </c>
      <c r="V88" s="4">
        <f t="shared" si="37"/>
        <v>492.91697745783125</v>
      </c>
      <c r="W88" s="4">
        <f t="shared" si="38"/>
        <v>1.5394036752807483E-2</v>
      </c>
      <c r="X88" s="4">
        <f t="shared" si="39"/>
        <v>3.8031664506200684E-3</v>
      </c>
      <c r="Y88">
        <f t="shared" si="40"/>
        <v>-9.2572386639770221E-4</v>
      </c>
      <c r="Z88">
        <f t="shared" si="41"/>
        <v>1.5379786125585207E-2</v>
      </c>
      <c r="AA88">
        <f t="shared" si="42"/>
        <v>3.8066871325712908E-3</v>
      </c>
      <c r="AB88">
        <f t="shared" si="43"/>
        <v>-2.5718776349413575E-6</v>
      </c>
      <c r="AC88">
        <f t="shared" si="44"/>
        <v>1.0410161992661623E-5</v>
      </c>
    </row>
    <row r="89" spans="1:29" ht="15">
      <c r="A89" s="131">
        <f t="shared" si="45"/>
        <v>74</v>
      </c>
      <c r="B89" s="101">
        <v>5.1776430000000003E-6</v>
      </c>
      <c r="C89" s="101">
        <v>4.8078355000000001E-5</v>
      </c>
      <c r="D89" s="101">
        <v>9.1666097000000005E-5</v>
      </c>
      <c r="E89" s="101">
        <v>-9.5151146999999993E-6</v>
      </c>
      <c r="F89" s="101">
        <v>1.3165856999999999E-5</v>
      </c>
      <c r="G89" s="101">
        <v>2.3897528999999999E-5</v>
      </c>
      <c r="H89" s="101">
        <v>-8.9430646000000003E-6</v>
      </c>
      <c r="I89" s="101">
        <v>3.7962800999999998E-4</v>
      </c>
      <c r="J89" s="101">
        <v>9.7514231000000007E-2</v>
      </c>
      <c r="K89" s="101">
        <v>2.0519302999999999E-4</v>
      </c>
      <c r="L89" s="101">
        <v>47.941389999999998</v>
      </c>
      <c r="M89" s="101">
        <v>9.7943722999999996E-2</v>
      </c>
      <c r="N89" s="101">
        <v>1.5932339E-3</v>
      </c>
      <c r="O89" s="101">
        <v>48.149082</v>
      </c>
      <c r="P89" s="106">
        <f t="shared" si="31"/>
        <v>4.2616187365732117</v>
      </c>
      <c r="Q89" s="113">
        <f t="shared" si="32"/>
        <v>3.6109631699999997E-4</v>
      </c>
      <c r="R89" s="113">
        <f t="shared" si="33"/>
        <v>-1.076843575E-5</v>
      </c>
      <c r="S89" s="113">
        <f t="shared" si="34"/>
        <v>1.4775286255E-3</v>
      </c>
      <c r="T89" s="113">
        <f t="shared" si="35"/>
        <v>9.7487603001000012E-2</v>
      </c>
      <c r="U89" s="113">
        <f t="shared" si="36"/>
        <v>9.7917095001000001E-2</v>
      </c>
      <c r="V89" s="4">
        <f t="shared" si="37"/>
        <v>493.8995371494168</v>
      </c>
      <c r="W89" s="4">
        <f t="shared" si="38"/>
        <v>1.5156066823028193E-2</v>
      </c>
      <c r="X89" s="4">
        <f t="shared" si="39"/>
        <v>3.7040229309597025E-3</v>
      </c>
      <c r="Y89">
        <f t="shared" si="40"/>
        <v>-1.5870128405149526E-3</v>
      </c>
      <c r="Z89">
        <f t="shared" si="41"/>
        <v>1.5132013950368344E-2</v>
      </c>
      <c r="AA89">
        <f t="shared" si="42"/>
        <v>3.7099012629126971E-3</v>
      </c>
      <c r="AB89">
        <f t="shared" si="43"/>
        <v>-2.4998490936961161E-6</v>
      </c>
      <c r="AC89">
        <f t="shared" si="44"/>
        <v>1.0228845937983477E-5</v>
      </c>
    </row>
    <row r="90" spans="1:29" ht="15">
      <c r="A90" s="131">
        <f t="shared" si="45"/>
        <v>75</v>
      </c>
      <c r="B90" s="101">
        <v>-1.0930185E-5</v>
      </c>
      <c r="C90" s="101">
        <v>4.2779644E-5</v>
      </c>
      <c r="D90" s="101">
        <v>7.7461915999999995E-5</v>
      </c>
      <c r="E90" s="101">
        <v>-1.6424852000000001E-5</v>
      </c>
      <c r="F90" s="101">
        <v>2.9902067999999999E-5</v>
      </c>
      <c r="G90" s="101">
        <v>4.8755143999999997E-5</v>
      </c>
      <c r="H90" s="101">
        <v>-7.2946552999999999E-6</v>
      </c>
      <c r="I90" s="101">
        <v>3.7111218999999999E-4</v>
      </c>
      <c r="J90" s="101">
        <v>9.8316194999999995E-2</v>
      </c>
      <c r="K90" s="101">
        <v>2.2163209E-4</v>
      </c>
      <c r="L90" s="101">
        <v>48.335507</v>
      </c>
      <c r="M90" s="101">
        <v>9.8344767E-2</v>
      </c>
      <c r="N90" s="101">
        <v>1.6196273999999999E-3</v>
      </c>
      <c r="O90" s="101">
        <v>48.348874000000002</v>
      </c>
      <c r="P90" s="106">
        <f t="shared" si="31"/>
        <v>4.5840176133160817</v>
      </c>
      <c r="Q90" s="113">
        <f t="shared" si="32"/>
        <v>3.3178358399999999E-4</v>
      </c>
      <c r="R90" s="113">
        <f t="shared" si="33"/>
        <v>-1.4033263299999999E-5</v>
      </c>
      <c r="S90" s="113">
        <f t="shared" si="34"/>
        <v>1.520775662E-3</v>
      </c>
      <c r="T90" s="113">
        <f t="shared" si="35"/>
        <v>9.8300270270499993E-2</v>
      </c>
      <c r="U90" s="113">
        <f t="shared" si="36"/>
        <v>9.8328842270499997E-2</v>
      </c>
      <c r="V90" s="4">
        <f t="shared" si="37"/>
        <v>491.84884097424037</v>
      </c>
      <c r="W90" s="4">
        <f t="shared" si="38"/>
        <v>1.5470716996150378E-2</v>
      </c>
      <c r="X90" s="4">
        <f t="shared" si="39"/>
        <v>3.3752052063235126E-3</v>
      </c>
      <c r="Y90">
        <f t="shared" si="40"/>
        <v>-2.0384213055468781E-4</v>
      </c>
      <c r="Z90">
        <f t="shared" si="41"/>
        <v>1.5467563412236674E-2</v>
      </c>
      <c r="AA90">
        <f t="shared" si="42"/>
        <v>3.3758932153438283E-3</v>
      </c>
      <c r="AB90">
        <f t="shared" si="43"/>
        <v>-2.2874271694517643E-6</v>
      </c>
      <c r="AC90">
        <f t="shared" si="44"/>
        <v>1.0484736845508888E-5</v>
      </c>
    </row>
    <row r="91" spans="1:29" ht="15">
      <c r="A91" s="131">
        <f t="shared" si="45"/>
        <v>76</v>
      </c>
      <c r="B91" s="101">
        <v>4.4025027E-5</v>
      </c>
      <c r="C91" s="101">
        <v>1.7755476000000001E-5</v>
      </c>
      <c r="D91" s="101">
        <v>9.0013056E-5</v>
      </c>
      <c r="E91" s="101">
        <v>2.4099163E-5</v>
      </c>
      <c r="F91" s="101">
        <v>-1.3135582000000001E-5</v>
      </c>
      <c r="G91" s="101">
        <v>3.7722141999999997E-5</v>
      </c>
      <c r="H91" s="101">
        <v>1.6604695E-5</v>
      </c>
      <c r="I91" s="101">
        <v>3.6615665999999999E-4</v>
      </c>
      <c r="J91" s="101">
        <v>9.8513630000000005E-2</v>
      </c>
      <c r="K91" s="101">
        <v>1.5241308000000001E-4</v>
      </c>
      <c r="L91" s="101">
        <v>48.424551999999998</v>
      </c>
      <c r="M91" s="101">
        <v>9.8661185999999998E-2</v>
      </c>
      <c r="N91" s="101">
        <v>1.6080070000000001E-3</v>
      </c>
      <c r="O91" s="101">
        <v>48.509081999999999</v>
      </c>
      <c r="P91" s="106">
        <f t="shared" si="31"/>
        <v>3.1419493776443761</v>
      </c>
      <c r="Q91" s="113">
        <f t="shared" si="32"/>
        <v>3.5386338E-4</v>
      </c>
      <c r="R91" s="113">
        <f t="shared" si="33"/>
        <v>1.11229045E-5</v>
      </c>
      <c r="S91" s="113">
        <f t="shared" si="34"/>
        <v>1.5091162060000001E-3</v>
      </c>
      <c r="T91" s="113">
        <f t="shared" si="35"/>
        <v>9.8482739748500012E-2</v>
      </c>
      <c r="U91" s="113">
        <f t="shared" si="36"/>
        <v>9.8630295748500005E-2</v>
      </c>
      <c r="V91" s="4">
        <f t="shared" si="37"/>
        <v>492.56430237298349</v>
      </c>
      <c r="W91" s="4">
        <f t="shared" si="38"/>
        <v>1.532366189094557E-2</v>
      </c>
      <c r="X91" s="4">
        <f t="shared" si="39"/>
        <v>3.5931512557802261E-3</v>
      </c>
      <c r="Y91">
        <f t="shared" si="40"/>
        <v>-6.8772066294183376E-4</v>
      </c>
      <c r="Z91">
        <f t="shared" si="41"/>
        <v>1.5313123492031231E-2</v>
      </c>
      <c r="AA91">
        <f t="shared" si="42"/>
        <v>3.5956223401439019E-3</v>
      </c>
      <c r="AB91">
        <f t="shared" si="43"/>
        <v>-2.4315953866123461E-6</v>
      </c>
      <c r="AC91">
        <f t="shared" si="44"/>
        <v>1.0369990826322655E-5</v>
      </c>
    </row>
    <row r="92" spans="1:29" ht="15">
      <c r="A92" s="131">
        <f t="shared" si="45"/>
        <v>77</v>
      </c>
      <c r="B92" s="101">
        <v>4.2930096000000003E-6</v>
      </c>
      <c r="C92" s="101">
        <v>2.8541976999999999E-5</v>
      </c>
      <c r="D92" s="101">
        <v>7.0055521999999994E-5</v>
      </c>
      <c r="E92" s="101">
        <v>-3.3692546000000002E-5</v>
      </c>
      <c r="F92" s="101">
        <v>-1.3007624E-5</v>
      </c>
      <c r="G92" s="101">
        <v>2.4808090999999999E-5</v>
      </c>
      <c r="H92" s="101">
        <v>-7.6531330999999998E-6</v>
      </c>
      <c r="I92" s="101">
        <v>3.5865084999999998E-4</v>
      </c>
      <c r="J92" s="101">
        <v>9.9140434E-2</v>
      </c>
      <c r="K92" s="101">
        <v>2.0380193999999999E-4</v>
      </c>
      <c r="L92" s="101">
        <v>48.744295000000001</v>
      </c>
      <c r="M92" s="101">
        <v>9.9223776999999999E-2</v>
      </c>
      <c r="N92" s="101">
        <v>1.6392678999999999E-3</v>
      </c>
      <c r="O92" s="101">
        <v>48.795672000000003</v>
      </c>
      <c r="P92" s="106">
        <f t="shared" si="31"/>
        <v>4.1766396823062504</v>
      </c>
      <c r="Q92" s="113">
        <f t="shared" si="32"/>
        <v>3.5275061649999996E-4</v>
      </c>
      <c r="R92" s="113">
        <f t="shared" si="33"/>
        <v>1.5696951899999999E-5</v>
      </c>
      <c r="S92" s="113">
        <f t="shared" si="34"/>
        <v>1.5549413895E-3</v>
      </c>
      <c r="T92" s="113">
        <f t="shared" si="35"/>
        <v>9.9124016506699997E-2</v>
      </c>
      <c r="U92" s="113">
        <f t="shared" si="36"/>
        <v>9.9207359506699996E-2</v>
      </c>
      <c r="V92" s="4">
        <f t="shared" si="37"/>
        <v>492.26891443308097</v>
      </c>
      <c r="W92" s="4">
        <f t="shared" si="38"/>
        <v>1.5686827918185684E-2</v>
      </c>
      <c r="X92" s="4">
        <f t="shared" si="39"/>
        <v>3.5586796109715432E-3</v>
      </c>
      <c r="Y92">
        <f t="shared" si="40"/>
        <v>-4.8811532658317908E-4</v>
      </c>
      <c r="Z92">
        <f t="shared" si="41"/>
        <v>1.5679170937053344E-2</v>
      </c>
      <c r="AA92">
        <f t="shared" si="42"/>
        <v>3.5604166570320575E-3</v>
      </c>
      <c r="AB92">
        <f t="shared" si="43"/>
        <v>-2.4097124604275008E-6</v>
      </c>
      <c r="AC92">
        <f t="shared" si="44"/>
        <v>1.0622126415227972E-5</v>
      </c>
    </row>
    <row r="93" spans="1:29" ht="15">
      <c r="A93" s="131">
        <f t="shared" si="45"/>
        <v>78</v>
      </c>
      <c r="B93" s="101">
        <v>6.9328130999999996E-6</v>
      </c>
      <c r="C93" s="101">
        <v>2.1263145999999999E-5</v>
      </c>
      <c r="D93" s="101">
        <v>7.6553023E-5</v>
      </c>
      <c r="E93" s="101">
        <v>-1.3186192000000001E-5</v>
      </c>
      <c r="F93" s="101">
        <v>-1.6575390999999999E-5</v>
      </c>
      <c r="G93" s="101">
        <v>3.9702749999999999E-5</v>
      </c>
      <c r="H93" s="101">
        <v>-5.8261729999999997E-6</v>
      </c>
      <c r="I93" s="101">
        <v>3.6826462E-4</v>
      </c>
      <c r="J93" s="101">
        <v>9.9744231000000003E-2</v>
      </c>
      <c r="K93" s="101">
        <v>1.9774749000000001E-4</v>
      </c>
      <c r="L93" s="101">
        <v>49.026670000000003</v>
      </c>
      <c r="M93" s="101">
        <v>9.9853239999999996E-2</v>
      </c>
      <c r="N93" s="101">
        <v>1.6462238999999999E-3</v>
      </c>
      <c r="O93" s="101">
        <v>49.103254</v>
      </c>
      <c r="P93" s="106">
        <f t="shared" si="31"/>
        <v>4.0271768954456659</v>
      </c>
      <c r="Q93" s="113">
        <f t="shared" si="32"/>
        <v>3.5670094049999998E-4</v>
      </c>
      <c r="R93" s="113">
        <f t="shared" si="33"/>
        <v>9.0546185000000003E-6</v>
      </c>
      <c r="S93" s="113">
        <f t="shared" si="34"/>
        <v>1.559039304E-3</v>
      </c>
      <c r="T93" s="113">
        <f t="shared" si="35"/>
        <v>9.9730133020450001E-2</v>
      </c>
      <c r="U93" s="113">
        <f t="shared" si="36"/>
        <v>9.9839142020449995E-2</v>
      </c>
      <c r="V93" s="4">
        <f t="shared" si="37"/>
        <v>492.36126046208335</v>
      </c>
      <c r="W93" s="4">
        <f t="shared" si="38"/>
        <v>1.5632580212043973E-2</v>
      </c>
      <c r="X93" s="4">
        <f t="shared" si="39"/>
        <v>3.5766616337196428E-3</v>
      </c>
      <c r="Y93">
        <f t="shared" si="40"/>
        <v>-5.5054293131899057E-4</v>
      </c>
      <c r="Z93">
        <f t="shared" si="41"/>
        <v>1.5623973805509955E-2</v>
      </c>
      <c r="AA93">
        <f t="shared" si="42"/>
        <v>3.5786307394998071E-3</v>
      </c>
      <c r="AB93">
        <f t="shared" si="43"/>
        <v>-2.4214345041165704E-6</v>
      </c>
      <c r="AC93">
        <f t="shared" si="44"/>
        <v>1.0583407934635045E-5</v>
      </c>
    </row>
    <row r="94" spans="1:29" ht="15">
      <c r="A94" s="131">
        <f t="shared" si="45"/>
        <v>79</v>
      </c>
      <c r="B94" s="101">
        <v>1.6679267000000001E-5</v>
      </c>
      <c r="C94" s="101">
        <v>1.6475857000000002E-5</v>
      </c>
      <c r="D94" s="101">
        <v>9.7014588999999994E-5</v>
      </c>
      <c r="E94" s="101">
        <v>-1.8435858999999999E-5</v>
      </c>
      <c r="F94" s="101">
        <v>9.0239894E-6</v>
      </c>
      <c r="G94" s="101">
        <v>3.8072950999999999E-5</v>
      </c>
      <c r="H94" s="101">
        <v>-1.0889454000000001E-5</v>
      </c>
      <c r="I94" s="101">
        <v>3.6730851000000002E-4</v>
      </c>
      <c r="J94" s="101">
        <v>0.10028864</v>
      </c>
      <c r="K94" s="101">
        <v>2.0704407E-4</v>
      </c>
      <c r="L94" s="101">
        <v>49.307462000000001</v>
      </c>
      <c r="M94" s="101">
        <v>0.10034284</v>
      </c>
      <c r="N94" s="101">
        <v>1.6305053999999999E-3</v>
      </c>
      <c r="O94" s="101">
        <v>49.345756000000002</v>
      </c>
      <c r="P94" s="106">
        <f t="shared" si="31"/>
        <v>4.1957827133097316</v>
      </c>
      <c r="Q94" s="113">
        <f t="shared" si="32"/>
        <v>3.4376003980000002E-4</v>
      </c>
      <c r="R94" s="113">
        <f t="shared" si="33"/>
        <v>-6.1835192000000012E-6</v>
      </c>
      <c r="S94" s="113">
        <f t="shared" si="34"/>
        <v>1.5252528824999999E-3</v>
      </c>
      <c r="T94" s="113">
        <f t="shared" si="35"/>
        <v>0.10027206243799999</v>
      </c>
      <c r="U94" s="113">
        <f t="shared" si="36"/>
        <v>0.100326262438</v>
      </c>
      <c r="V94" s="4">
        <f t="shared" si="37"/>
        <v>492.11868989441962</v>
      </c>
      <c r="W94" s="4">
        <f t="shared" si="38"/>
        <v>1.5211145013029836E-2</v>
      </c>
      <c r="X94" s="4">
        <f t="shared" si="39"/>
        <v>3.4282733539319887E-3</v>
      </c>
      <c r="Y94">
        <f t="shared" si="40"/>
        <v>-3.8651073332655417E-4</v>
      </c>
      <c r="Z94">
        <f t="shared" si="41"/>
        <v>1.5205265742216114E-2</v>
      </c>
      <c r="AA94">
        <f t="shared" si="42"/>
        <v>3.4295984183800605E-3</v>
      </c>
      <c r="AB94">
        <f t="shared" si="43"/>
        <v>-2.3221182371455276E-6</v>
      </c>
      <c r="AC94">
        <f t="shared" si="44"/>
        <v>1.0303168270438496E-5</v>
      </c>
    </row>
    <row r="95" spans="1:29" ht="15">
      <c r="A95" s="131">
        <f t="shared" si="45"/>
        <v>80</v>
      </c>
      <c r="B95" s="101">
        <v>-5.5875493999999999E-6</v>
      </c>
      <c r="C95" s="101">
        <v>1.4646757000000001E-5</v>
      </c>
      <c r="D95" s="101">
        <v>7.7671270000000001E-5</v>
      </c>
      <c r="E95" s="101">
        <v>-1.2149678E-5</v>
      </c>
      <c r="F95" s="101">
        <v>-1.0403296999999999E-5</v>
      </c>
      <c r="G95" s="101">
        <v>2.0203801000000001E-5</v>
      </c>
      <c r="H95" s="101">
        <v>-1.2932656E-5</v>
      </c>
      <c r="I95" s="101">
        <v>3.6542639999999999E-4</v>
      </c>
      <c r="J95" s="101">
        <v>0.10098849999999999</v>
      </c>
      <c r="K95" s="101">
        <v>2.2277228999999999E-4</v>
      </c>
      <c r="L95" s="101">
        <v>49.641969000000003</v>
      </c>
      <c r="M95" s="101">
        <v>0.10129444999999999</v>
      </c>
      <c r="N95" s="101">
        <v>1.6583586E-3</v>
      </c>
      <c r="O95" s="101">
        <v>49.806561000000002</v>
      </c>
      <c r="P95" s="106">
        <f t="shared" si="31"/>
        <v>4.4727498853012557</v>
      </c>
      <c r="Q95" s="113">
        <f t="shared" si="32"/>
        <v>3.6052614800000002E-4</v>
      </c>
      <c r="R95" s="113">
        <f t="shared" si="33"/>
        <v>-1.6561685000000017E-6</v>
      </c>
      <c r="S95" s="113">
        <f t="shared" si="34"/>
        <v>1.5733639515E-3</v>
      </c>
      <c r="T95" s="113">
        <f t="shared" si="35"/>
        <v>0.1009839703962</v>
      </c>
      <c r="U95" s="113">
        <f t="shared" si="36"/>
        <v>0.10128992039619999</v>
      </c>
      <c r="V95" s="4">
        <f t="shared" si="37"/>
        <v>493.21254457107591</v>
      </c>
      <c r="W95" s="4">
        <f t="shared" si="38"/>
        <v>1.5580333644310794E-2</v>
      </c>
      <c r="X95" s="4">
        <f t="shared" si="39"/>
        <v>3.5701324337467973E-3</v>
      </c>
      <c r="Y95">
        <f t="shared" si="40"/>
        <v>-1.1249255262746707E-3</v>
      </c>
      <c r="Z95">
        <f t="shared" si="41"/>
        <v>1.5562806929286433E-2</v>
      </c>
      <c r="AA95">
        <f t="shared" si="42"/>
        <v>3.5741485668536999E-3</v>
      </c>
      <c r="AB95">
        <f t="shared" si="43"/>
        <v>-2.4128424097914862E-6</v>
      </c>
      <c r="AC95">
        <f t="shared" si="44"/>
        <v>1.0529830608059849E-5</v>
      </c>
    </row>
    <row r="96" spans="1:29" ht="15">
      <c r="A96" s="13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6"/>
      <c r="Q96" s="113"/>
      <c r="R96" s="113"/>
      <c r="S96" s="113"/>
      <c r="T96" s="113"/>
      <c r="U96" s="113"/>
      <c r="V96" s="4"/>
      <c r="W96" s="4"/>
      <c r="X96" s="4"/>
    </row>
    <row r="97" spans="1:24" ht="15">
      <c r="A97" s="13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6"/>
      <c r="Q97" s="113"/>
      <c r="R97" s="113"/>
      <c r="S97" s="113"/>
      <c r="T97" s="113"/>
      <c r="U97" s="113"/>
      <c r="V97" s="4"/>
      <c r="W97" s="4"/>
      <c r="X97" s="4"/>
    </row>
  </sheetData>
  <phoneticPr fontId="10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>
    <pageSetUpPr autoPageBreaks="0"/>
  </sheetPr>
  <dimension ref="A1:AG98"/>
  <sheetViews>
    <sheetView topLeftCell="S1" zoomScaleNormal="100" zoomScalePageLayoutView="70" workbookViewId="0">
      <selection activeCell="Z13" sqref="Z13"/>
    </sheetView>
  </sheetViews>
  <sheetFormatPr defaultColWidth="11" defaultRowHeight="12.75"/>
  <cols>
    <col min="1" max="1" width="7.25" customWidth="1"/>
    <col min="2" max="2" width="11" bestFit="1" customWidth="1"/>
    <col min="3" max="7" width="8.25" bestFit="1" customWidth="1"/>
    <col min="8" max="12" width="8.25" customWidth="1"/>
    <col min="13" max="13" width="8.625" bestFit="1" customWidth="1"/>
    <col min="14" max="15" width="8.25" customWidth="1"/>
    <col min="16" max="16" width="8.625" bestFit="1" customWidth="1"/>
    <col min="17" max="22" width="8.25" customWidth="1"/>
    <col min="24" max="24" width="11.875" bestFit="1" customWidth="1"/>
    <col min="25" max="25" width="11.375" bestFit="1" customWidth="1"/>
    <col min="28" max="28" width="11.375" bestFit="1" customWidth="1"/>
    <col min="29" max="30" width="11.375" style="2" bestFit="1" customWidth="1"/>
    <col min="31" max="33" width="11" style="2"/>
  </cols>
  <sheetData>
    <row r="1" spans="1:33" ht="15">
      <c r="A1" t="s">
        <v>81</v>
      </c>
      <c r="W1" s="5" t="s">
        <v>93</v>
      </c>
      <c r="X1" t="s">
        <v>94</v>
      </c>
      <c r="Y1" t="s">
        <v>95</v>
      </c>
      <c r="Z1" t="s">
        <v>96</v>
      </c>
    </row>
    <row r="2" spans="1:33">
      <c r="A2" t="s">
        <v>82</v>
      </c>
      <c r="W2" t="s">
        <v>97</v>
      </c>
      <c r="X2">
        <v>1.0190600000000001</v>
      </c>
      <c r="Y2">
        <v>8.0000000000000007E-5</v>
      </c>
      <c r="Z2" s="6">
        <f>Y2/X2*10^6</f>
        <v>78.503719113693009</v>
      </c>
    </row>
    <row r="3" spans="1:33" ht="15">
      <c r="A3" t="s">
        <v>122</v>
      </c>
      <c r="W3" t="s">
        <v>98</v>
      </c>
      <c r="X3" s="2">
        <v>4.5479999999999998E-5</v>
      </c>
      <c r="Y3" s="10">
        <v>3.7E-8</v>
      </c>
      <c r="Z3" s="6">
        <f>Y3/X3*10^6</f>
        <v>813.54441512752862</v>
      </c>
      <c r="AB3" s="7" t="s">
        <v>83</v>
      </c>
      <c r="AC3" s="26">
        <f>AVERAGE(AA16:AA98)</f>
        <v>491.54471426103282</v>
      </c>
      <c r="AD3" s="26"/>
    </row>
    <row r="4" spans="1:33">
      <c r="A4" t="s">
        <v>123</v>
      </c>
      <c r="W4" t="s">
        <v>84</v>
      </c>
      <c r="X4" s="105">
        <v>2.3481000000000001E-4</v>
      </c>
      <c r="Y4">
        <v>1.9000000000000001E-7</v>
      </c>
      <c r="Z4" s="6">
        <f>Y4/X4*10^6</f>
        <v>809.16485669264512</v>
      </c>
    </row>
    <row r="5" spans="1:33">
      <c r="A5" t="s">
        <v>69</v>
      </c>
      <c r="AC5" s="2" t="s">
        <v>85</v>
      </c>
      <c r="AD5" s="2" t="s">
        <v>86</v>
      </c>
    </row>
    <row r="6" spans="1:33" ht="15">
      <c r="A6" t="s">
        <v>70</v>
      </c>
      <c r="W6" s="12" t="s">
        <v>87</v>
      </c>
      <c r="X6" t="s">
        <v>94</v>
      </c>
      <c r="Y6" t="s">
        <v>88</v>
      </c>
      <c r="AB6" t="s">
        <v>25</v>
      </c>
      <c r="AC6" s="26">
        <f>STDEV(AA16:AA98)/SQRT(COUNT(AA16:AA98))</f>
        <v>1.1962601729709949E-2</v>
      </c>
      <c r="AD6" s="27">
        <f>AC6/AC3*10^6</f>
        <v>24.336751840967324</v>
      </c>
    </row>
    <row r="7" spans="1:33" ht="15">
      <c r="A7" t="s">
        <v>133</v>
      </c>
      <c r="W7" t="s">
        <v>40</v>
      </c>
      <c r="X7">
        <f>SampleStats!C3</f>
        <v>1.5407105733458213E-2</v>
      </c>
      <c r="Y7" s="4">
        <f>SampleStats!H20</f>
        <v>2.6372702871587922E-5</v>
      </c>
      <c r="AB7" t="s">
        <v>41</v>
      </c>
      <c r="AC7" s="26">
        <f>SQRT(AC11+AD11+AE11+AF11+AG11)</f>
        <v>3.8796579261795749E-2</v>
      </c>
      <c r="AD7" s="27">
        <f>AC7/AC3*10^6</f>
        <v>78.927873978099555</v>
      </c>
    </row>
    <row r="8" spans="1:33" ht="15">
      <c r="A8" t="s">
        <v>134</v>
      </c>
      <c r="W8" t="s">
        <v>42</v>
      </c>
      <c r="X8" s="114">
        <f>SampleStats!F20</f>
        <v>491.73284752455925</v>
      </c>
      <c r="Y8">
        <v>0</v>
      </c>
      <c r="AB8" t="s">
        <v>43</v>
      </c>
      <c r="AC8" s="26">
        <f>SQRT(AC6^2+AC7^2)</f>
        <v>4.059899509298795E-2</v>
      </c>
      <c r="AD8" s="27">
        <f>AC8/AC3*10^6</f>
        <v>82.594714000785729</v>
      </c>
    </row>
    <row r="9" spans="1:33">
      <c r="A9" t="s">
        <v>124</v>
      </c>
      <c r="W9" t="s">
        <v>44</v>
      </c>
      <c r="X9" s="4">
        <f>SampleStats!G20</f>
        <v>1.5340254397992973E-2</v>
      </c>
      <c r="Y9" s="4">
        <f>SampleStats!H20</f>
        <v>2.6372702871587922E-5</v>
      </c>
    </row>
    <row r="10" spans="1:33" ht="15">
      <c r="A10" t="s">
        <v>125</v>
      </c>
      <c r="O10" s="18" t="s">
        <v>149</v>
      </c>
      <c r="Q10" s="106">
        <f>(AVERAGE((Q16:Q20)))</f>
        <v>4.0599311629599546</v>
      </c>
      <c r="R10" s="106"/>
      <c r="S10" s="107"/>
      <c r="T10" s="107"/>
      <c r="U10" s="107"/>
      <c r="V10" s="107"/>
    </row>
    <row r="11" spans="1:33" ht="15">
      <c r="A11" t="s">
        <v>137</v>
      </c>
      <c r="C11">
        <v>234.54</v>
      </c>
      <c r="D11">
        <v>235.54</v>
      </c>
      <c r="E11">
        <v>236.54</v>
      </c>
      <c r="F11">
        <v>232.54</v>
      </c>
      <c r="G11">
        <v>233.54</v>
      </c>
      <c r="H11">
        <v>234.54</v>
      </c>
      <c r="I11">
        <v>237.041</v>
      </c>
      <c r="S11" s="107"/>
      <c r="T11" s="107"/>
      <c r="U11" s="107"/>
      <c r="V11" s="107"/>
      <c r="AB11" t="s">
        <v>45</v>
      </c>
      <c r="AC11" s="11">
        <f>AB12^2*Y2^2</f>
        <v>1.4913016193091775E-3</v>
      </c>
      <c r="AD11" s="11">
        <f>AC12^2*Y3^2</f>
        <v>3.9879967123630601E-9</v>
      </c>
      <c r="AE11" s="11">
        <f>AD12^2*Y4^2</f>
        <v>4.3911708683456635E-13</v>
      </c>
      <c r="AF11" s="1">
        <f>AE12^2*Y9^2</f>
        <v>1.386895467179324E-5</v>
      </c>
      <c r="AG11" s="2">
        <f>AF12^2*Y8^2</f>
        <v>0</v>
      </c>
    </row>
    <row r="12" spans="1:33" ht="15">
      <c r="A12" t="s">
        <v>138</v>
      </c>
      <c r="B12" t="s">
        <v>150</v>
      </c>
      <c r="C12" s="105">
        <f t="shared" ref="C12:H12" si="0">AVERAGE(C16:C98)</f>
        <v>8.2831161137500052E-6</v>
      </c>
      <c r="D12" s="105">
        <f t="shared" si="0"/>
        <v>2.5070517431249996E-5</v>
      </c>
      <c r="E12" s="105">
        <f t="shared" si="0"/>
        <v>6.5095759550000003E-5</v>
      </c>
      <c r="F12" s="105">
        <f t="shared" si="0"/>
        <v>1.1848910571537499E-5</v>
      </c>
      <c r="G12" s="105">
        <f t="shared" si="0"/>
        <v>1.5958261418650004E-5</v>
      </c>
      <c r="H12" s="105">
        <f t="shared" si="0"/>
        <v>3.0509186843749998E-5</v>
      </c>
      <c r="I12" s="105">
        <f>AVERAGE(L16:L98)</f>
        <v>1.5158514432500001E-4</v>
      </c>
      <c r="J12" s="105"/>
      <c r="K12" s="105"/>
      <c r="S12" t="s">
        <v>151</v>
      </c>
      <c r="T12" s="8">
        <f>AVERAGE(T16:T98)</f>
        <v>7.9732145483227476E-2</v>
      </c>
      <c r="U12" s="107"/>
      <c r="V12" t="s">
        <v>151</v>
      </c>
      <c r="W12" s="120">
        <f>AVERAGE(W16:W98)</f>
        <v>3.5470971011910515</v>
      </c>
      <c r="X12" s="120">
        <f>AVERAGE(X16:X98)</f>
        <v>3.4979825885705758</v>
      </c>
      <c r="Y12" s="120">
        <f>AVERAGE(Y16:Y98)</f>
        <v>491.72519891900146</v>
      </c>
      <c r="AA12" t="s">
        <v>46</v>
      </c>
      <c r="AB12" s="2">
        <f>AVERAGE(AB16:AB98)</f>
        <v>-482.71718222688008</v>
      </c>
      <c r="AC12" s="2">
        <f>AVERAGE(AC16:AC98)</f>
        <v>1706.7726374393451</v>
      </c>
      <c r="AD12" s="2">
        <f>AVERAGE(AD16:AD98)</f>
        <v>-3.4876794896555738</v>
      </c>
      <c r="AE12" s="2">
        <f>AVERAGE(AE16:AE98)</f>
        <v>141.21057536028638</v>
      </c>
      <c r="AF12" s="2">
        <f>AVERAGE(AF16:AF98)</f>
        <v>-1.4680227155238156E-3</v>
      </c>
      <c r="AG12"/>
    </row>
    <row r="13" spans="1:33" ht="15">
      <c r="A13" t="s">
        <v>5</v>
      </c>
      <c r="S13" s="107"/>
      <c r="T13" s="107"/>
      <c r="U13" s="107"/>
      <c r="V13" s="107"/>
      <c r="AB13" s="2"/>
      <c r="AG13" s="9" t="s">
        <v>47</v>
      </c>
    </row>
    <row r="14" spans="1:33" ht="15">
      <c r="C14" s="108" t="s">
        <v>12</v>
      </c>
      <c r="D14" s="108" t="s">
        <v>13</v>
      </c>
      <c r="E14" s="108" t="s">
        <v>12</v>
      </c>
      <c r="F14" s="109" t="s">
        <v>13</v>
      </c>
      <c r="G14" s="109" t="s">
        <v>13</v>
      </c>
      <c r="H14" s="109" t="s">
        <v>13</v>
      </c>
      <c r="I14" s="110" t="s">
        <v>14</v>
      </c>
      <c r="J14" s="110" t="s">
        <v>14</v>
      </c>
      <c r="K14" s="110" t="s">
        <v>14</v>
      </c>
      <c r="L14" s="110" t="s">
        <v>14</v>
      </c>
      <c r="M14" s="110" t="s">
        <v>14</v>
      </c>
      <c r="N14" s="111" t="s">
        <v>152</v>
      </c>
      <c r="O14" s="111" t="s">
        <v>152</v>
      </c>
      <c r="P14" s="111" t="s">
        <v>152</v>
      </c>
      <c r="Q14" s="111"/>
      <c r="R14" s="111" t="s">
        <v>14</v>
      </c>
      <c r="S14" s="111" t="s">
        <v>14</v>
      </c>
      <c r="T14" s="111" t="s">
        <v>14</v>
      </c>
      <c r="U14" s="111" t="s">
        <v>152</v>
      </c>
      <c r="V14" s="111" t="s">
        <v>152</v>
      </c>
      <c r="W14" s="119" t="s">
        <v>166</v>
      </c>
      <c r="X14" s="119" t="s">
        <v>165</v>
      </c>
      <c r="Y14" s="119" t="s">
        <v>164</v>
      </c>
      <c r="Z14" s="9" t="s">
        <v>51</v>
      </c>
      <c r="AA14" s="9" t="s">
        <v>52</v>
      </c>
      <c r="AB14" s="25" t="s">
        <v>53</v>
      </c>
      <c r="AC14" s="25" t="s">
        <v>54</v>
      </c>
      <c r="AD14" s="25" t="s">
        <v>55</v>
      </c>
      <c r="AE14" s="25" t="s">
        <v>56</v>
      </c>
      <c r="AF14" s="25" t="s">
        <v>57</v>
      </c>
      <c r="AG14" s="9" t="s">
        <v>58</v>
      </c>
    </row>
    <row r="15" spans="1:33" ht="15">
      <c r="A15" t="s">
        <v>6</v>
      </c>
      <c r="B15" t="s">
        <v>7</v>
      </c>
      <c r="C15" s="112" t="s">
        <v>153</v>
      </c>
      <c r="D15" s="112" t="s">
        <v>154</v>
      </c>
      <c r="E15" s="112" t="s">
        <v>155</v>
      </c>
      <c r="F15" s="112" t="s">
        <v>156</v>
      </c>
      <c r="G15" s="112" t="s">
        <v>157</v>
      </c>
      <c r="H15" s="112" t="s">
        <v>153</v>
      </c>
      <c r="I15" t="s">
        <v>158</v>
      </c>
      <c r="J15" t="s">
        <v>159</v>
      </c>
      <c r="K15" t="s">
        <v>8</v>
      </c>
      <c r="L15" s="112" t="s">
        <v>160</v>
      </c>
      <c r="M15" t="s">
        <v>9</v>
      </c>
      <c r="N15" t="s">
        <v>161</v>
      </c>
      <c r="O15" t="s">
        <v>162</v>
      </c>
      <c r="P15" t="s">
        <v>163</v>
      </c>
      <c r="R15" s="107" t="s">
        <v>159</v>
      </c>
      <c r="S15" s="107" t="s">
        <v>158</v>
      </c>
      <c r="T15" s="107" t="s">
        <v>8</v>
      </c>
      <c r="U15" s="107" t="s">
        <v>161</v>
      </c>
      <c r="V15" s="107" t="s">
        <v>162</v>
      </c>
      <c r="AB15" s="2"/>
      <c r="AG15"/>
    </row>
    <row r="16" spans="1:33" ht="15">
      <c r="A16">
        <v>1</v>
      </c>
      <c r="C16" s="101">
        <v>2.0386212000000001E-5</v>
      </c>
      <c r="D16" s="101">
        <v>1.476982E-5</v>
      </c>
      <c r="E16" s="101">
        <v>3.8383173999999998E-5</v>
      </c>
      <c r="F16" s="101">
        <v>1.0849594000000001E-5</v>
      </c>
      <c r="G16" s="101">
        <v>2.5682642000000001E-8</v>
      </c>
      <c r="H16" s="101">
        <v>1.4186190000000001E-5</v>
      </c>
      <c r="I16" s="101">
        <v>0.15950052000000001</v>
      </c>
      <c r="J16" s="101">
        <v>2.3273671E-4</v>
      </c>
      <c r="K16" s="101">
        <v>4.4914104000000003E-2</v>
      </c>
      <c r="L16" s="101">
        <v>8.9451314E-5</v>
      </c>
      <c r="M16" s="101">
        <v>22.040393000000002</v>
      </c>
      <c r="N16" s="101">
        <v>4.5135109E-2</v>
      </c>
      <c r="O16" s="101">
        <v>0.15774114</v>
      </c>
      <c r="P16" s="101">
        <v>22.142099999999999</v>
      </c>
      <c r="Q16" s="106">
        <f t="shared" ref="Q16:Q65" si="1">(L16/P16)*1000000</f>
        <v>4.0398748989481579</v>
      </c>
      <c r="R16" s="113">
        <f t="shared" ref="R16:R65" si="2">J16-((G16+H16)/2)</f>
        <v>2.2563077367900001E-4</v>
      </c>
      <c r="S16" s="113">
        <f t="shared" ref="S16:S65" si="3">I16-((F16+G16)/2)</f>
        <v>0.159495082361679</v>
      </c>
      <c r="T16" s="113">
        <f t="shared" ref="T16:T65" si="4">K16-((C16+D16)/2)</f>
        <v>4.4896525984000006E-2</v>
      </c>
      <c r="U16" s="113">
        <f t="shared" ref="U16:U65" si="5">N16-((D16+C16)/2)</f>
        <v>4.5117530984000002E-2</v>
      </c>
      <c r="V16" s="113">
        <f>O16-((E16+D16/2))</f>
        <v>0.157695371916</v>
      </c>
      <c r="W16" s="1">
        <f>IF(AND(A16&gt;0,NOT(A16="***")),S16/T16,"")</f>
        <v>3.5525038712019508</v>
      </c>
      <c r="X16" s="1">
        <f>IF(AND(A16&gt;0,NOT(A16="***")),V16/U16,"")</f>
        <v>3.4952128025783016</v>
      </c>
      <c r="Y16" s="1">
        <f>IF(AND(A16&gt;0,NOT(A16="***")),P16/U16,"")</f>
        <v>490.76488710900952</v>
      </c>
      <c r="Z16" s="1">
        <f t="shared" ref="Z16:Z55" si="6">IF(AND(A16&gt;0,NOT(A16="***")),(W16-$X$2*X16+$X$2*$X$7-W16*$X$3*$X$7)/(3*$X$2*X16-2*$X$2*$X$7),"")</f>
        <v>5.979475113389737E-4</v>
      </c>
      <c r="AA16" s="2">
        <f t="shared" ref="AA16:AA55" si="7">IF(AND(A16&gt;0,NOT(A16="***")),($X$2*Y16+5*Z16*$X$2*Y16-W16*$X$4)/($X$2+2*Z16*$X$2-W16*$X$3),"")</f>
        <v>491.72124020873508</v>
      </c>
      <c r="AB16" s="2">
        <f t="shared" ref="AB16:AB55" si="8">IF(AND(A16&gt;0,NOT(A16="***")),-(3*W16*$X$8*(5*$X$9*Y16-9*X16*$X$8+4*$X$9*$X$8)*((-3+2*$X$3*X16)*Y16+X16*$X$4))/AG16,"")</f>
        <v>-481.40147123039509</v>
      </c>
      <c r="AC16" s="2">
        <f t="shared" ref="AC16:AC55" si="9">IF(AND(A16&gt;0,NOT(A16="***")),((3*W16*$X$8*(5*$X$9*Y16-9*X16*$X$8+4*$X$9*Y16)*(-5*W16*Y16+2*$X$2*X16*Y16+3*W16*X16*$X$4)))/AG16,"")</f>
        <v>1707.3726296079583</v>
      </c>
      <c r="AD16" s="2">
        <f t="shared" ref="AD16:AD55" si="10">IF(AND(A16&gt;0,NOT(A16="***")),(3*W16*(-$X$2*X16+W16*(-2+3*$X$3*X16))*$X$8*(-5*$X$9*Y16+9*X16*$X$8-4*$X$9*$X$8))/AG16,"")</f>
        <v>-3.4875923436141156</v>
      </c>
      <c r="AE16" s="2">
        <f t="shared" ref="AE16:AE55" si="11">IF(AND(A16&gt;0,NOT(A16="***")),(3*$X$8*(3*$X$2*Y16-5*W16*$X$3*Y16+2*W16*$X$4)*(2*$X$2*X16*(-Y16+$X$8)+W16*(5*Y16+4*$X$8-6*$X$3*X16*$X$8-3*X16*$X$4)))/AG16,"")</f>
        <v>140.84546107682098</v>
      </c>
      <c r="AF16" s="2">
        <f t="shared" ref="AF16:AF55" si="12">IF(AND(A16&gt;0,NOT(A16="***")),-($X$9*(3*$X$2*Y16-5*W16*$X$3*Y16+2*W16*$X$4)*(6*$X$2*(-X16+$X$9)*Y16+W16*(5*(3-2*$X$3*$X$9)*Y16-9*X16*$X$4+4*$X$9*$X$4)))/AG16,"")</f>
        <v>-1.4645781627489745E-3</v>
      </c>
      <c r="AG16">
        <f t="shared" ref="AG16:AG55" si="13">IF(AND(A16&gt;0,NOT(A16="***")),(3*$X$2*($X$9*Y16-X16*$X$8)+W16*(-5*$X$3*$X$9*Y16-6*$X$8+9*$X$3*X16*$X$8+2*$X$9*$X$4))^2,"")</f>
        <v>246810283.45415431</v>
      </c>
    </row>
    <row r="17" spans="1:33" ht="15">
      <c r="A17">
        <f>A16+1</f>
        <v>2</v>
      </c>
      <c r="C17" s="101">
        <v>1.2982090999999999E-5</v>
      </c>
      <c r="D17" s="101">
        <v>7.2283816000000003E-6</v>
      </c>
      <c r="E17" s="101">
        <v>3.269745E-5</v>
      </c>
      <c r="F17" s="101">
        <v>2.9579925E-5</v>
      </c>
      <c r="G17" s="101">
        <v>2.7953664E-6</v>
      </c>
      <c r="H17" s="101">
        <v>1.1781871E-5</v>
      </c>
      <c r="I17" s="101">
        <v>0.16443959999999999</v>
      </c>
      <c r="J17" s="101">
        <v>2.4720398000000003E-4</v>
      </c>
      <c r="K17" s="101">
        <v>4.6322690999999999E-2</v>
      </c>
      <c r="L17" s="101">
        <v>9.5678509E-5</v>
      </c>
      <c r="M17" s="101">
        <v>22.728425999999999</v>
      </c>
      <c r="N17" s="101">
        <v>4.945194E-2</v>
      </c>
      <c r="O17" s="101">
        <v>0.17287462000000001</v>
      </c>
      <c r="P17" s="101">
        <v>24.273603000000001</v>
      </c>
      <c r="Q17" s="106">
        <f t="shared" si="1"/>
        <v>3.9416690221060304</v>
      </c>
      <c r="R17" s="113">
        <f t="shared" si="2"/>
        <v>2.3991536130000003E-4</v>
      </c>
      <c r="S17" s="113">
        <f t="shared" si="3"/>
        <v>0.1644234123543</v>
      </c>
      <c r="T17" s="113">
        <f t="shared" si="4"/>
        <v>4.6312585763700002E-2</v>
      </c>
      <c r="U17" s="113">
        <f t="shared" si="5"/>
        <v>4.9441834763700003E-2</v>
      </c>
      <c r="V17" s="113">
        <f t="shared" ref="V17:V65" si="14">O17-((E17+D17/2))</f>
        <v>0.1728383083592</v>
      </c>
      <c r="W17" s="101">
        <f t="shared" ref="W17:W80" si="15">IF(AND(A17&gt;0,NOT(A17="***")),S17/T17,"")</f>
        <v>3.5502965261588946</v>
      </c>
      <c r="X17" s="101">
        <f t="shared" ref="X17:X80" si="16">IF(AND(A17&gt;0,NOT(A17="***")),V17/U17,"")</f>
        <v>3.4957907445234455</v>
      </c>
      <c r="Y17" s="101">
        <f t="shared" ref="Y17:Y65" si="17">IF(AND(A17&gt;0,NOT(A17="***")),P17/U17,"")</f>
        <v>490.95271476093325</v>
      </c>
      <c r="Z17" s="101">
        <f t="shared" si="6"/>
        <v>3.3542928125005465E-4</v>
      </c>
      <c r="AA17" s="2">
        <f t="shared" si="7"/>
        <v>491.52343423266035</v>
      </c>
      <c r="AB17" s="2">
        <f t="shared" si="8"/>
        <v>-481.71246398765152</v>
      </c>
      <c r="AC17" s="2">
        <f t="shared" si="9"/>
        <v>1706.5128413774637</v>
      </c>
      <c r="AD17" s="2">
        <f t="shared" si="10"/>
        <v>-3.4872591816422056</v>
      </c>
      <c r="AE17" s="2">
        <f t="shared" si="11"/>
        <v>140.93116431116408</v>
      </c>
      <c r="AF17" s="2">
        <f t="shared" si="12"/>
        <v>-1.4650756776833822E-3</v>
      </c>
      <c r="AG17">
        <f t="shared" si="13"/>
        <v>246632746.63902658</v>
      </c>
    </row>
    <row r="18" spans="1:33" ht="15">
      <c r="A18">
        <f t="shared" ref="A18:A65" si="18">A17+1</f>
        <v>3</v>
      </c>
      <c r="C18" s="101">
        <v>1.9424344E-5</v>
      </c>
      <c r="D18" s="101">
        <v>2.3304810000000002E-5</v>
      </c>
      <c r="E18" s="101">
        <v>4.6962979E-5</v>
      </c>
      <c r="F18" s="101">
        <v>1.4383874E-5</v>
      </c>
      <c r="G18" s="101">
        <v>1.2504372E-5</v>
      </c>
      <c r="H18" s="101">
        <v>1.8402897000000001E-5</v>
      </c>
      <c r="I18" s="101">
        <v>0.23190201999999999</v>
      </c>
      <c r="J18" s="101">
        <v>3.4412709999999999E-4</v>
      </c>
      <c r="K18" s="101">
        <v>6.5314311999999999E-2</v>
      </c>
      <c r="L18" s="101">
        <v>1.3557568E-4</v>
      </c>
      <c r="M18" s="101">
        <v>32.065883999999997</v>
      </c>
      <c r="N18" s="101">
        <v>6.5811238999999994E-2</v>
      </c>
      <c r="O18" s="101">
        <v>0.23011096</v>
      </c>
      <c r="P18" s="101">
        <v>32.304001</v>
      </c>
      <c r="Q18" s="106">
        <f t="shared" si="1"/>
        <v>4.196869607575854</v>
      </c>
      <c r="R18" s="113">
        <f t="shared" si="2"/>
        <v>3.2867346550000001E-4</v>
      </c>
      <c r="S18" s="113">
        <f t="shared" si="3"/>
        <v>0.23188857587699999</v>
      </c>
      <c r="T18" s="113">
        <f t="shared" si="4"/>
        <v>6.5292947423E-2</v>
      </c>
      <c r="U18" s="113">
        <f t="shared" si="5"/>
        <v>6.5789874422999994E-2</v>
      </c>
      <c r="V18" s="113">
        <f t="shared" si="14"/>
        <v>0.23005234461599999</v>
      </c>
      <c r="W18" s="101">
        <f t="shared" si="15"/>
        <v>3.5515103089880617</v>
      </c>
      <c r="X18" s="101">
        <f t="shared" si="16"/>
        <v>3.4967743385078451</v>
      </c>
      <c r="Y18" s="101">
        <f t="shared" si="17"/>
        <v>491.01782429769452</v>
      </c>
      <c r="Z18" s="101">
        <f t="shared" si="6"/>
        <v>3.5517172181442653E-4</v>
      </c>
      <c r="AA18" s="2">
        <f t="shared" si="7"/>
        <v>491.61768900693357</v>
      </c>
      <c r="AB18" s="2">
        <f t="shared" si="8"/>
        <v>-481.76688187181509</v>
      </c>
      <c r="AC18" s="2">
        <f t="shared" si="9"/>
        <v>1707.3579697243572</v>
      </c>
      <c r="AD18" s="2">
        <f t="shared" si="10"/>
        <v>-3.4883123026641671</v>
      </c>
      <c r="AE18" s="2">
        <f t="shared" si="11"/>
        <v>140.91350304912652</v>
      </c>
      <c r="AF18" s="2">
        <f t="shared" si="12"/>
        <v>-1.4650796467590716E-3</v>
      </c>
      <c r="AG18">
        <f t="shared" si="13"/>
        <v>246791550.98866394</v>
      </c>
    </row>
    <row r="19" spans="1:33" ht="15">
      <c r="A19">
        <f t="shared" si="18"/>
        <v>4</v>
      </c>
      <c r="C19" s="101">
        <v>2.065464E-5</v>
      </c>
      <c r="D19" s="101">
        <v>2.9130320999999999E-5</v>
      </c>
      <c r="E19" s="101">
        <v>5.5893656999999999E-5</v>
      </c>
      <c r="F19" s="101">
        <v>1.3093934999999999E-5</v>
      </c>
      <c r="G19" s="101">
        <v>4.4586855999999996E-6</v>
      </c>
      <c r="H19" s="101">
        <v>3.3333256000000001E-5</v>
      </c>
      <c r="I19" s="101">
        <v>0.23934076000000001</v>
      </c>
      <c r="J19" s="101">
        <v>3.6178681999999998E-4</v>
      </c>
      <c r="K19" s="101">
        <v>6.7430605000000005E-2</v>
      </c>
      <c r="L19" s="101">
        <v>1.3329882000000001E-4</v>
      </c>
      <c r="M19" s="101">
        <v>33.105727000000002</v>
      </c>
      <c r="N19" s="101">
        <v>6.7909649000000002E-2</v>
      </c>
      <c r="O19" s="101">
        <v>0.23754083000000001</v>
      </c>
      <c r="P19" s="101">
        <v>33.351353000000003</v>
      </c>
      <c r="Q19" s="106">
        <f t="shared" si="1"/>
        <v>3.9968039677430776</v>
      </c>
      <c r="R19" s="113">
        <f t="shared" si="2"/>
        <v>3.4289084919999997E-4</v>
      </c>
      <c r="S19" s="113">
        <f t="shared" si="3"/>
        <v>0.23933198368970002</v>
      </c>
      <c r="T19" s="113">
        <f t="shared" si="4"/>
        <v>6.7405712519500005E-2</v>
      </c>
      <c r="U19" s="113">
        <f t="shared" si="5"/>
        <v>6.7884756519500003E-2</v>
      </c>
      <c r="V19" s="113">
        <f t="shared" si="14"/>
        <v>0.2374703711825</v>
      </c>
      <c r="W19" s="101">
        <f t="shared" si="15"/>
        <v>3.5506187049126279</v>
      </c>
      <c r="X19" s="101">
        <f t="shared" si="16"/>
        <v>3.4981398381282589</v>
      </c>
      <c r="Y19" s="101">
        <f t="shared" si="17"/>
        <v>491.29369699396028</v>
      </c>
      <c r="Z19" s="101">
        <f t="shared" si="6"/>
        <v>1.409165151507927E-4</v>
      </c>
      <c r="AA19" s="2">
        <f t="shared" si="7"/>
        <v>491.57838924189264</v>
      </c>
      <c r="AB19" s="2">
        <f t="shared" si="8"/>
        <v>-482.14115996575396</v>
      </c>
      <c r="AC19" s="2">
        <f t="shared" si="9"/>
        <v>1707.5187202766622</v>
      </c>
      <c r="AD19" s="2">
        <f t="shared" si="10"/>
        <v>-3.4889339602972744</v>
      </c>
      <c r="AE19" s="2">
        <f t="shared" si="11"/>
        <v>140.99422551618301</v>
      </c>
      <c r="AF19" s="2">
        <f t="shared" si="12"/>
        <v>-1.4658406597510829E-3</v>
      </c>
      <c r="AG19">
        <f t="shared" si="13"/>
        <v>246772979.66287982</v>
      </c>
    </row>
    <row r="20" spans="1:33" ht="15">
      <c r="A20">
        <f t="shared" si="18"/>
        <v>5</v>
      </c>
      <c r="C20" s="101">
        <v>2.5322322999999999E-5</v>
      </c>
      <c r="D20" s="101">
        <v>1.5898783000000001E-5</v>
      </c>
      <c r="E20" s="101">
        <v>4.1467217999999998E-5</v>
      </c>
      <c r="F20" s="101">
        <v>2.3607356999999999E-5</v>
      </c>
      <c r="G20" s="101">
        <v>2.5848763000000001E-5</v>
      </c>
      <c r="H20" s="101">
        <v>1.9316398000000001E-5</v>
      </c>
      <c r="I20" s="101">
        <v>0.24745096</v>
      </c>
      <c r="J20" s="101">
        <v>3.6766594000000002E-4</v>
      </c>
      <c r="K20" s="101">
        <v>6.9691620999999995E-2</v>
      </c>
      <c r="L20" s="101">
        <v>1.4239122999999999E-4</v>
      </c>
      <c r="M20" s="101">
        <v>34.234642000000001</v>
      </c>
      <c r="N20" s="101">
        <v>7.0314083999999999E-2</v>
      </c>
      <c r="O20" s="101">
        <v>0.24582757</v>
      </c>
      <c r="P20" s="101">
        <v>34.523786999999999</v>
      </c>
      <c r="Q20" s="106">
        <f t="shared" si="1"/>
        <v>4.1244383184266553</v>
      </c>
      <c r="R20" s="113">
        <f t="shared" si="2"/>
        <v>3.4508335950000002E-4</v>
      </c>
      <c r="S20" s="113">
        <f t="shared" si="3"/>
        <v>0.24742623193999999</v>
      </c>
      <c r="T20" s="113">
        <f t="shared" si="4"/>
        <v>6.9671010446999998E-2</v>
      </c>
      <c r="U20" s="113">
        <f t="shared" si="5"/>
        <v>7.0293473447000002E-2</v>
      </c>
      <c r="V20" s="113">
        <f t="shared" si="14"/>
        <v>0.24577815339049999</v>
      </c>
      <c r="W20" s="101">
        <f t="shared" si="15"/>
        <v>3.5513512772750957</v>
      </c>
      <c r="X20" s="101">
        <f t="shared" si="16"/>
        <v>3.4964576558563754</v>
      </c>
      <c r="Y20" s="101">
        <f t="shared" si="17"/>
        <v>491.13787250860929</v>
      </c>
      <c r="Z20" s="101">
        <f t="shared" si="6"/>
        <v>3.7056226779520816E-4</v>
      </c>
      <c r="AA20" s="2">
        <f t="shared" si="7"/>
        <v>491.76052560376144</v>
      </c>
      <c r="AB20" s="2">
        <f t="shared" si="8"/>
        <v>-481.87728926228584</v>
      </c>
      <c r="AC20" s="2">
        <f t="shared" si="9"/>
        <v>1707.7243645972242</v>
      </c>
      <c r="AD20" s="2">
        <f t="shared" si="10"/>
        <v>-3.4880493382436364</v>
      </c>
      <c r="AE20" s="2">
        <f t="shared" si="11"/>
        <v>140.97015457214803</v>
      </c>
      <c r="AF20" s="2">
        <f t="shared" si="12"/>
        <v>-1.4659529600055568E-3</v>
      </c>
      <c r="AG20">
        <f t="shared" si="13"/>
        <v>246761685.70304757</v>
      </c>
    </row>
    <row r="21" spans="1:33" ht="15">
      <c r="A21">
        <f t="shared" si="18"/>
        <v>6</v>
      </c>
      <c r="C21" s="101">
        <v>1.3774262000000001E-5</v>
      </c>
      <c r="D21" s="101">
        <v>2.1126124999999999E-5</v>
      </c>
      <c r="E21" s="101">
        <v>7.7602249999999997E-5</v>
      </c>
      <c r="F21" s="101">
        <v>6.7763154999999997E-6</v>
      </c>
      <c r="G21" s="101">
        <v>1.2871916E-5</v>
      </c>
      <c r="H21" s="101">
        <v>4.3974280999999998E-5</v>
      </c>
      <c r="I21" s="101">
        <v>0.26653080000000001</v>
      </c>
      <c r="J21" s="101">
        <v>3.8869909000000002E-4</v>
      </c>
      <c r="K21" s="101">
        <v>7.5119399000000003E-2</v>
      </c>
      <c r="L21" s="101">
        <v>1.1736288E-4</v>
      </c>
      <c r="M21" s="101">
        <v>36.891063000000003</v>
      </c>
      <c r="N21" s="101">
        <v>7.5306961000000006E-2</v>
      </c>
      <c r="O21" s="101">
        <v>0.26341137999999997</v>
      </c>
      <c r="P21" s="101">
        <v>36.995269999999998</v>
      </c>
      <c r="Q21" s="106">
        <f t="shared" si="1"/>
        <v>3.1723752793262494</v>
      </c>
      <c r="R21" s="113">
        <f t="shared" si="2"/>
        <v>3.6027599150000001E-4</v>
      </c>
      <c r="S21" s="113">
        <f t="shared" si="3"/>
        <v>0.26652097588425</v>
      </c>
      <c r="T21" s="113">
        <f t="shared" si="4"/>
        <v>7.5101948806500007E-2</v>
      </c>
      <c r="U21" s="113">
        <f t="shared" si="5"/>
        <v>7.528951080650001E-2</v>
      </c>
      <c r="V21" s="113">
        <f t="shared" si="14"/>
        <v>0.26332321468749997</v>
      </c>
      <c r="W21" s="101">
        <f t="shared" si="15"/>
        <v>3.5487890809723281</v>
      </c>
      <c r="X21" s="101">
        <f t="shared" si="16"/>
        <v>3.4974754367080618</v>
      </c>
      <c r="Y21" s="101">
        <f t="shared" si="17"/>
        <v>491.37349417876766</v>
      </c>
      <c r="Z21" s="101">
        <f t="shared" si="6"/>
        <v>3.2833746994511395E-5</v>
      </c>
      <c r="AA21" s="2">
        <f t="shared" si="7"/>
        <v>491.49891283260388</v>
      </c>
      <c r="AB21" s="2">
        <f t="shared" si="8"/>
        <v>-482.27167575417104</v>
      </c>
      <c r="AC21" s="2">
        <f t="shared" si="9"/>
        <v>1706.727296289358</v>
      </c>
      <c r="AD21" s="2">
        <f t="shared" si="10"/>
        <v>-3.4878931783386098</v>
      </c>
      <c r="AE21" s="2">
        <f t="shared" si="11"/>
        <v>141.06699761977154</v>
      </c>
      <c r="AF21" s="2">
        <f t="shared" si="12"/>
        <v>-1.4664388841114551E-3</v>
      </c>
      <c r="AG21">
        <f t="shared" si="13"/>
        <v>246571979.72223619</v>
      </c>
    </row>
    <row r="22" spans="1:33" ht="15">
      <c r="A22">
        <f t="shared" si="18"/>
        <v>7</v>
      </c>
      <c r="C22" s="101">
        <v>1.1986300000000001E-5</v>
      </c>
      <c r="D22" s="101">
        <v>2.1334903999999999E-5</v>
      </c>
      <c r="E22" s="101">
        <v>8.3051411999999995E-5</v>
      </c>
      <c r="F22" s="101">
        <v>1.987827E-5</v>
      </c>
      <c r="G22" s="101">
        <v>1.1231521999999999E-5</v>
      </c>
      <c r="H22" s="101">
        <v>2.1417179000000001E-5</v>
      </c>
      <c r="I22" s="101">
        <v>0.26967574999999999</v>
      </c>
      <c r="J22" s="101">
        <v>3.8585767000000001E-4</v>
      </c>
      <c r="K22" s="101">
        <v>7.6005534E-2</v>
      </c>
      <c r="L22" s="101">
        <v>1.4328556000000001E-4</v>
      </c>
      <c r="M22" s="101">
        <v>37.329732</v>
      </c>
      <c r="N22" s="101">
        <v>7.6103649999999995E-2</v>
      </c>
      <c r="O22" s="101">
        <v>0.26615958000000001</v>
      </c>
      <c r="P22" s="101">
        <v>37.385303</v>
      </c>
      <c r="Q22" s="106">
        <f t="shared" si="1"/>
        <v>3.8326708225422172</v>
      </c>
      <c r="R22" s="113">
        <f t="shared" si="2"/>
        <v>3.6953331949999998E-4</v>
      </c>
      <c r="S22" s="113">
        <f t="shared" si="3"/>
        <v>0.26966019510399997</v>
      </c>
      <c r="T22" s="113">
        <f t="shared" si="4"/>
        <v>7.5988873398000006E-2</v>
      </c>
      <c r="U22" s="113">
        <f t="shared" si="5"/>
        <v>7.6086989398000002E-2</v>
      </c>
      <c r="V22" s="113">
        <f t="shared" si="14"/>
        <v>0.266065861136</v>
      </c>
      <c r="W22" s="101">
        <f t="shared" si="15"/>
        <v>3.5486799980784727</v>
      </c>
      <c r="X22" s="101">
        <f t="shared" si="16"/>
        <v>3.4968640925487025</v>
      </c>
      <c r="Y22" s="101">
        <f t="shared" si="17"/>
        <v>491.3494842652126</v>
      </c>
      <c r="Z22" s="101">
        <f t="shared" si="6"/>
        <v>8.1052914608878266E-5</v>
      </c>
      <c r="AA22" s="2">
        <f t="shared" si="7"/>
        <v>491.54595941300983</v>
      </c>
      <c r="AB22" s="2">
        <f t="shared" si="8"/>
        <v>-482.22480112466178</v>
      </c>
      <c r="AC22" s="2">
        <f t="shared" si="9"/>
        <v>1706.6741666518287</v>
      </c>
      <c r="AD22" s="2">
        <f t="shared" si="10"/>
        <v>-3.4874494302955346</v>
      </c>
      <c r="AE22" s="2">
        <f t="shared" si="11"/>
        <v>141.07574542084589</v>
      </c>
      <c r="AF22" s="2">
        <f t="shared" si="12"/>
        <v>-1.4666235562873736E-3</v>
      </c>
      <c r="AG22">
        <f t="shared" si="13"/>
        <v>246533062.58192199</v>
      </c>
    </row>
    <row r="23" spans="1:33" ht="15">
      <c r="A23">
        <f t="shared" si="18"/>
        <v>8</v>
      </c>
      <c r="C23" s="101">
        <v>4.8564688000000003E-6</v>
      </c>
      <c r="D23" s="101">
        <v>3.2743273999999998E-5</v>
      </c>
      <c r="E23" s="101">
        <v>5.8673925000000003E-5</v>
      </c>
      <c r="F23" s="101">
        <v>-5.3633077000000004E-6</v>
      </c>
      <c r="G23" s="101">
        <v>2.7568481E-5</v>
      </c>
      <c r="H23" s="101">
        <v>3.5265991E-5</v>
      </c>
      <c r="I23" s="101">
        <v>0.27151450999999999</v>
      </c>
      <c r="J23" s="101">
        <v>3.9557521999999999E-4</v>
      </c>
      <c r="K23" s="101">
        <v>7.6523108000000006E-2</v>
      </c>
      <c r="L23" s="101">
        <v>1.4047180999999999E-4</v>
      </c>
      <c r="M23" s="101">
        <v>37.591628</v>
      </c>
      <c r="N23" s="101">
        <v>7.6951032000000003E-2</v>
      </c>
      <c r="O23" s="101">
        <v>0.26912891</v>
      </c>
      <c r="P23" s="101">
        <v>37.798482</v>
      </c>
      <c r="Q23" s="106">
        <f t="shared" si="1"/>
        <v>3.7163346930175662</v>
      </c>
      <c r="R23" s="113">
        <f t="shared" si="2"/>
        <v>3.6415798400000002E-4</v>
      </c>
      <c r="S23" s="113">
        <f t="shared" si="3"/>
        <v>0.27150340741335</v>
      </c>
      <c r="T23" s="113">
        <f t="shared" si="4"/>
        <v>7.6504308128600013E-2</v>
      </c>
      <c r="U23" s="113">
        <f t="shared" si="5"/>
        <v>7.6932232128600009E-2</v>
      </c>
      <c r="V23" s="113">
        <f t="shared" si="14"/>
        <v>0.269053864438</v>
      </c>
      <c r="W23" s="101">
        <f t="shared" si="15"/>
        <v>3.5488642934586898</v>
      </c>
      <c r="X23" s="101">
        <f t="shared" si="16"/>
        <v>3.4972839990948041</v>
      </c>
      <c r="Y23" s="101">
        <f t="shared" si="17"/>
        <v>491.32179002444661</v>
      </c>
      <c r="Z23" s="101">
        <f t="shared" si="6"/>
        <v>5.8190903005605529E-5</v>
      </c>
      <c r="AA23" s="2">
        <f t="shared" si="7"/>
        <v>491.48456780722051</v>
      </c>
      <c r="AB23" s="2">
        <f t="shared" si="8"/>
        <v>-482.20865713569924</v>
      </c>
      <c r="AC23" s="2">
        <f t="shared" si="9"/>
        <v>1706.6277941040828</v>
      </c>
      <c r="AD23" s="2">
        <f t="shared" si="10"/>
        <v>-3.487789799714486</v>
      </c>
      <c r="AE23" s="2">
        <f t="shared" si="11"/>
        <v>141.0513487886827</v>
      </c>
      <c r="AF23" s="2">
        <f t="shared" si="12"/>
        <v>-1.4662476336954938E-3</v>
      </c>
      <c r="AG23">
        <f t="shared" si="13"/>
        <v>246569989.37670374</v>
      </c>
    </row>
    <row r="24" spans="1:33" ht="15">
      <c r="A24">
        <f t="shared" si="18"/>
        <v>9</v>
      </c>
      <c r="C24" s="101">
        <v>1.0120843E-6</v>
      </c>
      <c r="D24" s="101">
        <v>3.0483958999999999E-5</v>
      </c>
      <c r="E24" s="101">
        <v>6.5305016999999999E-5</v>
      </c>
      <c r="F24" s="101">
        <v>-4.1834969E-6</v>
      </c>
      <c r="G24" s="101">
        <v>3.0744936000000003E-5</v>
      </c>
      <c r="H24" s="101">
        <v>3.5341256E-5</v>
      </c>
      <c r="I24" s="101">
        <v>0.27410698999999999</v>
      </c>
      <c r="J24" s="101">
        <v>4.0854451999999998E-4</v>
      </c>
      <c r="K24" s="101">
        <v>7.7262025999999998E-2</v>
      </c>
      <c r="L24" s="101">
        <v>1.548768E-4</v>
      </c>
      <c r="M24" s="101">
        <v>37.947190999999997</v>
      </c>
      <c r="N24" s="101">
        <v>7.7340409999999998E-2</v>
      </c>
      <c r="O24" s="101">
        <v>0.27048353000000003</v>
      </c>
      <c r="P24" s="101">
        <v>37.989576999999997</v>
      </c>
      <c r="Q24" s="106">
        <f t="shared" si="1"/>
        <v>4.0768234929280736</v>
      </c>
      <c r="R24" s="113">
        <f t="shared" si="2"/>
        <v>3.7550142399999997E-4</v>
      </c>
      <c r="S24" s="113">
        <f t="shared" si="3"/>
        <v>0.27409370928045002</v>
      </c>
      <c r="T24" s="113">
        <f t="shared" si="4"/>
        <v>7.724627797835E-2</v>
      </c>
      <c r="U24" s="113">
        <f t="shared" si="5"/>
        <v>7.7324661978350001E-2</v>
      </c>
      <c r="V24" s="113">
        <f t="shared" si="14"/>
        <v>0.27040298300350002</v>
      </c>
      <c r="W24" s="101">
        <f t="shared" si="15"/>
        <v>3.5483095943764553</v>
      </c>
      <c r="X24" s="101">
        <f t="shared" si="16"/>
        <v>3.4969824126642761</v>
      </c>
      <c r="Y24" s="101">
        <f t="shared" si="17"/>
        <v>491.2996193974522</v>
      </c>
      <c r="Z24" s="101">
        <f t="shared" si="6"/>
        <v>3.4989974252136973E-5</v>
      </c>
      <c r="AA24" s="2">
        <f t="shared" si="7"/>
        <v>491.4281864669008</v>
      </c>
      <c r="AB24" s="2">
        <f t="shared" si="8"/>
        <v>-482.19807899003399</v>
      </c>
      <c r="AC24" s="2">
        <f t="shared" si="9"/>
        <v>1706.2434603622089</v>
      </c>
      <c r="AD24" s="2">
        <f t="shared" si="10"/>
        <v>-3.4874072340469828</v>
      </c>
      <c r="AE24" s="2">
        <f t="shared" si="11"/>
        <v>141.05834979740663</v>
      </c>
      <c r="AF24" s="2">
        <f t="shared" si="12"/>
        <v>-1.4662080770219735E-3</v>
      </c>
      <c r="AG24">
        <f t="shared" si="13"/>
        <v>246504409.91936734</v>
      </c>
    </row>
    <row r="25" spans="1:33" ht="15">
      <c r="A25">
        <f t="shared" si="18"/>
        <v>10</v>
      </c>
      <c r="C25" s="101">
        <v>9.4142789999999999E-6</v>
      </c>
      <c r="D25" s="101">
        <v>3.2966969E-5</v>
      </c>
      <c r="E25" s="101">
        <v>6.4981364999999999E-5</v>
      </c>
      <c r="F25" s="101">
        <v>1.7155783999999999E-6</v>
      </c>
      <c r="G25" s="101">
        <v>1.6406230000000001E-5</v>
      </c>
      <c r="H25" s="101">
        <v>1.9844146000000001E-5</v>
      </c>
      <c r="I25" s="101">
        <v>0.27516266</v>
      </c>
      <c r="J25" s="101">
        <v>4.0454706999999999E-4</v>
      </c>
      <c r="K25" s="101">
        <v>7.7559170999999996E-2</v>
      </c>
      <c r="L25" s="101">
        <v>1.6188570000000001E-4</v>
      </c>
      <c r="M25" s="101">
        <v>38.094658000000003</v>
      </c>
      <c r="N25" s="101">
        <v>7.7582066000000005E-2</v>
      </c>
      <c r="O25" s="101">
        <v>0.27136275999999998</v>
      </c>
      <c r="P25" s="101">
        <v>38.115814</v>
      </c>
      <c r="Q25" s="106">
        <f t="shared" si="1"/>
        <v>4.2472056349104861</v>
      </c>
      <c r="R25" s="113">
        <f t="shared" si="2"/>
        <v>3.8642188200000002E-4</v>
      </c>
      <c r="S25" s="113">
        <f t="shared" si="3"/>
        <v>0.27515359909580001</v>
      </c>
      <c r="T25" s="113">
        <f t="shared" si="4"/>
        <v>7.7537980376000001E-2</v>
      </c>
      <c r="U25" s="113">
        <f t="shared" si="5"/>
        <v>7.756087537600001E-2</v>
      </c>
      <c r="V25" s="113">
        <f t="shared" si="14"/>
        <v>0.27128129515049998</v>
      </c>
      <c r="W25" s="101">
        <f t="shared" si="15"/>
        <v>3.5486299457571007</v>
      </c>
      <c r="X25" s="101">
        <f t="shared" si="16"/>
        <v>3.4976564387054827</v>
      </c>
      <c r="Y25" s="101">
        <f t="shared" si="17"/>
        <v>491.4309413763313</v>
      </c>
      <c r="Z25" s="101">
        <f t="shared" si="6"/>
        <v>6.0534457517149428E-7</v>
      </c>
      <c r="AA25" s="2">
        <f t="shared" si="7"/>
        <v>491.50885784897849</v>
      </c>
      <c r="AB25" s="2">
        <f t="shared" si="8"/>
        <v>-482.3436542814959</v>
      </c>
      <c r="AC25" s="2">
        <f t="shared" si="9"/>
        <v>1706.7943797990781</v>
      </c>
      <c r="AD25" s="2">
        <f t="shared" si="10"/>
        <v>-3.4879621839069848</v>
      </c>
      <c r="AE25" s="2">
        <f t="shared" si="11"/>
        <v>141.08624221302156</v>
      </c>
      <c r="AF25" s="2">
        <f t="shared" si="12"/>
        <v>-1.4666587522089004E-3</v>
      </c>
      <c r="AG25">
        <f t="shared" si="13"/>
        <v>246565694.95321113</v>
      </c>
    </row>
    <row r="26" spans="1:33" ht="15">
      <c r="A26">
        <f t="shared" si="18"/>
        <v>11</v>
      </c>
      <c r="C26" s="101">
        <v>7.6903017000000005E-6</v>
      </c>
      <c r="D26" s="101">
        <v>3.6708309E-5</v>
      </c>
      <c r="E26" s="101">
        <v>7.2751765999999997E-5</v>
      </c>
      <c r="F26" s="101">
        <v>1.6292351999999999E-5</v>
      </c>
      <c r="G26" s="101">
        <v>2.6159090000000001E-5</v>
      </c>
      <c r="H26" s="101">
        <v>1.8154083999999999E-5</v>
      </c>
      <c r="I26" s="101">
        <v>0.27338266</v>
      </c>
      <c r="J26" s="101">
        <v>3.9989079000000001E-4</v>
      </c>
      <c r="K26" s="101">
        <v>7.7039135999999994E-2</v>
      </c>
      <c r="L26" s="101">
        <v>1.2020843E-4</v>
      </c>
      <c r="M26" s="101">
        <v>37.848030999999999</v>
      </c>
      <c r="N26" s="101">
        <v>7.7046825999999999E-2</v>
      </c>
      <c r="O26" s="101">
        <v>0.26945912999999999</v>
      </c>
      <c r="P26" s="101">
        <v>37.846049999999998</v>
      </c>
      <c r="Q26" s="106">
        <f t="shared" si="1"/>
        <v>3.1762477193789049</v>
      </c>
      <c r="R26" s="113">
        <f t="shared" si="2"/>
        <v>3.7773420300000001E-4</v>
      </c>
      <c r="S26" s="113">
        <f t="shared" si="3"/>
        <v>0.273361434279</v>
      </c>
      <c r="T26" s="113">
        <f t="shared" si="4"/>
        <v>7.7016936694649998E-2</v>
      </c>
      <c r="U26" s="113">
        <f t="shared" si="5"/>
        <v>7.7024626694650003E-2</v>
      </c>
      <c r="V26" s="113">
        <f t="shared" si="14"/>
        <v>0.2693680240795</v>
      </c>
      <c r="W26" s="101">
        <f t="shared" si="15"/>
        <v>3.5493677885787571</v>
      </c>
      <c r="X26" s="101">
        <f t="shared" si="16"/>
        <v>3.4971675376936275</v>
      </c>
      <c r="Y26" s="101">
        <f t="shared" si="17"/>
        <v>491.34999576218291</v>
      </c>
      <c r="Z26" s="101">
        <f t="shared" si="6"/>
        <v>1.1655793928668861E-4</v>
      </c>
      <c r="AA26" s="2">
        <f t="shared" si="7"/>
        <v>491.59880436486429</v>
      </c>
      <c r="AB26" s="2">
        <f t="shared" si="8"/>
        <v>-482.20816984777031</v>
      </c>
      <c r="AC26" s="2">
        <f t="shared" si="9"/>
        <v>1707.0687213106248</v>
      </c>
      <c r="AD26" s="2">
        <f t="shared" si="10"/>
        <v>-3.487876612507431</v>
      </c>
      <c r="AE26" s="2">
        <f t="shared" si="11"/>
        <v>141.05862478654043</v>
      </c>
      <c r="AF26" s="2">
        <f t="shared" si="12"/>
        <v>-1.466550842456817E-3</v>
      </c>
      <c r="AG26">
        <f t="shared" si="13"/>
        <v>246611095.31679836</v>
      </c>
    </row>
    <row r="27" spans="1:33" ht="15">
      <c r="A27">
        <f t="shared" si="18"/>
        <v>12</v>
      </c>
      <c r="C27" s="101">
        <v>7.1248759000000004E-6</v>
      </c>
      <c r="D27" s="101">
        <v>2.4048610999999999E-5</v>
      </c>
      <c r="E27" s="101">
        <v>6.5988411999999999E-5</v>
      </c>
      <c r="F27" s="101">
        <v>2.3154222999999998E-8</v>
      </c>
      <c r="G27" s="101">
        <v>1.7380115000000001E-5</v>
      </c>
      <c r="H27" s="101">
        <v>2.7228635000000001E-5</v>
      </c>
      <c r="I27" s="101">
        <v>0.27253723000000002</v>
      </c>
      <c r="J27" s="101">
        <v>3.9942173000000002E-4</v>
      </c>
      <c r="K27" s="101">
        <v>7.6802421999999995E-2</v>
      </c>
      <c r="L27" s="101">
        <v>1.5464404000000001E-4</v>
      </c>
      <c r="M27" s="101">
        <v>37.738081000000001</v>
      </c>
      <c r="N27" s="101">
        <v>7.6763413000000003E-2</v>
      </c>
      <c r="O27" s="101">
        <v>0.26843655</v>
      </c>
      <c r="P27" s="101">
        <v>37.707549</v>
      </c>
      <c r="Q27" s="106">
        <f t="shared" si="1"/>
        <v>4.1011427181331781</v>
      </c>
      <c r="R27" s="113">
        <f t="shared" si="2"/>
        <v>3.7711735500000005E-4</v>
      </c>
      <c r="S27" s="113">
        <f t="shared" si="3"/>
        <v>0.27252852836538854</v>
      </c>
      <c r="T27" s="113">
        <f t="shared" si="4"/>
        <v>7.6786835256550001E-2</v>
      </c>
      <c r="U27" s="113">
        <f t="shared" si="5"/>
        <v>7.6747826256550009E-2</v>
      </c>
      <c r="V27" s="113">
        <f t="shared" si="14"/>
        <v>0.26835853728249998</v>
      </c>
      <c r="W27" s="101">
        <f t="shared" si="15"/>
        <v>3.5491569284611395</v>
      </c>
      <c r="X27" s="101">
        <f t="shared" si="16"/>
        <v>3.496627205902096</v>
      </c>
      <c r="Y27" s="101">
        <f t="shared" si="17"/>
        <v>491.31748531811826</v>
      </c>
      <c r="Z27" s="101">
        <f t="shared" si="6"/>
        <v>1.484541466990883E-4</v>
      </c>
      <c r="AA27" s="2">
        <f t="shared" si="7"/>
        <v>491.61326394082693</v>
      </c>
      <c r="AB27" s="2">
        <f t="shared" si="8"/>
        <v>-482.16083462133577</v>
      </c>
      <c r="AC27" s="2">
        <f t="shared" si="9"/>
        <v>1706.9088916211244</v>
      </c>
      <c r="AD27" s="2">
        <f t="shared" si="10"/>
        <v>-3.4874469512669228</v>
      </c>
      <c r="AE27" s="2">
        <f t="shared" si="11"/>
        <v>141.06354488933809</v>
      </c>
      <c r="AF27" s="2">
        <f t="shared" si="12"/>
        <v>-1.4666307987851422E-3</v>
      </c>
      <c r="AG27">
        <f t="shared" si="13"/>
        <v>246566110.46646726</v>
      </c>
    </row>
    <row r="28" spans="1:33" ht="15">
      <c r="A28">
        <f t="shared" si="18"/>
        <v>13</v>
      </c>
      <c r="C28" s="101">
        <v>-5.8421367000000001E-6</v>
      </c>
      <c r="D28" s="101">
        <v>3.1065995999999999E-5</v>
      </c>
      <c r="E28" s="101">
        <v>7.3750987000000004E-5</v>
      </c>
      <c r="F28" s="101">
        <v>1.7212119999999999E-5</v>
      </c>
      <c r="G28" s="101">
        <v>1.6500755999999999E-5</v>
      </c>
      <c r="H28" s="101">
        <v>3.3850053000000001E-5</v>
      </c>
      <c r="I28" s="101">
        <v>0.27162318000000002</v>
      </c>
      <c r="J28" s="101">
        <v>3.9566191E-4</v>
      </c>
      <c r="K28" s="101">
        <v>7.6559534999999998E-2</v>
      </c>
      <c r="L28" s="101">
        <v>1.2845029000000001E-4</v>
      </c>
      <c r="M28" s="101">
        <v>37.608721000000003</v>
      </c>
      <c r="N28" s="101">
        <v>7.6323062999999997E-2</v>
      </c>
      <c r="O28" s="101">
        <v>0.26697547999999999</v>
      </c>
      <c r="P28" s="101">
        <v>37.501604</v>
      </c>
      <c r="Q28" s="106">
        <f t="shared" si="1"/>
        <v>3.4251945596780344</v>
      </c>
      <c r="R28" s="113">
        <f t="shared" si="2"/>
        <v>3.7048650549999999E-4</v>
      </c>
      <c r="S28" s="113">
        <f t="shared" si="3"/>
        <v>0.27160632356200004</v>
      </c>
      <c r="T28" s="113">
        <f t="shared" si="4"/>
        <v>7.6546923070349993E-2</v>
      </c>
      <c r="U28" s="113">
        <f t="shared" si="5"/>
        <v>7.6310451070349991E-2</v>
      </c>
      <c r="V28" s="113">
        <f t="shared" si="14"/>
        <v>0.26688619601499997</v>
      </c>
      <c r="W28" s="101">
        <f t="shared" si="15"/>
        <v>3.5482330663034212</v>
      </c>
      <c r="X28" s="101">
        <f t="shared" si="16"/>
        <v>3.4973741115612031</v>
      </c>
      <c r="Y28" s="101">
        <f t="shared" si="17"/>
        <v>491.43470486667121</v>
      </c>
      <c r="Z28" s="101">
        <f t="shared" si="6"/>
        <v>-9.6351036809586669E-6</v>
      </c>
      <c r="AA28" s="2">
        <f t="shared" si="7"/>
        <v>491.49751470520567</v>
      </c>
      <c r="AB28" s="2">
        <f t="shared" si="8"/>
        <v>-482.35228701975518</v>
      </c>
      <c r="AC28" s="2">
        <f t="shared" si="9"/>
        <v>1706.598321487563</v>
      </c>
      <c r="AD28" s="2">
        <f t="shared" si="10"/>
        <v>-3.4876441100009448</v>
      </c>
      <c r="AE28" s="2">
        <f t="shared" si="11"/>
        <v>141.10057332433499</v>
      </c>
      <c r="AF28" s="2">
        <f t="shared" si="12"/>
        <v>-1.4667851239681684E-3</v>
      </c>
      <c r="AG28">
        <f t="shared" si="13"/>
        <v>246515604.45435297</v>
      </c>
    </row>
    <row r="29" spans="1:33" ht="15">
      <c r="A29">
        <f t="shared" si="18"/>
        <v>14</v>
      </c>
      <c r="C29" s="101">
        <v>1.2670828E-6</v>
      </c>
      <c r="D29" s="101">
        <v>2.6034512999999998E-5</v>
      </c>
      <c r="E29" s="101">
        <v>5.8703129999999999E-5</v>
      </c>
      <c r="F29" s="101">
        <v>1.6767313999999999E-5</v>
      </c>
      <c r="G29" s="101">
        <v>2.6510837000000002E-5</v>
      </c>
      <c r="H29" s="101">
        <v>3.4312361E-5</v>
      </c>
      <c r="I29" s="101">
        <v>0.27046700000000001</v>
      </c>
      <c r="J29" s="101">
        <v>3.9727430999999999E-4</v>
      </c>
      <c r="K29" s="101">
        <v>7.6239522000000004E-2</v>
      </c>
      <c r="L29" s="101">
        <v>1.5852047000000001E-4</v>
      </c>
      <c r="M29" s="101">
        <v>37.454644000000002</v>
      </c>
      <c r="N29" s="101">
        <v>7.6156071000000006E-2</v>
      </c>
      <c r="O29" s="101">
        <v>0.26641446000000002</v>
      </c>
      <c r="P29" s="101">
        <v>37.422094000000001</v>
      </c>
      <c r="Q29" s="106">
        <f t="shared" si="1"/>
        <v>4.2360128217303927</v>
      </c>
      <c r="R29" s="113">
        <f t="shared" si="2"/>
        <v>3.66862711E-4</v>
      </c>
      <c r="S29" s="113">
        <f t="shared" si="3"/>
        <v>0.2704453609245</v>
      </c>
      <c r="T29" s="113">
        <f t="shared" si="4"/>
        <v>7.6225871202100004E-2</v>
      </c>
      <c r="U29" s="113">
        <f t="shared" si="5"/>
        <v>7.6142420202100006E-2</v>
      </c>
      <c r="V29" s="113">
        <f t="shared" si="14"/>
        <v>0.26634273961350002</v>
      </c>
      <c r="W29" s="101">
        <f t="shared" si="15"/>
        <v>3.547947129491769</v>
      </c>
      <c r="X29" s="101">
        <f t="shared" si="16"/>
        <v>3.497954739376071</v>
      </c>
      <c r="Y29" s="101">
        <f t="shared" si="17"/>
        <v>491.47497414283532</v>
      </c>
      <c r="Z29" s="101">
        <f t="shared" si="6"/>
        <v>-9.1943763565680353E-5</v>
      </c>
      <c r="AA29" s="2">
        <f t="shared" si="7"/>
        <v>491.41639384427071</v>
      </c>
      <c r="AB29" s="2">
        <f t="shared" si="8"/>
        <v>-482.43159732492114</v>
      </c>
      <c r="AC29" s="2">
        <f t="shared" si="9"/>
        <v>1706.4584284598402</v>
      </c>
      <c r="AD29" s="2">
        <f t="shared" si="10"/>
        <v>-3.4879382537884767</v>
      </c>
      <c r="AE29" s="2">
        <f t="shared" si="11"/>
        <v>141.10412203002372</v>
      </c>
      <c r="AF29" s="2">
        <f t="shared" si="12"/>
        <v>-1.4666603387537766E-3</v>
      </c>
      <c r="AG29">
        <f t="shared" si="13"/>
        <v>246516456.63124433</v>
      </c>
    </row>
    <row r="30" spans="1:33" ht="15">
      <c r="A30">
        <f t="shared" si="18"/>
        <v>15</v>
      </c>
      <c r="C30" s="101">
        <v>-8.3148970000000008E-6</v>
      </c>
      <c r="D30" s="101">
        <v>2.6921208000000001E-5</v>
      </c>
      <c r="E30" s="101">
        <v>5.3341733000000002E-5</v>
      </c>
      <c r="F30" s="101">
        <v>4.0565038000000003E-6</v>
      </c>
      <c r="G30" s="101">
        <v>1.5562773999999998E-5</v>
      </c>
      <c r="H30" s="101">
        <v>4.0531168000000002E-5</v>
      </c>
      <c r="I30" s="101">
        <v>0.26966579000000002</v>
      </c>
      <c r="J30" s="101">
        <v>3.8279215999999997E-4</v>
      </c>
      <c r="K30" s="101">
        <v>7.6028704000000003E-2</v>
      </c>
      <c r="L30" s="101">
        <v>1.4436968000000001E-4</v>
      </c>
      <c r="M30" s="101">
        <v>37.340229999999998</v>
      </c>
      <c r="N30" s="101">
        <v>7.5923673999999997E-2</v>
      </c>
      <c r="O30" s="101">
        <v>0.26560294000000001</v>
      </c>
      <c r="P30" s="101">
        <v>37.308787000000002</v>
      </c>
      <c r="Q30" s="106">
        <f t="shared" si="1"/>
        <v>3.8695892203624846</v>
      </c>
      <c r="R30" s="113">
        <f t="shared" si="2"/>
        <v>3.5474518899999996E-4</v>
      </c>
      <c r="S30" s="113">
        <f t="shared" si="3"/>
        <v>0.2696559803611</v>
      </c>
      <c r="T30" s="113">
        <f t="shared" si="4"/>
        <v>7.6019400844499999E-2</v>
      </c>
      <c r="U30" s="113">
        <f t="shared" si="5"/>
        <v>7.5914370844499993E-2</v>
      </c>
      <c r="V30" s="113">
        <f t="shared" si="14"/>
        <v>0.26553613766299999</v>
      </c>
      <c r="W30" s="101">
        <f t="shared" si="15"/>
        <v>3.5471994959903661</v>
      </c>
      <c r="X30" s="101">
        <f t="shared" si="16"/>
        <v>3.4978375597278379</v>
      </c>
      <c r="Y30" s="101">
        <f t="shared" si="17"/>
        <v>491.45881846826938</v>
      </c>
      <c r="Z30" s="101">
        <f t="shared" si="6"/>
        <v>-1.5086759581884392E-4</v>
      </c>
      <c r="AA30" s="2">
        <f t="shared" si="7"/>
        <v>491.31330103438677</v>
      </c>
      <c r="AB30" s="2">
        <f t="shared" si="8"/>
        <v>-482.44418307536932</v>
      </c>
      <c r="AC30" s="2">
        <f t="shared" si="9"/>
        <v>1705.9402449384675</v>
      </c>
      <c r="AD30" s="2">
        <f t="shared" si="10"/>
        <v>-3.4876156216663152</v>
      </c>
      <c r="AE30" s="2">
        <f t="shared" si="11"/>
        <v>141.11100979338727</v>
      </c>
      <c r="AF30" s="2">
        <f t="shared" si="12"/>
        <v>-1.4665264296484326E-3</v>
      </c>
      <c r="AG30">
        <f t="shared" si="13"/>
        <v>246441707.21166459</v>
      </c>
    </row>
    <row r="31" spans="1:33" ht="15">
      <c r="A31">
        <f t="shared" si="18"/>
        <v>16</v>
      </c>
      <c r="C31" s="101">
        <v>8.7673382000000004E-6</v>
      </c>
      <c r="D31" s="101">
        <v>1.8412507999999999E-5</v>
      </c>
      <c r="E31" s="101">
        <v>6.0814023E-5</v>
      </c>
      <c r="F31" s="101">
        <v>1.4591955E-5</v>
      </c>
      <c r="G31" s="101">
        <v>2.7248151E-5</v>
      </c>
      <c r="H31" s="101">
        <v>3.3943012999999999E-5</v>
      </c>
      <c r="I31" s="101">
        <v>0.26745047999999999</v>
      </c>
      <c r="J31" s="101">
        <v>3.8953008999999999E-4</v>
      </c>
      <c r="K31" s="101">
        <v>7.5410639000000002E-2</v>
      </c>
      <c r="L31" s="101">
        <v>1.3507554999999999E-4</v>
      </c>
      <c r="M31" s="101">
        <v>37.045133</v>
      </c>
      <c r="N31" s="101">
        <v>7.5322906999999995E-2</v>
      </c>
      <c r="O31" s="101">
        <v>0.26344377000000002</v>
      </c>
      <c r="P31" s="101">
        <v>37.008755999999998</v>
      </c>
      <c r="Q31" s="106">
        <f t="shared" si="1"/>
        <v>3.6498268139572159</v>
      </c>
      <c r="R31" s="113">
        <f t="shared" si="2"/>
        <v>3.5893450799999997E-4</v>
      </c>
      <c r="S31" s="113">
        <f t="shared" si="3"/>
        <v>0.26742955994700002</v>
      </c>
      <c r="T31" s="113">
        <f t="shared" si="4"/>
        <v>7.5397049076900008E-2</v>
      </c>
      <c r="U31" s="113">
        <f t="shared" si="5"/>
        <v>7.5309317076900001E-2</v>
      </c>
      <c r="V31" s="113">
        <f t="shared" si="14"/>
        <v>0.26337374972300004</v>
      </c>
      <c r="W31" s="101">
        <f t="shared" si="15"/>
        <v>3.5469499565459057</v>
      </c>
      <c r="X31" s="101">
        <f t="shared" si="16"/>
        <v>3.497226637363652</v>
      </c>
      <c r="Y31" s="101">
        <f t="shared" si="17"/>
        <v>491.42333825985361</v>
      </c>
      <c r="Z31" s="101">
        <f t="shared" si="6"/>
        <v>-1.1590167039945459E-4</v>
      </c>
      <c r="AA31" s="2">
        <f t="shared" si="7"/>
        <v>491.32940536870268</v>
      </c>
      <c r="AB31" s="2">
        <f t="shared" si="8"/>
        <v>-482.39243493029801</v>
      </c>
      <c r="AC31" s="2">
        <f t="shared" si="9"/>
        <v>1705.7570593764719</v>
      </c>
      <c r="AD31" s="2">
        <f t="shared" si="10"/>
        <v>-3.4871263271781801</v>
      </c>
      <c r="AE31" s="2">
        <f t="shared" si="11"/>
        <v>141.11722172251814</v>
      </c>
      <c r="AF31" s="2">
        <f t="shared" si="12"/>
        <v>-1.4666230925685279E-3</v>
      </c>
      <c r="AG31">
        <f t="shared" si="13"/>
        <v>246389830.45636219</v>
      </c>
    </row>
    <row r="32" spans="1:33" ht="15">
      <c r="A32">
        <f t="shared" si="18"/>
        <v>17</v>
      </c>
      <c r="C32" s="101">
        <v>-3.6052900000000002E-6</v>
      </c>
      <c r="D32" s="101">
        <v>1.6919805000000001E-5</v>
      </c>
      <c r="E32" s="101">
        <v>5.0276572000000002E-5</v>
      </c>
      <c r="F32" s="101">
        <v>4.4628444E-6</v>
      </c>
      <c r="G32" s="101">
        <v>2.0719417999999999E-5</v>
      </c>
      <c r="H32" s="101">
        <v>2.7262949E-5</v>
      </c>
      <c r="I32" s="101">
        <v>0.26638774999999998</v>
      </c>
      <c r="J32" s="101">
        <v>3.9066867999999999E-4</v>
      </c>
      <c r="K32" s="101">
        <v>7.5058799999999995E-2</v>
      </c>
      <c r="L32" s="101">
        <v>1.4424751000000001E-4</v>
      </c>
      <c r="M32" s="101">
        <v>36.891568999999997</v>
      </c>
      <c r="N32" s="101">
        <v>7.4984002999999994E-2</v>
      </c>
      <c r="O32" s="101">
        <v>0.26225785000000001</v>
      </c>
      <c r="P32" s="101">
        <v>36.846527000000002</v>
      </c>
      <c r="Q32" s="106">
        <f t="shared" si="1"/>
        <v>3.9148197060743333</v>
      </c>
      <c r="R32" s="113">
        <f t="shared" si="2"/>
        <v>3.6667749650000001E-4</v>
      </c>
      <c r="S32" s="113">
        <f t="shared" si="3"/>
        <v>0.26637515886879998</v>
      </c>
      <c r="T32" s="113">
        <f t="shared" si="4"/>
        <v>7.5052142742499994E-2</v>
      </c>
      <c r="U32" s="113">
        <f t="shared" si="5"/>
        <v>7.4977345742499993E-2</v>
      </c>
      <c r="V32" s="113">
        <f t="shared" si="14"/>
        <v>0.26219911352550002</v>
      </c>
      <c r="W32" s="101">
        <f t="shared" si="15"/>
        <v>3.5492012504255785</v>
      </c>
      <c r="X32" s="101">
        <f t="shared" si="16"/>
        <v>3.4970444862904189</v>
      </c>
      <c r="Y32" s="101">
        <f t="shared" si="17"/>
        <v>491.43546807517885</v>
      </c>
      <c r="Z32" s="101">
        <f t="shared" si="6"/>
        <v>1.127025350245466E-4</v>
      </c>
      <c r="AA32" s="2">
        <f t="shared" si="7"/>
        <v>491.67863473792136</v>
      </c>
      <c r="AB32" s="2">
        <f t="shared" si="8"/>
        <v>-482.29395116620998</v>
      </c>
      <c r="AC32" s="2">
        <f t="shared" si="9"/>
        <v>1707.278250918635</v>
      </c>
      <c r="AD32" s="2">
        <f t="shared" si="10"/>
        <v>-3.4877403822580817</v>
      </c>
      <c r="AE32" s="2">
        <f t="shared" si="11"/>
        <v>141.096921653359</v>
      </c>
      <c r="AF32" s="2">
        <f t="shared" si="12"/>
        <v>-1.467108055330947E-3</v>
      </c>
      <c r="AG32">
        <f t="shared" si="13"/>
        <v>246589734.09492192</v>
      </c>
    </row>
    <row r="33" spans="1:33" ht="15">
      <c r="A33">
        <f t="shared" si="18"/>
        <v>18</v>
      </c>
      <c r="C33" s="101">
        <v>2.2265614000000002E-6</v>
      </c>
      <c r="D33" s="101">
        <v>1.7688772999999999E-5</v>
      </c>
      <c r="E33" s="101">
        <v>6.8911376000000007E-5</v>
      </c>
      <c r="F33" s="101">
        <v>-1.1980294E-5</v>
      </c>
      <c r="G33" s="101">
        <v>2.0651567E-5</v>
      </c>
      <c r="H33" s="101">
        <v>1.4944526999999999E-5</v>
      </c>
      <c r="I33" s="101">
        <v>0.26514658000000002</v>
      </c>
      <c r="J33" s="101">
        <v>3.8564683E-4</v>
      </c>
      <c r="K33" s="101">
        <v>7.4728676999999993E-2</v>
      </c>
      <c r="L33" s="101">
        <v>1.5157769E-4</v>
      </c>
      <c r="M33" s="101">
        <v>36.727822000000003</v>
      </c>
      <c r="N33" s="101">
        <v>7.4602333000000007E-2</v>
      </c>
      <c r="O33" s="101">
        <v>0.26094228000000003</v>
      </c>
      <c r="P33" s="101">
        <v>36.655481000000002</v>
      </c>
      <c r="Q33" s="106">
        <f t="shared" si="1"/>
        <v>4.1351984986910963</v>
      </c>
      <c r="R33" s="113">
        <f t="shared" si="2"/>
        <v>3.6784878300000001E-4</v>
      </c>
      <c r="S33" s="113">
        <f t="shared" si="3"/>
        <v>0.26514224436350003</v>
      </c>
      <c r="T33" s="113">
        <f t="shared" si="4"/>
        <v>7.4718719332799999E-2</v>
      </c>
      <c r="U33" s="113">
        <f t="shared" si="5"/>
        <v>7.4592375332800012E-2</v>
      </c>
      <c r="V33" s="113">
        <f t="shared" si="14"/>
        <v>0.26086452423750001</v>
      </c>
      <c r="W33" s="101">
        <f t="shared" si="15"/>
        <v>3.5485383948103615</v>
      </c>
      <c r="X33" s="101">
        <f t="shared" si="16"/>
        <v>3.4972009280255723</v>
      </c>
      <c r="Y33" s="101">
        <f t="shared" si="17"/>
        <v>491.41056088452154</v>
      </c>
      <c r="Z33" s="101">
        <f t="shared" si="6"/>
        <v>3.5561882024890361E-5</v>
      </c>
      <c r="AA33" s="2">
        <f t="shared" si="7"/>
        <v>491.54000518857958</v>
      </c>
      <c r="AB33" s="2">
        <f t="shared" si="8"/>
        <v>-482.30674855468294</v>
      </c>
      <c r="AC33" s="2">
        <f t="shared" si="9"/>
        <v>1706.7395736448264</v>
      </c>
      <c r="AD33" s="2">
        <f t="shared" si="10"/>
        <v>-3.4876282029063814</v>
      </c>
      <c r="AE33" s="2">
        <f t="shared" si="11"/>
        <v>141.09194361675813</v>
      </c>
      <c r="AF33" s="2">
        <f t="shared" si="12"/>
        <v>-1.4667800861150923E-3</v>
      </c>
      <c r="AG33">
        <f t="shared" si="13"/>
        <v>246535750.01923925</v>
      </c>
    </row>
    <row r="34" spans="1:33" ht="15">
      <c r="A34">
        <f t="shared" si="18"/>
        <v>19</v>
      </c>
      <c r="C34" s="101">
        <v>-6.4408142000000001E-6</v>
      </c>
      <c r="D34" s="101">
        <v>2.8650400999999999E-5</v>
      </c>
      <c r="E34" s="101">
        <v>5.2482246000000003E-5</v>
      </c>
      <c r="F34" s="101">
        <v>-1.6730482999999999E-5</v>
      </c>
      <c r="G34" s="101">
        <v>1.5707207999999999E-6</v>
      </c>
      <c r="H34" s="101">
        <v>8.0635715000000006E-6</v>
      </c>
      <c r="I34" s="101">
        <v>0.26370519999999997</v>
      </c>
      <c r="J34" s="101">
        <v>3.7257202999999999E-4</v>
      </c>
      <c r="K34" s="101">
        <v>7.4336887000000004E-2</v>
      </c>
      <c r="L34" s="101">
        <v>1.4717809E-4</v>
      </c>
      <c r="M34" s="101">
        <v>36.528959999999998</v>
      </c>
      <c r="N34" s="101">
        <v>7.4311859999999993E-2</v>
      </c>
      <c r="O34" s="101">
        <v>0.25992523000000001</v>
      </c>
      <c r="P34" s="101">
        <v>36.519208999999996</v>
      </c>
      <c r="Q34" s="106">
        <f t="shared" si="1"/>
        <v>4.0301554724254842</v>
      </c>
      <c r="R34" s="113">
        <f t="shared" si="2"/>
        <v>3.6775488385E-4</v>
      </c>
      <c r="S34" s="113">
        <f t="shared" si="3"/>
        <v>0.26371277988109998</v>
      </c>
      <c r="T34" s="113">
        <f t="shared" si="4"/>
        <v>7.4325782206600008E-2</v>
      </c>
      <c r="U34" s="113">
        <f t="shared" si="5"/>
        <v>7.4300755206599997E-2</v>
      </c>
      <c r="V34" s="113">
        <f t="shared" si="14"/>
        <v>0.2598584225535</v>
      </c>
      <c r="W34" s="101">
        <f t="shared" si="15"/>
        <v>3.548065988031845</v>
      </c>
      <c r="X34" s="101">
        <f t="shared" si="16"/>
        <v>3.4973860202489204</v>
      </c>
      <c r="Y34" s="101">
        <f t="shared" si="17"/>
        <v>491.50521954258767</v>
      </c>
      <c r="Z34" s="101">
        <f t="shared" si="6"/>
        <v>-2.6445711611916035E-5</v>
      </c>
      <c r="AA34" s="2">
        <f t="shared" si="7"/>
        <v>491.54324425384891</v>
      </c>
      <c r="AB34" s="2">
        <f t="shared" si="8"/>
        <v>-482.42965158977711</v>
      </c>
      <c r="AC34" s="2">
        <f t="shared" si="9"/>
        <v>1706.7333077364547</v>
      </c>
      <c r="AD34" s="2">
        <f t="shared" si="10"/>
        <v>-3.4875977081963501</v>
      </c>
      <c r="AE34" s="2">
        <f t="shared" si="11"/>
        <v>141.12950153900076</v>
      </c>
      <c r="AF34" s="2">
        <f t="shared" si="12"/>
        <v>-1.467176985903844E-3</v>
      </c>
      <c r="AG34">
        <f t="shared" si="13"/>
        <v>246500587.10363731</v>
      </c>
    </row>
    <row r="35" spans="1:33" ht="15">
      <c r="A35">
        <f t="shared" si="18"/>
        <v>20</v>
      </c>
      <c r="C35" s="101">
        <v>-9.0863217000000001E-6</v>
      </c>
      <c r="D35" s="101">
        <v>2.1397921000000001E-5</v>
      </c>
      <c r="E35" s="101">
        <v>7.3102972999999994E-5</v>
      </c>
      <c r="F35" s="101">
        <v>-6.5723589000000004E-6</v>
      </c>
      <c r="G35" s="101">
        <v>1.6271459999999999E-5</v>
      </c>
      <c r="H35" s="101">
        <v>2.7512104000000001E-5</v>
      </c>
      <c r="I35" s="101">
        <v>0.26267403</v>
      </c>
      <c r="J35" s="101">
        <v>3.9191283E-4</v>
      </c>
      <c r="K35" s="101">
        <v>7.4057421999999998E-2</v>
      </c>
      <c r="L35" s="101">
        <v>1.4459052999999999E-4</v>
      </c>
      <c r="M35" s="101">
        <v>36.385337999999997</v>
      </c>
      <c r="N35" s="101">
        <v>7.3927624999999997E-2</v>
      </c>
      <c r="O35" s="101">
        <v>0.25852151000000001</v>
      </c>
      <c r="P35" s="101">
        <v>36.320262</v>
      </c>
      <c r="Q35" s="106">
        <f t="shared" si="1"/>
        <v>3.9809880776741089</v>
      </c>
      <c r="R35" s="113">
        <f t="shared" si="2"/>
        <v>3.7002104800000003E-4</v>
      </c>
      <c r="S35" s="113">
        <f t="shared" si="3"/>
        <v>0.26266918044944998</v>
      </c>
      <c r="T35" s="113">
        <f t="shared" si="4"/>
        <v>7.4051266200349991E-2</v>
      </c>
      <c r="U35" s="113">
        <f t="shared" si="5"/>
        <v>7.392146920034999E-2</v>
      </c>
      <c r="V35" s="113">
        <f t="shared" si="14"/>
        <v>0.25843770806650002</v>
      </c>
      <c r="W35" s="101">
        <f t="shared" si="15"/>
        <v>3.5471261185296048</v>
      </c>
      <c r="X35" s="101">
        <f t="shared" si="16"/>
        <v>3.4961116284912315</v>
      </c>
      <c r="Y35" s="101">
        <f t="shared" si="17"/>
        <v>491.33577014765336</v>
      </c>
      <c r="Z35" s="101">
        <f t="shared" si="6"/>
        <v>7.2143370499126997E-6</v>
      </c>
      <c r="AA35" s="2">
        <f t="shared" si="7"/>
        <v>491.42338080835316</v>
      </c>
      <c r="AB35" s="2">
        <f t="shared" si="8"/>
        <v>-482.24696263259813</v>
      </c>
      <c r="AC35" s="2">
        <f t="shared" si="9"/>
        <v>1705.7501517485125</v>
      </c>
      <c r="AD35" s="2">
        <f t="shared" si="10"/>
        <v>-3.4864395639072492</v>
      </c>
      <c r="AE35" s="2">
        <f t="shared" si="11"/>
        <v>141.11143115314852</v>
      </c>
      <c r="AF35" s="2">
        <f t="shared" si="12"/>
        <v>-1.4667502365169928E-3</v>
      </c>
      <c r="AG35">
        <f t="shared" si="13"/>
        <v>246353676.23374498</v>
      </c>
    </row>
    <row r="36" spans="1:33" ht="15">
      <c r="A36">
        <f t="shared" si="18"/>
        <v>21</v>
      </c>
      <c r="C36" s="101">
        <v>1.2241695E-5</v>
      </c>
      <c r="D36" s="101">
        <v>2.0886120000000001E-5</v>
      </c>
      <c r="E36" s="101">
        <v>8.6185695000000004E-5</v>
      </c>
      <c r="F36" s="101">
        <v>2.0837044000000001E-5</v>
      </c>
      <c r="G36" s="101">
        <v>1.5617034999999999E-5</v>
      </c>
      <c r="H36" s="101">
        <v>2.3049774E-5</v>
      </c>
      <c r="I36" s="101">
        <v>0.34032506000000001</v>
      </c>
      <c r="J36" s="101">
        <v>4.8387530999999999E-4</v>
      </c>
      <c r="K36" s="101">
        <v>9.5954467000000002E-2</v>
      </c>
      <c r="L36" s="101">
        <v>2.1630384E-4</v>
      </c>
      <c r="M36" s="101">
        <v>47.145330999999999</v>
      </c>
      <c r="N36" s="101">
        <v>9.6262704000000004E-2</v>
      </c>
      <c r="O36" s="101">
        <v>0.33671859999999998</v>
      </c>
      <c r="P36" s="101">
        <v>47.307901000000001</v>
      </c>
      <c r="Q36" s="106">
        <f t="shared" si="1"/>
        <v>4.5722561227140472</v>
      </c>
      <c r="R36" s="113">
        <f t="shared" si="2"/>
        <v>4.6454190549999997E-4</v>
      </c>
      <c r="S36" s="113">
        <f t="shared" si="3"/>
        <v>0.34030683296050002</v>
      </c>
      <c r="T36" s="113">
        <f t="shared" si="4"/>
        <v>9.5937903092499999E-2</v>
      </c>
      <c r="U36" s="113">
        <f t="shared" si="5"/>
        <v>9.6246140092500002E-2</v>
      </c>
      <c r="V36" s="113">
        <f t="shared" si="14"/>
        <v>0.33662197124499998</v>
      </c>
      <c r="W36" s="101">
        <f t="shared" si="15"/>
        <v>3.5471572964481823</v>
      </c>
      <c r="X36" s="101">
        <f t="shared" si="16"/>
        <v>3.4975113902903554</v>
      </c>
      <c r="Y36" s="101">
        <f t="shared" si="17"/>
        <v>491.53037155083251</v>
      </c>
      <c r="Z36" s="101">
        <f t="shared" si="6"/>
        <v>-1.2366254924638185E-4</v>
      </c>
      <c r="AA36" s="2">
        <f t="shared" si="7"/>
        <v>491.42497265456842</v>
      </c>
      <c r="AB36" s="2">
        <f t="shared" si="8"/>
        <v>-482.5013092380255</v>
      </c>
      <c r="AC36" s="2">
        <f t="shared" si="9"/>
        <v>1706.2147329817324</v>
      </c>
      <c r="AD36" s="2">
        <f t="shared" si="10"/>
        <v>-3.4873844627161716</v>
      </c>
      <c r="AE36" s="2">
        <f t="shared" si="11"/>
        <v>141.14781317083501</v>
      </c>
      <c r="AF36" s="2">
        <f t="shared" si="12"/>
        <v>-1.467131569625297E-3</v>
      </c>
      <c r="AG36">
        <f t="shared" si="13"/>
        <v>246422306.38621074</v>
      </c>
    </row>
    <row r="37" spans="1:33" ht="15">
      <c r="A37">
        <f t="shared" si="18"/>
        <v>22</v>
      </c>
      <c r="C37" s="101">
        <v>2.1010156000000001E-5</v>
      </c>
      <c r="D37" s="101">
        <v>2.788725E-5</v>
      </c>
      <c r="E37" s="101">
        <v>8.6524949000000003E-5</v>
      </c>
      <c r="F37" s="101">
        <v>2.8062612000000001E-5</v>
      </c>
      <c r="G37" s="101">
        <v>2.0754575000000001E-5</v>
      </c>
      <c r="H37" s="101">
        <v>2.7573159E-5</v>
      </c>
      <c r="I37" s="101">
        <v>0.34341774000000003</v>
      </c>
      <c r="J37" s="101">
        <v>4.8319550000000002E-4</v>
      </c>
      <c r="K37" s="101">
        <v>9.6810764999999993E-2</v>
      </c>
      <c r="L37" s="101">
        <v>2.2224001E-4</v>
      </c>
      <c r="M37" s="101">
        <v>47.572448999999999</v>
      </c>
      <c r="N37" s="101">
        <v>9.6855276000000004E-2</v>
      </c>
      <c r="O37" s="101">
        <v>0.33874121000000001</v>
      </c>
      <c r="P37" s="101">
        <v>47.594574999999999</v>
      </c>
      <c r="Q37" s="106">
        <f t="shared" si="1"/>
        <v>4.6694399519272949</v>
      </c>
      <c r="R37" s="113">
        <f t="shared" si="2"/>
        <v>4.5903163300000001E-4</v>
      </c>
      <c r="S37" s="113">
        <f t="shared" si="3"/>
        <v>0.34339333140650002</v>
      </c>
      <c r="T37" s="113">
        <f t="shared" si="4"/>
        <v>9.6786316296999991E-2</v>
      </c>
      <c r="U37" s="113">
        <f t="shared" si="5"/>
        <v>9.6830827297000002E-2</v>
      </c>
      <c r="V37" s="113">
        <f t="shared" si="14"/>
        <v>0.33864074142600004</v>
      </c>
      <c r="W37" s="101">
        <f t="shared" si="15"/>
        <v>3.5479533114242918</v>
      </c>
      <c r="X37" s="101">
        <f t="shared" si="16"/>
        <v>3.497241022090201</v>
      </c>
      <c r="Y37" s="101">
        <f t="shared" si="17"/>
        <v>491.52296152564799</v>
      </c>
      <c r="Z37" s="101">
        <f t="shared" si="6"/>
        <v>-2.3155598528935138E-5</v>
      </c>
      <c r="AA37" s="2">
        <f t="shared" si="7"/>
        <v>491.56583743375967</v>
      </c>
      <c r="AB37" s="2">
        <f t="shared" si="8"/>
        <v>-482.44548133515326</v>
      </c>
      <c r="AC37" s="2">
        <f t="shared" si="9"/>
        <v>1706.7461017397009</v>
      </c>
      <c r="AD37" s="2">
        <f t="shared" si="10"/>
        <v>-3.4874641901992161</v>
      </c>
      <c r="AE37" s="2">
        <f t="shared" si="11"/>
        <v>141.14171597138071</v>
      </c>
      <c r="AF37" s="2">
        <f t="shared" si="12"/>
        <v>-1.4673489994686349E-3</v>
      </c>
      <c r="AG37">
        <f t="shared" si="13"/>
        <v>246483283.50262091</v>
      </c>
    </row>
    <row r="38" spans="1:33" ht="15">
      <c r="A38">
        <f t="shared" si="18"/>
        <v>23</v>
      </c>
      <c r="C38" s="101">
        <v>1.9708053E-5</v>
      </c>
      <c r="D38" s="101">
        <v>2.6966429999999999E-5</v>
      </c>
      <c r="E38" s="101">
        <v>7.8405499000000004E-5</v>
      </c>
      <c r="F38" s="101">
        <v>1.6697418999999999E-5</v>
      </c>
      <c r="G38" s="101">
        <v>2.5219798999999999E-5</v>
      </c>
      <c r="H38" s="101">
        <v>3.1026023E-5</v>
      </c>
      <c r="I38" s="101">
        <v>0.34612599999999999</v>
      </c>
      <c r="J38" s="101">
        <v>4.9029328999999997E-4</v>
      </c>
      <c r="K38" s="101">
        <v>9.7567342000000001E-2</v>
      </c>
      <c r="L38" s="101">
        <v>1.9335835000000001E-4</v>
      </c>
      <c r="M38" s="101">
        <v>47.950964999999997</v>
      </c>
      <c r="N38" s="101">
        <v>9.7736898000000003E-2</v>
      </c>
      <c r="O38" s="101">
        <v>0.34189734999999999</v>
      </c>
      <c r="P38" s="101">
        <v>48.035884000000003</v>
      </c>
      <c r="Q38" s="106">
        <f t="shared" si="1"/>
        <v>4.0252897188276995</v>
      </c>
      <c r="R38" s="113">
        <f t="shared" si="2"/>
        <v>4.6217037899999998E-4</v>
      </c>
      <c r="S38" s="113">
        <f t="shared" si="3"/>
        <v>0.34610504139100001</v>
      </c>
      <c r="T38" s="113">
        <f t="shared" si="4"/>
        <v>9.7544004758500003E-2</v>
      </c>
      <c r="U38" s="113">
        <f t="shared" si="5"/>
        <v>9.7713560758500004E-2</v>
      </c>
      <c r="V38" s="113">
        <f t="shared" si="14"/>
        <v>0.34180546128599998</v>
      </c>
      <c r="W38" s="101">
        <f t="shared" si="15"/>
        <v>3.5481938869322498</v>
      </c>
      <c r="X38" s="101">
        <f t="shared" si="16"/>
        <v>3.4980350591334548</v>
      </c>
      <c r="Y38" s="101">
        <f t="shared" si="17"/>
        <v>491.59895133410549</v>
      </c>
      <c r="Z38" s="101">
        <f t="shared" si="6"/>
        <v>-7.6475930535717534E-5</v>
      </c>
      <c r="AA38" s="2">
        <f t="shared" si="7"/>
        <v>491.5631826510126</v>
      </c>
      <c r="AB38" s="2">
        <f t="shared" si="8"/>
        <v>-482.54588339152258</v>
      </c>
      <c r="AC38" s="2">
        <f t="shared" si="9"/>
        <v>1707.0339836604496</v>
      </c>
      <c r="AD38" s="2">
        <f t="shared" si="10"/>
        <v>-3.4880729279632079</v>
      </c>
      <c r="AE38" s="2">
        <f t="shared" si="11"/>
        <v>141.14620529479402</v>
      </c>
      <c r="AF38" s="2">
        <f t="shared" si="12"/>
        <v>-1.4673903793118921E-3</v>
      </c>
      <c r="AG38">
        <f t="shared" si="13"/>
        <v>246542920.64011469</v>
      </c>
    </row>
    <row r="39" spans="1:33" ht="15">
      <c r="A39">
        <f t="shared" si="18"/>
        <v>24</v>
      </c>
      <c r="C39" s="101">
        <v>3.616314E-6</v>
      </c>
      <c r="D39" s="101">
        <v>3.4559562999999999E-5</v>
      </c>
      <c r="E39" s="101">
        <v>7.8149176000000002E-5</v>
      </c>
      <c r="F39" s="101">
        <v>4.1136507000000001E-5</v>
      </c>
      <c r="G39" s="101">
        <v>7.6732666999999998E-6</v>
      </c>
      <c r="H39" s="101">
        <v>3.9884407E-5</v>
      </c>
      <c r="I39" s="101">
        <v>0.34856289000000001</v>
      </c>
      <c r="J39" s="101">
        <v>4.9547594999999999E-4</v>
      </c>
      <c r="K39" s="101">
        <v>9.8270082999999994E-2</v>
      </c>
      <c r="L39" s="101">
        <v>2.2781710000000001E-4</v>
      </c>
      <c r="M39" s="101">
        <v>48.287736000000002</v>
      </c>
      <c r="N39" s="101">
        <v>9.8291385999999994E-2</v>
      </c>
      <c r="O39" s="101">
        <v>0.3439043</v>
      </c>
      <c r="P39" s="101">
        <v>48.321688000000002</v>
      </c>
      <c r="Q39" s="106">
        <f t="shared" si="1"/>
        <v>4.7145931657023246</v>
      </c>
      <c r="R39" s="113">
        <f t="shared" si="2"/>
        <v>4.7169711314999998E-4</v>
      </c>
      <c r="S39" s="113">
        <f t="shared" si="3"/>
        <v>0.34853848511315</v>
      </c>
      <c r="T39" s="113">
        <f t="shared" si="4"/>
        <v>9.8250995061499993E-2</v>
      </c>
      <c r="U39" s="113">
        <f t="shared" si="5"/>
        <v>9.8272298061499994E-2</v>
      </c>
      <c r="V39" s="113">
        <f t="shared" si="14"/>
        <v>0.34380887104250002</v>
      </c>
      <c r="W39" s="101">
        <f t="shared" si="15"/>
        <v>3.5474295694917197</v>
      </c>
      <c r="X39" s="101">
        <f t="shared" si="16"/>
        <v>3.4985329317051308</v>
      </c>
      <c r="Y39" s="101">
        <f t="shared" si="17"/>
        <v>491.71220123253556</v>
      </c>
      <c r="Z39" s="101">
        <f t="shared" si="6"/>
        <v>-1.9571200569419225E-4</v>
      </c>
      <c r="AA39" s="2">
        <f t="shared" si="7"/>
        <v>491.50041311050768</v>
      </c>
      <c r="AB39" s="2">
        <f t="shared" si="8"/>
        <v>-482.71472712133567</v>
      </c>
      <c r="AC39" s="2">
        <f t="shared" si="9"/>
        <v>1706.8522654906685</v>
      </c>
      <c r="AD39" s="2">
        <f t="shared" si="10"/>
        <v>-3.4881556284795754</v>
      </c>
      <c r="AE39" s="2">
        <f t="shared" si="11"/>
        <v>141.18630515232135</v>
      </c>
      <c r="AF39" s="2">
        <f t="shared" si="12"/>
        <v>-1.4676821012147411E-3</v>
      </c>
      <c r="AG39">
        <f t="shared" si="13"/>
        <v>246495450.17770797</v>
      </c>
    </row>
    <row r="40" spans="1:33" ht="15">
      <c r="A40">
        <f t="shared" si="18"/>
        <v>25</v>
      </c>
      <c r="C40" s="101">
        <v>8.3956392999999995E-6</v>
      </c>
      <c r="D40" s="101">
        <v>2.0023771E-5</v>
      </c>
      <c r="E40" s="101">
        <v>7.6362453000000004E-5</v>
      </c>
      <c r="F40" s="101">
        <v>3.3948478000000002E-5</v>
      </c>
      <c r="G40" s="101">
        <v>1.4316211E-5</v>
      </c>
      <c r="H40" s="101">
        <v>4.4204311000000003E-5</v>
      </c>
      <c r="I40" s="101">
        <v>0.35084633999999998</v>
      </c>
      <c r="J40" s="101">
        <v>4.9357538999999996E-4</v>
      </c>
      <c r="K40" s="101">
        <v>9.8906414999999998E-2</v>
      </c>
      <c r="L40" s="101">
        <v>2.1828989E-4</v>
      </c>
      <c r="M40" s="101">
        <v>48.610773000000002</v>
      </c>
      <c r="N40" s="101">
        <v>9.8959655999999993E-2</v>
      </c>
      <c r="O40" s="101">
        <v>0.34620985999999998</v>
      </c>
      <c r="P40" s="101">
        <v>48.645533</v>
      </c>
      <c r="Q40" s="106">
        <f t="shared" si="1"/>
        <v>4.4873573489265706</v>
      </c>
      <c r="R40" s="113">
        <f t="shared" si="2"/>
        <v>4.6431512899999995E-4</v>
      </c>
      <c r="S40" s="113">
        <f t="shared" si="3"/>
        <v>0.35082220765549998</v>
      </c>
      <c r="T40" s="113">
        <f t="shared" si="4"/>
        <v>9.8892205294850002E-2</v>
      </c>
      <c r="U40" s="113">
        <f t="shared" si="5"/>
        <v>9.8945446294849998E-2</v>
      </c>
      <c r="V40" s="113">
        <f t="shared" si="14"/>
        <v>0.34612348566149997</v>
      </c>
      <c r="W40" s="101">
        <f t="shared" si="15"/>
        <v>3.54752133001295</v>
      </c>
      <c r="X40" s="101">
        <f t="shared" si="16"/>
        <v>3.4981244576943742</v>
      </c>
      <c r="Y40" s="101">
        <f t="shared" si="17"/>
        <v>491.63993717345988</v>
      </c>
      <c r="Z40" s="101">
        <f t="shared" si="6"/>
        <v>-1.4809165133235008E-4</v>
      </c>
      <c r="AA40" s="2">
        <f t="shared" si="7"/>
        <v>491.49847036726788</v>
      </c>
      <c r="AB40" s="2">
        <f t="shared" si="8"/>
        <v>-482.62073387504188</v>
      </c>
      <c r="AC40" s="2">
        <f t="shared" si="9"/>
        <v>1706.7281420812096</v>
      </c>
      <c r="AD40" s="2">
        <f t="shared" si="10"/>
        <v>-3.4879128739025411</v>
      </c>
      <c r="AE40" s="2">
        <f t="shared" si="11"/>
        <v>141.16842340016291</v>
      </c>
      <c r="AF40" s="2">
        <f t="shared" si="12"/>
        <v>-1.4674923430277084E-3</v>
      </c>
      <c r="AG40">
        <f t="shared" si="13"/>
        <v>246484782.96322054</v>
      </c>
    </row>
    <row r="41" spans="1:33" ht="15">
      <c r="A41">
        <f t="shared" si="18"/>
        <v>26</v>
      </c>
      <c r="C41" s="101">
        <v>5.1670827000000004E-6</v>
      </c>
      <c r="D41" s="101">
        <v>3.2664506999999998E-5</v>
      </c>
      <c r="E41" s="101">
        <v>8.7135656000000006E-5</v>
      </c>
      <c r="F41" s="101">
        <v>1.6881382000000001E-5</v>
      </c>
      <c r="G41" s="101">
        <v>2.1788638000000001E-5</v>
      </c>
      <c r="H41" s="101">
        <v>2.7678175E-5</v>
      </c>
      <c r="I41" s="101">
        <v>0.35323017000000001</v>
      </c>
      <c r="J41" s="101">
        <v>5.1192280999999996E-4</v>
      </c>
      <c r="K41" s="101">
        <v>9.9596866000000006E-2</v>
      </c>
      <c r="L41" s="101">
        <v>1.5766681999999999E-4</v>
      </c>
      <c r="M41" s="101">
        <v>48.953223000000001</v>
      </c>
      <c r="N41" s="101">
        <v>9.9565845E-2</v>
      </c>
      <c r="O41" s="101">
        <v>0.34834420999999999</v>
      </c>
      <c r="P41" s="101">
        <v>48.949446000000002</v>
      </c>
      <c r="Q41" s="106">
        <f t="shared" si="1"/>
        <v>3.2210133695895142</v>
      </c>
      <c r="R41" s="113">
        <f t="shared" si="2"/>
        <v>4.8718940349999997E-4</v>
      </c>
      <c r="S41" s="113">
        <f t="shared" si="3"/>
        <v>0.35321083499</v>
      </c>
      <c r="T41" s="113">
        <f t="shared" si="4"/>
        <v>9.9577950205150007E-2</v>
      </c>
      <c r="U41" s="113">
        <f t="shared" si="5"/>
        <v>9.954692920515E-2</v>
      </c>
      <c r="V41" s="113">
        <f t="shared" si="14"/>
        <v>0.34824074209049999</v>
      </c>
      <c r="W41" s="101">
        <f t="shared" si="15"/>
        <v>3.5470787886506678</v>
      </c>
      <c r="X41" s="101">
        <f t="shared" si="16"/>
        <v>3.4982570017085366</v>
      </c>
      <c r="Y41" s="101">
        <f t="shared" si="17"/>
        <v>491.72231017918364</v>
      </c>
      <c r="Z41" s="101">
        <f t="shared" si="6"/>
        <v>-2.0225367818953925E-4</v>
      </c>
      <c r="AA41" s="2">
        <f t="shared" si="7"/>
        <v>491.50085183609832</v>
      </c>
      <c r="AB41" s="2">
        <f t="shared" si="8"/>
        <v>-482.7278089407954</v>
      </c>
      <c r="AC41" s="2">
        <f t="shared" si="9"/>
        <v>1706.7066915919866</v>
      </c>
      <c r="AD41" s="2">
        <f t="shared" si="10"/>
        <v>-3.4878568903124871</v>
      </c>
      <c r="AE41" s="2">
        <f t="shared" si="11"/>
        <v>141.20229225569329</v>
      </c>
      <c r="AF41" s="2">
        <f t="shared" si="12"/>
        <v>-1.4678491656039182E-3</v>
      </c>
      <c r="AG41">
        <f t="shared" si="13"/>
        <v>246449928.58203328</v>
      </c>
    </row>
    <row r="42" spans="1:33" ht="15">
      <c r="A42">
        <f t="shared" si="18"/>
        <v>27</v>
      </c>
      <c r="C42" s="101">
        <v>-7.6953727000000005E-6</v>
      </c>
      <c r="D42" s="101">
        <v>3.6292331999999999E-5</v>
      </c>
      <c r="E42" s="101">
        <v>8.7325666000000004E-5</v>
      </c>
      <c r="F42" s="101">
        <v>8.9251878999999994E-6</v>
      </c>
      <c r="G42" s="101">
        <v>1.4721267000000001E-5</v>
      </c>
      <c r="H42" s="101">
        <v>3.5600162999999997E-5</v>
      </c>
      <c r="I42" s="101">
        <v>0.35452117</v>
      </c>
      <c r="J42" s="101">
        <v>5.1824665999999995E-4</v>
      </c>
      <c r="K42" s="101">
        <v>9.9956920000000005E-2</v>
      </c>
      <c r="L42" s="101">
        <v>1.7621136000000001E-4</v>
      </c>
      <c r="M42" s="101">
        <v>49.133642999999999</v>
      </c>
      <c r="N42" s="101">
        <v>0.10003212</v>
      </c>
      <c r="O42" s="101">
        <v>0.3499235</v>
      </c>
      <c r="P42" s="101">
        <v>49.170256999999999</v>
      </c>
      <c r="Q42" s="106">
        <f t="shared" si="1"/>
        <v>3.5836981694035077</v>
      </c>
      <c r="R42" s="113">
        <f t="shared" si="2"/>
        <v>4.93085945E-4</v>
      </c>
      <c r="S42" s="113">
        <f t="shared" si="3"/>
        <v>0.35450934677254997</v>
      </c>
      <c r="T42" s="113">
        <f t="shared" si="4"/>
        <v>9.9942621520350008E-2</v>
      </c>
      <c r="U42" s="113">
        <f t="shared" si="5"/>
        <v>0.10001782152035001</v>
      </c>
      <c r="V42" s="113">
        <f t="shared" si="14"/>
        <v>0.34981802816800001</v>
      </c>
      <c r="W42" s="101">
        <f t="shared" si="15"/>
        <v>3.547128756277079</v>
      </c>
      <c r="X42" s="101">
        <f t="shared" si="16"/>
        <v>3.4975569638539339</v>
      </c>
      <c r="Y42" s="101">
        <f t="shared" si="17"/>
        <v>491.61495674044085</v>
      </c>
      <c r="Z42" s="101">
        <f t="shared" si="6"/>
        <v>-1.3069409332800599E-4</v>
      </c>
      <c r="AA42" s="2">
        <f t="shared" si="7"/>
        <v>491.49916295347271</v>
      </c>
      <c r="AB42" s="2">
        <f t="shared" si="8"/>
        <v>-482.58777939305281</v>
      </c>
      <c r="AC42" s="2">
        <f t="shared" si="9"/>
        <v>1706.482034614862</v>
      </c>
      <c r="AD42" s="2">
        <f t="shared" si="10"/>
        <v>-3.4874058330975939</v>
      </c>
      <c r="AE42" s="2">
        <f t="shared" si="11"/>
        <v>141.17939141870627</v>
      </c>
      <c r="AF42" s="2">
        <f t="shared" si="12"/>
        <v>-1.4676077386759048E-3</v>
      </c>
      <c r="AG42">
        <f t="shared" si="13"/>
        <v>246421688.78017578</v>
      </c>
    </row>
    <row r="43" spans="1:33" ht="15">
      <c r="A43">
        <f t="shared" si="18"/>
        <v>28</v>
      </c>
      <c r="C43" s="101">
        <v>4.8464514E-6</v>
      </c>
      <c r="D43" s="101">
        <v>2.1020934E-5</v>
      </c>
      <c r="E43" s="101">
        <v>7.3120849999999996E-5</v>
      </c>
      <c r="F43" s="101">
        <v>6.7329581999999997E-6</v>
      </c>
      <c r="G43" s="101">
        <v>3.4305306000000001E-5</v>
      </c>
      <c r="H43" s="101">
        <v>3.3341951E-5</v>
      </c>
      <c r="I43" s="101">
        <v>0.35273866999999998</v>
      </c>
      <c r="J43" s="101">
        <v>5.1318005000000003E-4</v>
      </c>
      <c r="K43" s="101">
        <v>9.9456076000000004E-2</v>
      </c>
      <c r="L43" s="101">
        <v>1.9272994999999999E-4</v>
      </c>
      <c r="M43" s="101">
        <v>48.886699</v>
      </c>
      <c r="N43" s="101">
        <v>9.9539332999999994E-2</v>
      </c>
      <c r="O43" s="101">
        <v>0.34819013999999998</v>
      </c>
      <c r="P43" s="101">
        <v>48.931804</v>
      </c>
      <c r="Q43" s="106">
        <f t="shared" si="1"/>
        <v>3.9387460556328557</v>
      </c>
      <c r="R43" s="113">
        <f t="shared" si="2"/>
        <v>4.7935642150000006E-4</v>
      </c>
      <c r="S43" s="113">
        <f t="shared" si="3"/>
        <v>0.35271815086789998</v>
      </c>
      <c r="T43" s="113">
        <f t="shared" si="4"/>
        <v>9.9443142307300003E-2</v>
      </c>
      <c r="U43" s="113">
        <f t="shared" si="5"/>
        <v>9.9526399307299993E-2</v>
      </c>
      <c r="V43" s="113">
        <f t="shared" si="14"/>
        <v>0.34810650868299997</v>
      </c>
      <c r="W43" s="101">
        <f t="shared" si="15"/>
        <v>3.5469328772609328</v>
      </c>
      <c r="X43" s="101">
        <f t="shared" si="16"/>
        <v>3.4976298861991211</v>
      </c>
      <c r="Y43" s="101">
        <f t="shared" si="17"/>
        <v>491.64648114031576</v>
      </c>
      <c r="Z43" s="101">
        <f t="shared" si="6"/>
        <v>-1.5603409503960367E-4</v>
      </c>
      <c r="AA43" s="2">
        <f t="shared" si="7"/>
        <v>491.49327729903735</v>
      </c>
      <c r="AB43" s="2">
        <f t="shared" si="8"/>
        <v>-482.63098395817048</v>
      </c>
      <c r="AC43" s="2">
        <f t="shared" si="9"/>
        <v>1706.4531085581907</v>
      </c>
      <c r="AD43" s="2">
        <f t="shared" si="10"/>
        <v>-3.4873905575939905</v>
      </c>
      <c r="AE43" s="2">
        <f t="shared" si="11"/>
        <v>141.19210670600032</v>
      </c>
      <c r="AF43" s="2">
        <f t="shared" si="12"/>
        <v>-1.4677281797894814E-3</v>
      </c>
      <c r="AG43">
        <f t="shared" si="13"/>
        <v>246406942.83814412</v>
      </c>
    </row>
    <row r="44" spans="1:33" ht="15">
      <c r="A44">
        <f t="shared" si="18"/>
        <v>29</v>
      </c>
      <c r="C44" s="101">
        <v>-6.7782291999999998E-6</v>
      </c>
      <c r="D44" s="101">
        <v>3.1926900999999997E-5</v>
      </c>
      <c r="E44" s="101">
        <v>8.7237968999999996E-5</v>
      </c>
      <c r="F44" s="101">
        <v>1.8313055999999999E-5</v>
      </c>
      <c r="G44" s="101">
        <v>1.1740793E-5</v>
      </c>
      <c r="H44" s="101">
        <v>5.0655037999999999E-5</v>
      </c>
      <c r="I44" s="101">
        <v>0.35411673999999999</v>
      </c>
      <c r="J44" s="101">
        <v>5.1404581999999995E-4</v>
      </c>
      <c r="K44" s="101">
        <v>9.9831699999999995E-2</v>
      </c>
      <c r="L44" s="101">
        <v>2.1886923000000001E-4</v>
      </c>
      <c r="M44" s="101">
        <v>49.084425000000003</v>
      </c>
      <c r="N44" s="101">
        <v>9.9905392999999995E-2</v>
      </c>
      <c r="O44" s="101">
        <v>0.34945485999999998</v>
      </c>
      <c r="P44" s="101">
        <v>49.107148000000002</v>
      </c>
      <c r="Q44" s="106">
        <f t="shared" si="1"/>
        <v>4.4569729441424704</v>
      </c>
      <c r="R44" s="113">
        <f t="shared" si="2"/>
        <v>4.8284790449999997E-4</v>
      </c>
      <c r="S44" s="113">
        <f t="shared" si="3"/>
        <v>0.35410171307549998</v>
      </c>
      <c r="T44" s="113">
        <f t="shared" si="4"/>
        <v>9.9819125664099992E-2</v>
      </c>
      <c r="U44" s="113">
        <f t="shared" si="5"/>
        <v>9.9892818664099992E-2</v>
      </c>
      <c r="V44" s="113">
        <f t="shared" si="14"/>
        <v>0.34935165858049999</v>
      </c>
      <c r="W44" s="101">
        <f t="shared" si="15"/>
        <v>3.5474335275895217</v>
      </c>
      <c r="X44" s="101">
        <f t="shared" si="16"/>
        <v>3.4972650011531994</v>
      </c>
      <c r="Y44" s="101">
        <f t="shared" si="17"/>
        <v>491.59838171278261</v>
      </c>
      <c r="Z44" s="101">
        <f t="shared" si="6"/>
        <v>-7.4206174236716405E-5</v>
      </c>
      <c r="AA44" s="2">
        <f t="shared" si="7"/>
        <v>491.56594517453436</v>
      </c>
      <c r="AB44" s="2">
        <f t="shared" si="8"/>
        <v>-482.54420577637507</v>
      </c>
      <c r="AC44" s="2">
        <f t="shared" si="9"/>
        <v>1706.668910424934</v>
      </c>
      <c r="AD44" s="2">
        <f t="shared" si="10"/>
        <v>-3.4873105906060418</v>
      </c>
      <c r="AE44" s="2">
        <f t="shared" si="11"/>
        <v>141.17688331869439</v>
      </c>
      <c r="AF44" s="2">
        <f t="shared" si="12"/>
        <v>-1.4677148191130313E-3</v>
      </c>
      <c r="AG44">
        <f t="shared" si="13"/>
        <v>246436164.13887188</v>
      </c>
    </row>
    <row r="45" spans="1:33" ht="15">
      <c r="A45">
        <f t="shared" si="18"/>
        <v>30</v>
      </c>
      <c r="C45" s="101">
        <v>6.9715680000000003E-6</v>
      </c>
      <c r="D45" s="101">
        <v>4.1290020000000001E-5</v>
      </c>
      <c r="E45" s="101">
        <v>1.0281893E-4</v>
      </c>
      <c r="F45" s="101">
        <v>1.2936832E-5</v>
      </c>
      <c r="G45" s="101">
        <v>2.3346627000000002E-5</v>
      </c>
      <c r="H45" s="101">
        <v>4.5911997000000002E-5</v>
      </c>
      <c r="I45" s="101">
        <v>0.35520666000000001</v>
      </c>
      <c r="J45" s="101">
        <v>5.2472111999999997E-4</v>
      </c>
      <c r="K45" s="101">
        <v>0.1001484</v>
      </c>
      <c r="L45" s="101">
        <v>2.0646675E-4</v>
      </c>
      <c r="M45" s="101">
        <v>49.237616000000003</v>
      </c>
      <c r="N45" s="101">
        <v>0.10012575</v>
      </c>
      <c r="O45" s="101">
        <v>0.35033940000000002</v>
      </c>
      <c r="P45" s="101">
        <v>49.235483000000002</v>
      </c>
      <c r="Q45" s="106">
        <f t="shared" si="1"/>
        <v>4.1934543426739603</v>
      </c>
      <c r="R45" s="113">
        <f t="shared" si="2"/>
        <v>4.9009180799999992E-4</v>
      </c>
      <c r="S45" s="113">
        <f t="shared" si="3"/>
        <v>0.35518851827050002</v>
      </c>
      <c r="T45" s="113">
        <f t="shared" si="4"/>
        <v>0.100124269206</v>
      </c>
      <c r="U45" s="113">
        <f t="shared" si="5"/>
        <v>0.100101619206</v>
      </c>
      <c r="V45" s="113">
        <f t="shared" si="14"/>
        <v>0.35021593606000001</v>
      </c>
      <c r="W45" s="101">
        <f t="shared" si="15"/>
        <v>3.547476761500449</v>
      </c>
      <c r="X45" s="101">
        <f t="shared" si="16"/>
        <v>3.4986041068854998</v>
      </c>
      <c r="Y45" s="101">
        <f t="shared" si="17"/>
        <v>491.85501084330986</v>
      </c>
      <c r="Z45" s="101">
        <f t="shared" si="6"/>
        <v>-1.9808411035932482E-4</v>
      </c>
      <c r="AA45" s="2">
        <f t="shared" si="7"/>
        <v>491.639659331438</v>
      </c>
      <c r="AB45" s="2">
        <f t="shared" si="8"/>
        <v>-482.85614085423396</v>
      </c>
      <c r="AC45" s="2">
        <f t="shared" si="9"/>
        <v>1707.3659616820612</v>
      </c>
      <c r="AD45" s="2">
        <f t="shared" si="10"/>
        <v>-3.4882190370304915</v>
      </c>
      <c r="AE45" s="2">
        <f t="shared" si="11"/>
        <v>141.23850786895119</v>
      </c>
      <c r="AF45" s="2">
        <f t="shared" si="12"/>
        <v>-1.4685025009268174E-3</v>
      </c>
      <c r="AG45">
        <f t="shared" si="13"/>
        <v>246502969.18201455</v>
      </c>
    </row>
    <row r="46" spans="1:33" ht="15">
      <c r="A46">
        <f t="shared" si="18"/>
        <v>31</v>
      </c>
      <c r="C46" s="101">
        <v>1.2706661E-5</v>
      </c>
      <c r="D46" s="101">
        <v>4.5300129999999999E-5</v>
      </c>
      <c r="E46" s="101">
        <v>8.7887482000000006E-5</v>
      </c>
      <c r="F46" s="101">
        <v>1.8261151999999999E-5</v>
      </c>
      <c r="G46" s="101">
        <v>1.8919107999999998E-5</v>
      </c>
      <c r="H46" s="101">
        <v>4.5408480000000003E-5</v>
      </c>
      <c r="I46" s="101">
        <v>0.35052565000000002</v>
      </c>
      <c r="J46" s="101">
        <v>5.1738445999999997E-4</v>
      </c>
      <c r="K46" s="101">
        <v>9.8871008999999996E-2</v>
      </c>
      <c r="L46" s="101">
        <v>1.5958393999999999E-4</v>
      </c>
      <c r="M46" s="101">
        <v>48.598039</v>
      </c>
      <c r="N46" s="101">
        <v>9.8468051000000001E-2</v>
      </c>
      <c r="O46" s="101">
        <v>0.34440531000000002</v>
      </c>
      <c r="P46" s="101">
        <v>48.404246999999998</v>
      </c>
      <c r="Q46" s="106">
        <f t="shared" si="1"/>
        <v>3.2968995468517464</v>
      </c>
      <c r="R46" s="113">
        <f t="shared" si="2"/>
        <v>4.8522066599999996E-4</v>
      </c>
      <c r="S46" s="113">
        <f t="shared" si="3"/>
        <v>0.35050705987000003</v>
      </c>
      <c r="T46" s="113">
        <f t="shared" si="4"/>
        <v>9.8842005604500002E-2</v>
      </c>
      <c r="U46" s="113">
        <f t="shared" si="5"/>
        <v>9.8439047604500007E-2</v>
      </c>
      <c r="V46" s="113">
        <f t="shared" si="14"/>
        <v>0.344294772453</v>
      </c>
      <c r="W46" s="101">
        <f t="shared" si="15"/>
        <v>3.5461346390774007</v>
      </c>
      <c r="X46" s="101">
        <f t="shared" si="16"/>
        <v>3.4975427011065578</v>
      </c>
      <c r="Y46" s="101">
        <f t="shared" si="17"/>
        <v>491.71795316909652</v>
      </c>
      <c r="Z46" s="101">
        <f t="shared" si="6"/>
        <v>-2.2257738324193396E-4</v>
      </c>
      <c r="AA46" s="2">
        <f t="shared" si="7"/>
        <v>491.46646857541504</v>
      </c>
      <c r="AB46" s="2">
        <f t="shared" si="8"/>
        <v>-482.73332917715169</v>
      </c>
      <c r="AC46" s="2">
        <f t="shared" si="9"/>
        <v>1706.2007848917706</v>
      </c>
      <c r="AD46" s="2">
        <f t="shared" si="10"/>
        <v>-3.487071637601213</v>
      </c>
      <c r="AE46" s="2">
        <f t="shared" si="11"/>
        <v>141.23246308401855</v>
      </c>
      <c r="AF46" s="2">
        <f t="shared" si="12"/>
        <v>-1.4680942120772367E-3</v>
      </c>
      <c r="AG46">
        <f t="shared" si="13"/>
        <v>246328810.28477645</v>
      </c>
    </row>
    <row r="47" spans="1:33" ht="15">
      <c r="A47">
        <f t="shared" si="18"/>
        <v>32</v>
      </c>
      <c r="C47" s="101">
        <v>9.2625985999999992E-6</v>
      </c>
      <c r="D47" s="101">
        <v>5.0027612000000001E-5</v>
      </c>
      <c r="E47" s="101">
        <v>8.1994204999999995E-5</v>
      </c>
      <c r="F47" s="101">
        <v>1.1468261999999999E-5</v>
      </c>
      <c r="G47" s="101">
        <v>3.6889147000000001E-5</v>
      </c>
      <c r="H47" s="101">
        <v>5.9987783999999998E-5</v>
      </c>
      <c r="I47" s="101">
        <v>0.34635770999999999</v>
      </c>
      <c r="J47" s="101">
        <v>5.1931617E-4</v>
      </c>
      <c r="K47" s="101">
        <v>9.7701036000000005E-2</v>
      </c>
      <c r="L47" s="101">
        <v>1.812323E-4</v>
      </c>
      <c r="M47" s="101">
        <v>48.021884999999997</v>
      </c>
      <c r="N47" s="101">
        <v>9.7055258000000005E-2</v>
      </c>
      <c r="O47" s="101">
        <v>0.33948730999999999</v>
      </c>
      <c r="P47" s="101">
        <v>47.715854999999998</v>
      </c>
      <c r="Q47" s="106">
        <f t="shared" si="1"/>
        <v>3.7981568181058476</v>
      </c>
      <c r="R47" s="113">
        <f t="shared" si="2"/>
        <v>4.7087770449999997E-4</v>
      </c>
      <c r="S47" s="113">
        <f t="shared" si="3"/>
        <v>0.34633353129549999</v>
      </c>
      <c r="T47" s="113">
        <f t="shared" si="4"/>
        <v>9.7671390894700005E-2</v>
      </c>
      <c r="U47" s="113">
        <f t="shared" si="5"/>
        <v>9.7025612894700006E-2</v>
      </c>
      <c r="V47" s="113">
        <f t="shared" si="14"/>
        <v>0.33938030198899999</v>
      </c>
      <c r="W47" s="101">
        <f t="shared" si="15"/>
        <v>3.5459055934698815</v>
      </c>
      <c r="X47" s="101">
        <f t="shared" si="16"/>
        <v>3.4978423929908362</v>
      </c>
      <c r="Y47" s="101">
        <f t="shared" si="17"/>
        <v>491.78617456181473</v>
      </c>
      <c r="Z47" s="101">
        <f t="shared" si="6"/>
        <v>-2.726842020916689E-4</v>
      </c>
      <c r="AA47" s="2">
        <f t="shared" si="7"/>
        <v>491.46064741729788</v>
      </c>
      <c r="AB47" s="2">
        <f t="shared" si="8"/>
        <v>-482.82455896377121</v>
      </c>
      <c r="AC47" s="2">
        <f t="shared" si="9"/>
        <v>1706.2401358476777</v>
      </c>
      <c r="AD47" s="2">
        <f t="shared" si="10"/>
        <v>-3.487196867453429</v>
      </c>
      <c r="AE47" s="2">
        <f t="shared" si="11"/>
        <v>141.25355818476172</v>
      </c>
      <c r="AF47" s="2">
        <f t="shared" si="12"/>
        <v>-1.4683018763238982E-3</v>
      </c>
      <c r="AG47">
        <f t="shared" si="13"/>
        <v>246321637.92212272</v>
      </c>
    </row>
    <row r="48" spans="1:33" ht="15">
      <c r="A48">
        <f t="shared" si="18"/>
        <v>33</v>
      </c>
      <c r="C48" s="101">
        <v>6.8884012000000001E-6</v>
      </c>
      <c r="D48" s="101">
        <v>3.9394538999999997E-5</v>
      </c>
      <c r="E48" s="101">
        <v>9.1846458999999997E-5</v>
      </c>
      <c r="F48" s="101">
        <v>2.1800508000000001E-5</v>
      </c>
      <c r="G48" s="101">
        <v>2.7180811999999999E-5</v>
      </c>
      <c r="H48" s="101">
        <v>4.0982795999999999E-5</v>
      </c>
      <c r="I48" s="101">
        <v>0.34063942000000003</v>
      </c>
      <c r="J48" s="101">
        <v>5.0930713999999995E-4</v>
      </c>
      <c r="K48" s="101">
        <v>9.6039342999999999E-2</v>
      </c>
      <c r="L48" s="101">
        <v>1.9142078000000001E-4</v>
      </c>
      <c r="M48" s="101">
        <v>47.223849000000001</v>
      </c>
      <c r="N48" s="101">
        <v>9.5805053000000001E-2</v>
      </c>
      <c r="O48" s="101">
        <v>0.33504615999999998</v>
      </c>
      <c r="P48" s="101">
        <v>47.088571999999999</v>
      </c>
      <c r="Q48" s="106">
        <f t="shared" si="1"/>
        <v>4.065121787936147</v>
      </c>
      <c r="R48" s="113">
        <f t="shared" si="2"/>
        <v>4.7522533599999998E-4</v>
      </c>
      <c r="S48" s="113">
        <f t="shared" si="3"/>
        <v>0.34061492934000004</v>
      </c>
      <c r="T48" s="113">
        <f t="shared" si="4"/>
        <v>9.6016201529899994E-2</v>
      </c>
      <c r="U48" s="113">
        <f t="shared" si="5"/>
        <v>9.5781911529899996E-2</v>
      </c>
      <c r="V48" s="113">
        <f t="shared" si="14"/>
        <v>0.33493461627150001</v>
      </c>
      <c r="W48" s="101">
        <f t="shared" si="15"/>
        <v>3.5474734879397474</v>
      </c>
      <c r="X48" s="101">
        <f t="shared" si="16"/>
        <v>3.4968462303756001</v>
      </c>
      <c r="Y48" s="101">
        <f t="shared" si="17"/>
        <v>491.62280484766143</v>
      </c>
      <c r="Z48" s="101">
        <f t="shared" si="6"/>
        <v>-3.042964109253303E-5</v>
      </c>
      <c r="AA48" s="2">
        <f t="shared" si="7"/>
        <v>491.65494922737776</v>
      </c>
      <c r="AB48" s="2">
        <f t="shared" si="8"/>
        <v>-482.54703150114113</v>
      </c>
      <c r="AC48" s="2">
        <f t="shared" si="9"/>
        <v>1706.8481587142444</v>
      </c>
      <c r="AD48" s="2">
        <f t="shared" si="10"/>
        <v>-3.4870442931999364</v>
      </c>
      <c r="AE48" s="2">
        <f t="shared" si="11"/>
        <v>141.19703812077256</v>
      </c>
      <c r="AF48" s="2">
        <f t="shared" si="12"/>
        <v>-1.4681018172373579E-3</v>
      </c>
      <c r="AG48">
        <f t="shared" si="13"/>
        <v>246420073.03178442</v>
      </c>
    </row>
    <row r="49" spans="1:33" ht="15">
      <c r="A49">
        <f t="shared" si="18"/>
        <v>34</v>
      </c>
      <c r="C49" s="101">
        <v>4.7560250999999999E-6</v>
      </c>
      <c r="D49" s="101">
        <v>3.7813754999999997E-5</v>
      </c>
      <c r="E49" s="101">
        <v>9.6400054999999996E-5</v>
      </c>
      <c r="F49" s="101">
        <v>1.2900076999999999E-6</v>
      </c>
      <c r="G49" s="101">
        <v>9.4197235999999998E-6</v>
      </c>
      <c r="H49" s="101">
        <v>3.8401156000000001E-5</v>
      </c>
      <c r="I49" s="101">
        <v>0.33859528999999999</v>
      </c>
      <c r="J49" s="101">
        <v>5.0111055E-4</v>
      </c>
      <c r="K49" s="101">
        <v>9.5507525999999995E-2</v>
      </c>
      <c r="L49" s="101">
        <v>1.9942186000000001E-4</v>
      </c>
      <c r="M49" s="101">
        <v>46.942655000000002</v>
      </c>
      <c r="N49" s="101">
        <v>9.5166189999999998E-2</v>
      </c>
      <c r="O49" s="101">
        <v>0.33287073</v>
      </c>
      <c r="P49" s="101">
        <v>46.786248999999998</v>
      </c>
      <c r="Q49" s="106">
        <f t="shared" si="1"/>
        <v>4.2624032544263173</v>
      </c>
      <c r="R49" s="113">
        <f t="shared" si="2"/>
        <v>4.772001102E-4</v>
      </c>
      <c r="S49" s="113">
        <f t="shared" si="3"/>
        <v>0.33858993513434998</v>
      </c>
      <c r="T49" s="113">
        <f t="shared" si="4"/>
        <v>9.5486241109949993E-2</v>
      </c>
      <c r="U49" s="113">
        <f t="shared" si="5"/>
        <v>9.5144905109949995E-2</v>
      </c>
      <c r="V49" s="113">
        <f t="shared" si="14"/>
        <v>0.3327554230675</v>
      </c>
      <c r="W49" s="101">
        <f t="shared" si="15"/>
        <v>3.5459552203387315</v>
      </c>
      <c r="X49" s="101">
        <f t="shared" si="16"/>
        <v>3.4973540904052185</v>
      </c>
      <c r="Y49" s="101">
        <f t="shared" si="17"/>
        <v>491.73677713939117</v>
      </c>
      <c r="Z49" s="101">
        <f t="shared" si="6"/>
        <v>-2.2138996230453473E-4</v>
      </c>
      <c r="AA49" s="2">
        <f t="shared" si="7"/>
        <v>491.48703239988481</v>
      </c>
      <c r="AB49" s="2">
        <f t="shared" si="8"/>
        <v>-482.75123919227747</v>
      </c>
      <c r="AC49" s="2">
        <f t="shared" si="9"/>
        <v>1706.1814416097279</v>
      </c>
      <c r="AD49" s="2">
        <f t="shared" si="10"/>
        <v>-3.4868872141909617</v>
      </c>
      <c r="AE49" s="2">
        <f t="shared" si="11"/>
        <v>141.24716494951667</v>
      </c>
      <c r="AF49" s="2">
        <f t="shared" si="12"/>
        <v>-1.4682880585360038E-3</v>
      </c>
      <c r="AG49">
        <f t="shared" si="13"/>
        <v>246303274.77431047</v>
      </c>
    </row>
    <row r="50" spans="1:33" ht="15">
      <c r="A50">
        <f t="shared" si="18"/>
        <v>35</v>
      </c>
      <c r="C50" s="101">
        <v>1.7619501999999999E-7</v>
      </c>
      <c r="D50" s="101">
        <v>3.2735877000000003E-5</v>
      </c>
      <c r="E50" s="101">
        <v>8.6750972999999996E-5</v>
      </c>
      <c r="F50" s="101">
        <v>1.2266991999999999E-5</v>
      </c>
      <c r="G50" s="101">
        <v>2.9887503999999999E-5</v>
      </c>
      <c r="H50" s="101">
        <v>3.0227261000000001E-5</v>
      </c>
      <c r="I50" s="101">
        <v>0.33370016000000002</v>
      </c>
      <c r="J50" s="101">
        <v>4.9085559000000003E-4</v>
      </c>
      <c r="K50" s="101">
        <v>9.4102058000000002E-2</v>
      </c>
      <c r="L50" s="101">
        <v>1.9386193999999999E-4</v>
      </c>
      <c r="M50" s="101">
        <v>46.273240000000001</v>
      </c>
      <c r="N50" s="101">
        <v>9.4023079999999995E-2</v>
      </c>
      <c r="O50" s="101">
        <v>0.3289165</v>
      </c>
      <c r="P50" s="101">
        <v>46.226412000000003</v>
      </c>
      <c r="Q50" s="106">
        <f t="shared" si="1"/>
        <v>4.1937483705202983</v>
      </c>
      <c r="R50" s="113">
        <f t="shared" si="2"/>
        <v>4.6079820750000004E-4</v>
      </c>
      <c r="S50" s="113">
        <f t="shared" si="3"/>
        <v>0.33367908275200003</v>
      </c>
      <c r="T50" s="113">
        <f t="shared" si="4"/>
        <v>9.4085601963990004E-2</v>
      </c>
      <c r="U50" s="113">
        <f t="shared" si="5"/>
        <v>9.4006623963989996E-2</v>
      </c>
      <c r="V50" s="113">
        <f t="shared" si="14"/>
        <v>0.3288133810885</v>
      </c>
      <c r="W50" s="101">
        <f t="shared" si="15"/>
        <v>3.5465477797517968</v>
      </c>
      <c r="X50" s="101">
        <f t="shared" si="16"/>
        <v>3.4977682127426961</v>
      </c>
      <c r="Y50" s="101">
        <f t="shared" si="17"/>
        <v>491.73568894153038</v>
      </c>
      <c r="Z50" s="101">
        <f t="shared" si="6"/>
        <v>-2.0536808153429133E-4</v>
      </c>
      <c r="AA50" s="2">
        <f t="shared" si="7"/>
        <v>491.50961467702439</v>
      </c>
      <c r="AB50" s="2">
        <f t="shared" si="8"/>
        <v>-482.74244045843113</v>
      </c>
      <c r="AC50" s="2">
        <f t="shared" si="9"/>
        <v>1706.4913482489674</v>
      </c>
      <c r="AD50" s="2">
        <f t="shared" si="10"/>
        <v>-3.4873572335451608</v>
      </c>
      <c r="AE50" s="2">
        <f t="shared" si="11"/>
        <v>141.22768327267815</v>
      </c>
      <c r="AF50" s="2">
        <f t="shared" si="12"/>
        <v>-1.4681305895467916E-3</v>
      </c>
      <c r="AG50">
        <f t="shared" si="13"/>
        <v>246377675.89725623</v>
      </c>
    </row>
    <row r="51" spans="1:33" ht="15">
      <c r="A51">
        <f t="shared" si="18"/>
        <v>36</v>
      </c>
      <c r="C51" s="101">
        <v>1.3533229E-5</v>
      </c>
      <c r="D51" s="101">
        <v>2.9209884999999999E-5</v>
      </c>
      <c r="E51" s="101">
        <v>8.3232960000000005E-5</v>
      </c>
      <c r="F51" s="101">
        <v>1.9964089000000001E-5</v>
      </c>
      <c r="G51" s="101">
        <v>1.6257100000000001E-5</v>
      </c>
      <c r="H51" s="101">
        <v>4.8499182000000002E-5</v>
      </c>
      <c r="I51" s="101">
        <v>0.32427634</v>
      </c>
      <c r="J51" s="101">
        <v>4.6811968999999998E-4</v>
      </c>
      <c r="K51" s="101">
        <v>9.1452755999999996E-2</v>
      </c>
      <c r="L51" s="101">
        <v>1.4572175000000001E-4</v>
      </c>
      <c r="M51" s="101">
        <v>44.970326999999997</v>
      </c>
      <c r="N51" s="101">
        <v>9.1459863000000002E-2</v>
      </c>
      <c r="O51" s="101">
        <v>0.32000499999999998</v>
      </c>
      <c r="P51" s="101">
        <v>44.976827999999998</v>
      </c>
      <c r="Q51" s="106">
        <f t="shared" si="1"/>
        <v>3.2399294587870897</v>
      </c>
      <c r="R51" s="113">
        <f t="shared" si="2"/>
        <v>4.3574154899999999E-4</v>
      </c>
      <c r="S51" s="113">
        <f t="shared" si="3"/>
        <v>0.32425822940549998</v>
      </c>
      <c r="T51" s="113">
        <f t="shared" si="4"/>
        <v>9.1431384443000002E-2</v>
      </c>
      <c r="U51" s="113">
        <f t="shared" si="5"/>
        <v>9.1438491443000008E-2</v>
      </c>
      <c r="V51" s="113">
        <f t="shared" si="14"/>
        <v>0.31990716209749998</v>
      </c>
      <c r="W51" s="101">
        <f t="shared" si="15"/>
        <v>3.546465268801092</v>
      </c>
      <c r="X51" s="101">
        <f t="shared" si="16"/>
        <v>3.498604986248274</v>
      </c>
      <c r="Y51" s="101">
        <f t="shared" si="17"/>
        <v>491.88068711782273</v>
      </c>
      <c r="Z51" s="101">
        <f t="shared" si="6"/>
        <v>-2.930150523763051E-4</v>
      </c>
      <c r="AA51" s="2">
        <f t="shared" si="7"/>
        <v>491.52507307471359</v>
      </c>
      <c r="AB51" s="2">
        <f t="shared" si="8"/>
        <v>-482.92724294807891</v>
      </c>
      <c r="AC51" s="2">
        <f t="shared" si="9"/>
        <v>1706.8026993048504</v>
      </c>
      <c r="AD51" s="2">
        <f t="shared" si="10"/>
        <v>-3.4878889023016568</v>
      </c>
      <c r="AE51" s="2">
        <f t="shared" si="11"/>
        <v>141.26174642735273</v>
      </c>
      <c r="AF51" s="2">
        <f t="shared" si="12"/>
        <v>-1.4685155286111109E-3</v>
      </c>
      <c r="AG51">
        <f t="shared" si="13"/>
        <v>246409294.43846956</v>
      </c>
    </row>
    <row r="52" spans="1:33" ht="15">
      <c r="A52">
        <f t="shared" si="18"/>
        <v>37</v>
      </c>
      <c r="C52" s="101">
        <v>1.7709891E-5</v>
      </c>
      <c r="D52" s="101">
        <v>1.9107714000000002E-5</v>
      </c>
      <c r="E52" s="101">
        <v>7.6208556E-5</v>
      </c>
      <c r="F52" s="101">
        <v>3.0916491999999999E-6</v>
      </c>
      <c r="G52" s="101">
        <v>2.1430714E-5</v>
      </c>
      <c r="H52" s="101">
        <v>4.1288607000000002E-5</v>
      </c>
      <c r="I52" s="101">
        <v>0.32058713</v>
      </c>
      <c r="J52" s="101">
        <v>4.7668077000000001E-4</v>
      </c>
      <c r="K52" s="101">
        <v>9.0427541E-2</v>
      </c>
      <c r="L52" s="101">
        <v>1.7330863E-4</v>
      </c>
      <c r="M52" s="101">
        <v>44.461230999999998</v>
      </c>
      <c r="N52" s="101">
        <v>9.0023376000000002E-2</v>
      </c>
      <c r="O52" s="101">
        <v>0.31500983999999999</v>
      </c>
      <c r="P52" s="101">
        <v>44.277670999999998</v>
      </c>
      <c r="Q52" s="106">
        <f t="shared" si="1"/>
        <v>3.9141315720964638</v>
      </c>
      <c r="R52" s="113">
        <f t="shared" si="2"/>
        <v>4.4532110950000004E-4</v>
      </c>
      <c r="S52" s="113">
        <f t="shared" si="3"/>
        <v>0.32057486881839997</v>
      </c>
      <c r="T52" s="113">
        <f t="shared" si="4"/>
        <v>9.0409132197500006E-2</v>
      </c>
      <c r="U52" s="113">
        <f t="shared" si="5"/>
        <v>9.0004967197500008E-2</v>
      </c>
      <c r="V52" s="113">
        <f t="shared" si="14"/>
        <v>0.31492407758699997</v>
      </c>
      <c r="W52" s="101">
        <f t="shared" si="15"/>
        <v>3.5458239784682339</v>
      </c>
      <c r="X52" s="101">
        <f t="shared" si="16"/>
        <v>3.4989633060579277</v>
      </c>
      <c r="Y52" s="101">
        <f t="shared" si="17"/>
        <v>491.94697113594259</v>
      </c>
      <c r="Z52" s="101">
        <f t="shared" si="6"/>
        <v>-3.8734843664400392E-4</v>
      </c>
      <c r="AA52" s="2">
        <f t="shared" si="7"/>
        <v>491.45187710795005</v>
      </c>
      <c r="AB52" s="2">
        <f t="shared" si="8"/>
        <v>-483.03796304229354</v>
      </c>
      <c r="AC52" s="2">
        <f t="shared" si="9"/>
        <v>1706.5596508618517</v>
      </c>
      <c r="AD52" s="2">
        <f t="shared" si="10"/>
        <v>-3.4879182835865463</v>
      </c>
      <c r="AE52" s="2">
        <f t="shared" si="11"/>
        <v>141.28597500020524</v>
      </c>
      <c r="AF52" s="2">
        <f t="shared" si="12"/>
        <v>-1.4686213361084228E-3</v>
      </c>
      <c r="AG52">
        <f t="shared" si="13"/>
        <v>246366715.2332311</v>
      </c>
    </row>
    <row r="53" spans="1:33" ht="15">
      <c r="A53">
        <f t="shared" si="18"/>
        <v>38</v>
      </c>
      <c r="C53" s="101">
        <v>1.4445457999999999E-5</v>
      </c>
      <c r="D53" s="101">
        <v>3.3672467999999999E-5</v>
      </c>
      <c r="E53" s="101">
        <v>8.4075592999999999E-5</v>
      </c>
      <c r="F53" s="101">
        <v>3.0916491999999999E-6</v>
      </c>
      <c r="G53" s="101">
        <v>1.2930172E-5</v>
      </c>
      <c r="H53" s="101">
        <v>3.9141102999999999E-5</v>
      </c>
      <c r="I53" s="101">
        <v>0.31594666999999999</v>
      </c>
      <c r="J53" s="101">
        <v>4.4876223000000001E-4</v>
      </c>
      <c r="K53" s="101">
        <v>8.9118532E-2</v>
      </c>
      <c r="L53" s="101">
        <v>1.7925514999999999E-4</v>
      </c>
      <c r="M53" s="101">
        <v>43.817284000000001</v>
      </c>
      <c r="N53" s="101">
        <v>8.8562679000000005E-2</v>
      </c>
      <c r="O53" s="101">
        <v>0.30989109999999997</v>
      </c>
      <c r="P53" s="101">
        <v>43.556994000000003</v>
      </c>
      <c r="Q53" s="106">
        <f t="shared" si="1"/>
        <v>4.1154159995522184</v>
      </c>
      <c r="R53" s="113">
        <f t="shared" si="2"/>
        <v>4.2272659250000002E-4</v>
      </c>
      <c r="S53" s="113">
        <f t="shared" si="3"/>
        <v>0.3159386590894</v>
      </c>
      <c r="T53" s="113">
        <f t="shared" si="4"/>
        <v>8.9094473036999994E-2</v>
      </c>
      <c r="U53" s="113">
        <f t="shared" si="5"/>
        <v>8.8538620036999999E-2</v>
      </c>
      <c r="V53" s="113">
        <f t="shared" si="14"/>
        <v>0.30979018817299997</v>
      </c>
      <c r="W53" s="101">
        <f t="shared" si="15"/>
        <v>3.5461083984210111</v>
      </c>
      <c r="X53" s="101">
        <f t="shared" si="16"/>
        <v>3.4989272256958563</v>
      </c>
      <c r="Y53" s="101">
        <f t="shared" si="17"/>
        <v>491.954742255952</v>
      </c>
      <c r="Z53" s="101">
        <f t="shared" si="6"/>
        <v>-3.572376474063708E-4</v>
      </c>
      <c r="AA53" s="2">
        <f t="shared" si="7"/>
        <v>491.5041546945364</v>
      </c>
      <c r="AB53" s="2">
        <f t="shared" si="8"/>
        <v>-483.03104046506519</v>
      </c>
      <c r="AC53" s="2">
        <f t="shared" si="9"/>
        <v>1706.7759770665348</v>
      </c>
      <c r="AD53" s="2">
        <f t="shared" si="10"/>
        <v>-3.4879873173945088</v>
      </c>
      <c r="AE53" s="2">
        <f t="shared" si="11"/>
        <v>141.2861587359877</v>
      </c>
      <c r="AF53" s="2">
        <f t="shared" si="12"/>
        <v>-1.468727567306601E-3</v>
      </c>
      <c r="AG53">
        <f t="shared" si="13"/>
        <v>246391339.00687906</v>
      </c>
    </row>
    <row r="54" spans="1:33" ht="15">
      <c r="A54">
        <f t="shared" si="18"/>
        <v>39</v>
      </c>
      <c r="C54" s="101">
        <v>1.8863376000000001E-5</v>
      </c>
      <c r="D54" s="101">
        <v>3.9432087999999999E-5</v>
      </c>
      <c r="E54" s="101">
        <v>7.2934991999999997E-5</v>
      </c>
      <c r="F54" s="101">
        <v>5.2478077000000004E-6</v>
      </c>
      <c r="G54" s="101">
        <v>1.3325885E-5</v>
      </c>
      <c r="H54" s="101">
        <v>4.2168488000000002E-5</v>
      </c>
      <c r="I54" s="101">
        <v>0.30996747000000002</v>
      </c>
      <c r="J54" s="101">
        <v>4.5057263000000003E-4</v>
      </c>
      <c r="K54" s="101">
        <v>8.740908E-2</v>
      </c>
      <c r="L54" s="101">
        <v>1.4830352E-4</v>
      </c>
      <c r="M54" s="101">
        <v>42.987566000000001</v>
      </c>
      <c r="N54" s="101">
        <v>8.7055677999999997E-2</v>
      </c>
      <c r="O54" s="101">
        <v>0.30450550999999998</v>
      </c>
      <c r="P54" s="101">
        <v>42.803410999999997</v>
      </c>
      <c r="Q54" s="106">
        <f t="shared" si="1"/>
        <v>3.4647593856480272</v>
      </c>
      <c r="R54" s="113">
        <f t="shared" si="2"/>
        <v>4.2282544350000001E-4</v>
      </c>
      <c r="S54" s="113">
        <f t="shared" si="3"/>
        <v>0.30995818315365004</v>
      </c>
      <c r="T54" s="113">
        <f t="shared" si="4"/>
        <v>8.7379932268000005E-2</v>
      </c>
      <c r="U54" s="113">
        <f t="shared" si="5"/>
        <v>8.7026530268000002E-2</v>
      </c>
      <c r="V54" s="113">
        <f t="shared" si="14"/>
        <v>0.304412858964</v>
      </c>
      <c r="W54" s="101">
        <f t="shared" si="15"/>
        <v>3.5472467774750371</v>
      </c>
      <c r="X54" s="101">
        <f t="shared" si="16"/>
        <v>3.4979316999833765</v>
      </c>
      <c r="Y54" s="101">
        <f t="shared" si="17"/>
        <v>491.84324444725081</v>
      </c>
      <c r="Z54" s="101">
        <f t="shared" si="6"/>
        <v>-1.5542657623917152E-4</v>
      </c>
      <c r="AA54" s="2">
        <f t="shared" si="7"/>
        <v>491.69088345720826</v>
      </c>
      <c r="AB54" s="2">
        <f t="shared" si="8"/>
        <v>-482.82394886295754</v>
      </c>
      <c r="AC54" s="2">
        <f t="shared" si="9"/>
        <v>1707.2876726895317</v>
      </c>
      <c r="AD54" s="2">
        <f t="shared" si="10"/>
        <v>-3.4876952217365762</v>
      </c>
      <c r="AE54" s="2">
        <f t="shared" si="11"/>
        <v>141.25523166067404</v>
      </c>
      <c r="AF54" s="2">
        <f t="shared" si="12"/>
        <v>-1.4687785520564594E-3</v>
      </c>
      <c r="AG54">
        <f t="shared" si="13"/>
        <v>246449961.44567415</v>
      </c>
    </row>
    <row r="55" spans="1:33" ht="15">
      <c r="A55">
        <f t="shared" si="18"/>
        <v>40</v>
      </c>
      <c r="C55" s="101">
        <v>-2.2233371999999998E-6</v>
      </c>
      <c r="D55" s="101">
        <v>2.0661264999999999E-5</v>
      </c>
      <c r="E55" s="101">
        <v>7.4031149999999993E-5</v>
      </c>
      <c r="F55" s="101">
        <v>2.3417017999999999E-5</v>
      </c>
      <c r="G55" s="101">
        <v>4.1365853E-6</v>
      </c>
      <c r="H55" s="101">
        <v>3.0968701000000003E-5</v>
      </c>
      <c r="I55" s="101">
        <v>0.30292245000000001</v>
      </c>
      <c r="J55" s="101">
        <v>4.3965167999999999E-4</v>
      </c>
      <c r="K55" s="101">
        <v>8.5440987999999995E-2</v>
      </c>
      <c r="L55" s="101">
        <v>1.6924394E-4</v>
      </c>
      <c r="M55" s="101">
        <v>42.011505999999997</v>
      </c>
      <c r="N55" s="101">
        <v>8.4736427000000003E-2</v>
      </c>
      <c r="O55" s="101">
        <v>0.29651646999999998</v>
      </c>
      <c r="P55" s="101">
        <v>41.675454000000002</v>
      </c>
      <c r="Q55" s="106">
        <f t="shared" si="1"/>
        <v>4.0609981117422258</v>
      </c>
      <c r="R55" s="113">
        <f t="shared" si="2"/>
        <v>4.2209903684999999E-4</v>
      </c>
      <c r="S55" s="113">
        <f t="shared" si="3"/>
        <v>0.30290867319835002</v>
      </c>
      <c r="T55" s="113">
        <f t="shared" si="4"/>
        <v>8.5431769036099989E-2</v>
      </c>
      <c r="U55" s="113">
        <f t="shared" si="5"/>
        <v>8.4727208036099996E-2</v>
      </c>
      <c r="V55" s="113">
        <f t="shared" si="14"/>
        <v>0.29643210821749999</v>
      </c>
      <c r="W55" s="101">
        <f t="shared" si="15"/>
        <v>3.5456209863845047</v>
      </c>
      <c r="X55" s="101">
        <f t="shared" si="16"/>
        <v>3.4986648927602833</v>
      </c>
      <c r="Y55" s="101">
        <f t="shared" si="17"/>
        <v>491.87805152558792</v>
      </c>
      <c r="Z55" s="101">
        <f t="shared" si="6"/>
        <v>-3.7790079752091793E-4</v>
      </c>
      <c r="AA55" s="2">
        <f t="shared" si="7"/>
        <v>491.39698571032113</v>
      </c>
      <c r="AB55" s="2">
        <f t="shared" si="8"/>
        <v>-482.96568351363914</v>
      </c>
      <c r="AC55" s="2">
        <f t="shared" si="9"/>
        <v>1706.2392515046122</v>
      </c>
      <c r="AD55" s="2">
        <f t="shared" si="10"/>
        <v>-3.4876526216261223</v>
      </c>
      <c r="AE55" s="2">
        <f t="shared" si="11"/>
        <v>141.27031421007734</v>
      </c>
      <c r="AF55" s="2">
        <f t="shared" si="12"/>
        <v>-1.4683490165513752E-3</v>
      </c>
      <c r="AG55">
        <f t="shared" si="13"/>
        <v>246333945.12652698</v>
      </c>
    </row>
    <row r="56" spans="1:33" ht="15">
      <c r="C56" s="101">
        <v>1.5976046999999999E-5</v>
      </c>
      <c r="D56" s="101">
        <v>4.5725781999999999E-5</v>
      </c>
      <c r="E56" s="101">
        <v>9.5841181000000001E-5</v>
      </c>
      <c r="F56" s="101">
        <v>1.6546079999999999E-5</v>
      </c>
      <c r="G56" s="101">
        <v>4.9751662999999999E-5</v>
      </c>
      <c r="H56" s="101">
        <v>4.4296243999999998E-5</v>
      </c>
      <c r="I56" s="101">
        <v>0.41085537</v>
      </c>
      <c r="J56" s="101">
        <v>6.0603847999999997E-4</v>
      </c>
      <c r="K56" s="101">
        <v>0.11586679</v>
      </c>
      <c r="L56" s="101">
        <v>2.6382100000000002E-4</v>
      </c>
      <c r="M56" s="101">
        <v>52.057979000000003</v>
      </c>
      <c r="N56" s="101">
        <v>0.11548503</v>
      </c>
      <c r="O56" s="101">
        <v>0.40394669</v>
      </c>
      <c r="P56" s="101">
        <v>51.560054999999998</v>
      </c>
      <c r="Q56" s="106">
        <f t="shared" si="1"/>
        <v>5.1167711128314357</v>
      </c>
      <c r="R56" s="113">
        <f t="shared" si="2"/>
        <v>5.5901452649999999E-4</v>
      </c>
      <c r="S56" s="113">
        <f t="shared" si="3"/>
        <v>0.41082222112849998</v>
      </c>
      <c r="T56" s="113">
        <f t="shared" si="4"/>
        <v>0.11583593908549999</v>
      </c>
      <c r="U56" s="113">
        <f t="shared" si="5"/>
        <v>0.1154541790855</v>
      </c>
      <c r="V56" s="113">
        <f t="shared" si="14"/>
        <v>0.40382798592800001</v>
      </c>
      <c r="W56" s="101"/>
      <c r="X56" s="101"/>
      <c r="Y56" s="101"/>
      <c r="Z56" s="101"/>
      <c r="AA56" s="2"/>
      <c r="AB56" s="2"/>
      <c r="AG56"/>
    </row>
    <row r="57" spans="1:33" ht="15">
      <c r="A57">
        <v>42</v>
      </c>
      <c r="C57" s="101">
        <v>1.3432827E-5</v>
      </c>
      <c r="D57" s="101">
        <v>3.7666529000000002E-5</v>
      </c>
      <c r="E57" s="101">
        <v>9.1004606000000003E-5</v>
      </c>
      <c r="F57" s="101">
        <v>1.9871279999999999E-5</v>
      </c>
      <c r="G57" s="101">
        <v>2.6697304E-5</v>
      </c>
      <c r="H57" s="101">
        <v>3.3795594999999998E-5</v>
      </c>
      <c r="I57" s="101">
        <v>0.35978657000000003</v>
      </c>
      <c r="J57" s="101">
        <v>5.3078282000000002E-4</v>
      </c>
      <c r="K57" s="101">
        <v>0.1014631</v>
      </c>
      <c r="L57" s="101">
        <v>2.0507736000000001E-4</v>
      </c>
      <c r="M57" s="101">
        <v>47.626047999999997</v>
      </c>
      <c r="N57" s="101">
        <v>8.6632074000000003E-2</v>
      </c>
      <c r="O57" s="101">
        <v>0.30300273999999999</v>
      </c>
      <c r="P57" s="101">
        <v>42.584999000000003</v>
      </c>
      <c r="Q57" s="106">
        <f t="shared" si="1"/>
        <v>4.8157183237223977</v>
      </c>
      <c r="R57" s="113">
        <f t="shared" si="2"/>
        <v>5.0053637050000003E-4</v>
      </c>
      <c r="S57" s="113">
        <f t="shared" si="3"/>
        <v>0.35976328570800004</v>
      </c>
      <c r="T57" s="113">
        <f t="shared" si="4"/>
        <v>0.101437550322</v>
      </c>
      <c r="U57" s="113">
        <f t="shared" si="5"/>
        <v>8.6606524322E-2</v>
      </c>
      <c r="V57" s="113">
        <f t="shared" si="14"/>
        <v>0.30289290212949999</v>
      </c>
      <c r="W57" s="101">
        <f t="shared" si="15"/>
        <v>3.5466480072318327</v>
      </c>
      <c r="X57" s="101">
        <f t="shared" si="16"/>
        <v>3.497345084573015</v>
      </c>
      <c r="Y57" s="101">
        <f t="shared" si="17"/>
        <v>491.70659293138795</v>
      </c>
      <c r="Z57" s="101">
        <f t="shared" ref="Z57:Z65" si="19">IF(AND(A57&gt;0,NOT(A57="***")),(W57-$X$2*X57+$X$2*$X$7-W57*$X$3*$X$7)/(3*$X$2*X57-2*$X$2*$X$7),"")</f>
        <v>-1.5554404265300342E-4</v>
      </c>
      <c r="AA57" s="2">
        <f t="shared" ref="AA57:AA65" si="20">IF(AND(A57&gt;0,NOT(A57="***")),($X$2*Y57+5*Z57*$X$2*Y57-W57*$X$4)/($X$2+2*Z57*$X$2-W57*$X$3),"")</f>
        <v>491.55408764742987</v>
      </c>
      <c r="AB57" s="2">
        <f t="shared" ref="AB57:AB65" si="21">IF(AND(A57&gt;0,NOT(A57="***")),-(3*W57*$X$8*(5*$X$9*Y57-9*X57*$X$8+4*$X$9*$X$8)*((-3+2*$X$3*X57)*Y57+X57*$X$4))/AG57,"")</f>
        <v>-482.6897775831273</v>
      </c>
      <c r="AC57" s="2">
        <f t="shared" ref="AC57:AC65" si="22">IF(AND(A57&gt;0,NOT(A57="***")),((3*W57*$X$8*(5*$X$9*Y57-9*X57*$X$8+4*$X$9*Y57)*(-5*W57*Y57+2*$X$2*X57*Y57+3*W57*X57*$X$4)))/AG57,"")</f>
        <v>1706.5247708397421</v>
      </c>
      <c r="AD57" s="2">
        <f t="shared" ref="AD57:AD65" si="23">IF(AND(A57&gt;0,NOT(A57="***")),(3*W57*(-$X$2*X57+W57*(-2+3*$X$3*X57))*$X$8*(-5*$X$9*Y57+9*X57*$X$8-4*$X$9*$X$8))/AG57,"")</f>
        <v>-3.4871076269805177</v>
      </c>
      <c r="AE57" s="2">
        <f t="shared" ref="AE57:AE65" si="24">IF(AND(A57&gt;0,NOT(A57="***")),(3*$X$8*(3*$X$2*Y57-5*W57*$X$3*Y57+2*W57*$X$4)*(2*$X$2*X57*(-Y57+$X$8)+W57*(5*Y57+4*$X$8-6*$X$3*X57*$X$8-3*X57*$X$4)))/AG57,"")</f>
        <v>141.22663831328151</v>
      </c>
      <c r="AF57" s="2">
        <f t="shared" ref="AF57:AF65" si="25">IF(AND(A57&gt;0,NOT(A57="***")),-($X$9*(3*$X$2*Y57-5*W57*$X$3*Y57+2*W57*$X$4)*(6*$X$2*(-X57+$X$9)*Y57+W57*(5*(3-2*$X$3*$X$9)*Y57-9*X57*$X$4+4*$X$9*$X$4)))/AG57,"")</f>
        <v>-1.468208429917518E-3</v>
      </c>
      <c r="AG57">
        <f t="shared" ref="AG57:AG65" si="26">IF(AND(A57&gt;0,NOT(A57="***")),(3*$X$2*($X$9*Y57-X57*$X$8)+W57*(-5*$X$3*$X$9*Y57-6*$X$8+9*$X$3*X57*$X$8+2*$X$9*$X$4))^2,"")</f>
        <v>246367040.47519043</v>
      </c>
    </row>
    <row r="58" spans="1:33" ht="15">
      <c r="A58">
        <f t="shared" si="18"/>
        <v>43</v>
      </c>
      <c r="C58" s="101">
        <v>1.8709285999999999E-5</v>
      </c>
      <c r="D58" s="101">
        <v>2.7134563000000002E-5</v>
      </c>
      <c r="E58" s="101">
        <v>6.8214401000000005E-5</v>
      </c>
      <c r="F58" s="101">
        <v>1.3542448000000001E-5</v>
      </c>
      <c r="G58" s="101">
        <v>2.8257866999999999E-5</v>
      </c>
      <c r="H58" s="101">
        <v>3.5070616E-5</v>
      </c>
      <c r="I58" s="101">
        <v>0.30529542999999998</v>
      </c>
      <c r="J58" s="101">
        <v>4.4947253999999998E-4</v>
      </c>
      <c r="K58" s="101">
        <v>8.6090650000000005E-2</v>
      </c>
      <c r="L58" s="101">
        <v>1.8300383000000001E-4</v>
      </c>
      <c r="M58" s="101">
        <v>42.335225999999999</v>
      </c>
      <c r="N58" s="101">
        <v>8.5735873000000004E-2</v>
      </c>
      <c r="O58" s="101">
        <v>0.29988078000000001</v>
      </c>
      <c r="P58" s="101">
        <v>42.147255999999999</v>
      </c>
      <c r="Q58" s="106">
        <f t="shared" si="1"/>
        <v>4.3420105451230331</v>
      </c>
      <c r="R58" s="113">
        <f t="shared" si="2"/>
        <v>4.1780829849999998E-4</v>
      </c>
      <c r="S58" s="113">
        <f t="shared" si="3"/>
        <v>0.30527452984249998</v>
      </c>
      <c r="T58" s="113">
        <f t="shared" si="4"/>
        <v>8.6067728075500005E-2</v>
      </c>
      <c r="U58" s="113">
        <f t="shared" si="5"/>
        <v>8.5712951075500005E-2</v>
      </c>
      <c r="V58" s="113">
        <f t="shared" si="14"/>
        <v>0.29979899831750001</v>
      </c>
      <c r="W58" s="101">
        <f t="shared" si="15"/>
        <v>3.5469105165028663</v>
      </c>
      <c r="X58" s="101">
        <f t="shared" si="16"/>
        <v>3.4977094424554691</v>
      </c>
      <c r="Y58" s="101">
        <f t="shared" si="17"/>
        <v>491.72564322134599</v>
      </c>
      <c r="Z58" s="101">
        <f t="shared" si="19"/>
        <v>-1.6573190498523043E-4</v>
      </c>
      <c r="AA58" s="2">
        <f t="shared" si="20"/>
        <v>491.5580983892246</v>
      </c>
      <c r="AB58" s="2">
        <f t="shared" si="21"/>
        <v>-482.71342057736058</v>
      </c>
      <c r="AC58" s="2">
        <f t="shared" si="22"/>
        <v>1706.6999643605691</v>
      </c>
      <c r="AD58" s="2">
        <f t="shared" si="23"/>
        <v>-3.4874365976060053</v>
      </c>
      <c r="AE58" s="2">
        <f t="shared" si="24"/>
        <v>141.22060725743137</v>
      </c>
      <c r="AF58" s="2">
        <f t="shared" si="25"/>
        <v>-1.4681537301666967E-3</v>
      </c>
      <c r="AG58">
        <f t="shared" si="26"/>
        <v>246408508.57057524</v>
      </c>
    </row>
    <row r="59" spans="1:33" ht="15">
      <c r="A59">
        <f t="shared" si="18"/>
        <v>44</v>
      </c>
      <c r="C59" s="101">
        <v>1.2599704999999999E-5</v>
      </c>
      <c r="D59" s="101">
        <v>4.8017667000000002E-5</v>
      </c>
      <c r="E59" s="101">
        <v>8.5823635000000005E-5</v>
      </c>
      <c r="F59" s="101">
        <v>2.387615E-5</v>
      </c>
      <c r="G59" s="101">
        <v>2.7217491E-5</v>
      </c>
      <c r="H59" s="101">
        <v>2.1538931999999999E-5</v>
      </c>
      <c r="I59" s="101">
        <v>0.30137187999999998</v>
      </c>
      <c r="J59" s="101">
        <v>4.5386100000000001E-4</v>
      </c>
      <c r="K59" s="101">
        <v>8.4974310999999997E-2</v>
      </c>
      <c r="L59" s="101">
        <v>1.7117679999999999E-4</v>
      </c>
      <c r="M59" s="101">
        <v>41.786313</v>
      </c>
      <c r="N59" s="101">
        <v>8.5048358000000004E-2</v>
      </c>
      <c r="O59" s="101">
        <v>0.29756294</v>
      </c>
      <c r="P59" s="101">
        <v>41.820341999999997</v>
      </c>
      <c r="Q59" s="106">
        <f t="shared" si="1"/>
        <v>4.0931468231417147</v>
      </c>
      <c r="R59" s="113">
        <f t="shared" si="2"/>
        <v>4.2948278850000001E-4</v>
      </c>
      <c r="S59" s="113">
        <f t="shared" si="3"/>
        <v>0.30134633317949999</v>
      </c>
      <c r="T59" s="113">
        <f t="shared" si="4"/>
        <v>8.4944002313999997E-2</v>
      </c>
      <c r="U59" s="113">
        <f t="shared" si="5"/>
        <v>8.5018049314000005E-2</v>
      </c>
      <c r="V59" s="113">
        <f t="shared" si="14"/>
        <v>0.29745310753150001</v>
      </c>
      <c r="W59" s="101">
        <f t="shared" si="15"/>
        <v>3.5475881165283139</v>
      </c>
      <c r="X59" s="101">
        <f t="shared" si="16"/>
        <v>3.4987053917563609</v>
      </c>
      <c r="Y59" s="101">
        <f t="shared" si="17"/>
        <v>491.89957117862735</v>
      </c>
      <c r="Z59" s="101">
        <f t="shared" si="19"/>
        <v>-1.973151369234922E-4</v>
      </c>
      <c r="AA59" s="2">
        <f t="shared" si="20"/>
        <v>491.6853383823148</v>
      </c>
      <c r="AB59" s="2">
        <f t="shared" si="21"/>
        <v>-482.8995385775479</v>
      </c>
      <c r="AC59" s="2">
        <f t="shared" si="22"/>
        <v>1707.5755169678223</v>
      </c>
      <c r="AD59" s="2">
        <f t="shared" si="23"/>
        <v>-3.4883231705524818</v>
      </c>
      <c r="AE59" s="2">
        <f t="shared" si="24"/>
        <v>141.25137738903189</v>
      </c>
      <c r="AF59" s="2">
        <f t="shared" si="25"/>
        <v>-1.4687274162149414E-3</v>
      </c>
      <c r="AG59">
        <f t="shared" si="26"/>
        <v>246517996.74475902</v>
      </c>
    </row>
    <row r="60" spans="1:33" ht="15">
      <c r="A60">
        <f t="shared" si="18"/>
        <v>45</v>
      </c>
      <c r="C60" s="101">
        <v>1.0195346E-5</v>
      </c>
      <c r="D60" s="101">
        <v>5.1515818000000002E-5</v>
      </c>
      <c r="E60" s="101">
        <v>8.3713149000000004E-5</v>
      </c>
      <c r="F60" s="101">
        <v>1.7832309999999999E-5</v>
      </c>
      <c r="G60" s="101">
        <v>1.8020013999999999E-5</v>
      </c>
      <c r="H60" s="101">
        <v>4.7102786999999997E-5</v>
      </c>
      <c r="I60" s="101">
        <v>0.30054141000000001</v>
      </c>
      <c r="J60" s="101">
        <v>4.2552483999999999E-4</v>
      </c>
      <c r="K60" s="101">
        <v>8.4758893000000002E-2</v>
      </c>
      <c r="L60" s="101">
        <v>1.8836556E-4</v>
      </c>
      <c r="M60" s="101">
        <v>41.671869000000001</v>
      </c>
      <c r="N60" s="101">
        <v>8.4431112000000003E-2</v>
      </c>
      <c r="O60" s="101">
        <v>0.29532628</v>
      </c>
      <c r="P60" s="101">
        <v>41.508826999999997</v>
      </c>
      <c r="Q60" s="106">
        <f t="shared" si="1"/>
        <v>4.5379639371644984</v>
      </c>
      <c r="R60" s="113">
        <f t="shared" si="2"/>
        <v>3.929634395E-4</v>
      </c>
      <c r="S60" s="113">
        <f t="shared" si="3"/>
        <v>0.30052348383799998</v>
      </c>
      <c r="T60" s="113">
        <f t="shared" si="4"/>
        <v>8.4728037418000002E-2</v>
      </c>
      <c r="U60" s="113">
        <f t="shared" si="5"/>
        <v>8.4400256418000003E-2</v>
      </c>
      <c r="V60" s="113">
        <f t="shared" si="14"/>
        <v>0.29521680894199998</v>
      </c>
      <c r="W60" s="101">
        <f t="shared" si="15"/>
        <v>3.5469189774264196</v>
      </c>
      <c r="X60" s="101">
        <f t="shared" si="16"/>
        <v>3.4978188630128288</v>
      </c>
      <c r="Y60" s="101">
        <f t="shared" si="17"/>
        <v>491.80925226605626</v>
      </c>
      <c r="Z60" s="101">
        <f t="shared" si="19"/>
        <v>-1.753913659055339E-4</v>
      </c>
      <c r="AA60" s="2">
        <f t="shared" si="20"/>
        <v>491.62741693403763</v>
      </c>
      <c r="AB60" s="2">
        <f t="shared" si="21"/>
        <v>-482.80020868334645</v>
      </c>
      <c r="AC60" s="2">
        <f t="shared" si="22"/>
        <v>1706.9771684075272</v>
      </c>
      <c r="AD60" s="2">
        <f t="shared" si="23"/>
        <v>-3.4875126525018243</v>
      </c>
      <c r="AE60" s="2">
        <f t="shared" si="24"/>
        <v>141.24959781523359</v>
      </c>
      <c r="AF60" s="2">
        <f t="shared" si="25"/>
        <v>-1.4685933866494586E-3</v>
      </c>
      <c r="AG60">
        <f t="shared" si="26"/>
        <v>246414330.85473433</v>
      </c>
    </row>
    <row r="61" spans="1:33" ht="15">
      <c r="A61">
        <f t="shared" si="18"/>
        <v>46</v>
      </c>
      <c r="C61" s="101">
        <v>1.8271105999999998E-5</v>
      </c>
      <c r="D61" s="101">
        <v>3.3581136000000001E-5</v>
      </c>
      <c r="E61" s="101">
        <v>6.3728704000000003E-5</v>
      </c>
      <c r="F61" s="101">
        <v>1.1760621E-5</v>
      </c>
      <c r="G61" s="101">
        <v>2.8545906E-5</v>
      </c>
      <c r="H61" s="101">
        <v>3.4133488999999998E-5</v>
      </c>
      <c r="I61" s="101">
        <v>0.29214520999999999</v>
      </c>
      <c r="J61" s="101">
        <v>4.3305895E-4</v>
      </c>
      <c r="K61" s="101">
        <v>8.2365926000000006E-2</v>
      </c>
      <c r="L61" s="101">
        <v>1.421006E-4</v>
      </c>
      <c r="M61" s="101">
        <v>40.503442999999997</v>
      </c>
      <c r="N61" s="101">
        <v>8.2024519000000004E-2</v>
      </c>
      <c r="O61" s="101">
        <v>0.28694219999999998</v>
      </c>
      <c r="P61" s="101">
        <v>40.327874000000001</v>
      </c>
      <c r="Q61" s="106">
        <f t="shared" si="1"/>
        <v>3.523632314463192</v>
      </c>
      <c r="R61" s="113">
        <f t="shared" si="2"/>
        <v>4.017192525E-4</v>
      </c>
      <c r="S61" s="113">
        <f t="shared" si="3"/>
        <v>0.29212505673649997</v>
      </c>
      <c r="T61" s="113">
        <f t="shared" si="4"/>
        <v>8.2339999879000009E-2</v>
      </c>
      <c r="U61" s="113">
        <f t="shared" si="5"/>
        <v>8.1998592879000007E-2</v>
      </c>
      <c r="V61" s="113">
        <f t="shared" si="14"/>
        <v>0.286861680728</v>
      </c>
      <c r="W61" s="101">
        <f t="shared" si="15"/>
        <v>3.5477903469247338</v>
      </c>
      <c r="X61" s="101">
        <f t="shared" si="16"/>
        <v>3.4983732117367321</v>
      </c>
      <c r="Y61" s="101">
        <f t="shared" si="17"/>
        <v>491.81178095957358</v>
      </c>
      <c r="Z61" s="101">
        <f t="shared" si="19"/>
        <v>-1.4662555891370991E-4</v>
      </c>
      <c r="AA61" s="2">
        <f t="shared" si="20"/>
        <v>491.67243535273866</v>
      </c>
      <c r="AB61" s="2">
        <f t="shared" si="21"/>
        <v>-482.7888064505953</v>
      </c>
      <c r="AC61" s="2">
        <f t="shared" si="22"/>
        <v>1707.4562435201628</v>
      </c>
      <c r="AD61" s="2">
        <f t="shared" si="23"/>
        <v>-3.4881673784494285</v>
      </c>
      <c r="AE61" s="2">
        <f t="shared" si="24"/>
        <v>141.22401600619509</v>
      </c>
      <c r="AF61" s="2">
        <f t="shared" si="25"/>
        <v>-1.4684171871025926E-3</v>
      </c>
      <c r="AG61">
        <f t="shared" si="26"/>
        <v>246521184.02732441</v>
      </c>
    </row>
    <row r="62" spans="1:33" ht="15">
      <c r="A62">
        <f t="shared" si="18"/>
        <v>47</v>
      </c>
      <c r="C62" s="101">
        <v>9.4800800999999995E-6</v>
      </c>
      <c r="D62" s="101">
        <v>2.4811520999999999E-5</v>
      </c>
      <c r="E62" s="101">
        <v>7.8263641000000006E-5</v>
      </c>
      <c r="F62" s="101">
        <v>1.8022727999999999E-5</v>
      </c>
      <c r="G62" s="101">
        <v>8.3175491000000002E-6</v>
      </c>
      <c r="H62" s="101">
        <v>4.1974122999999998E-5</v>
      </c>
      <c r="I62" s="101">
        <v>0.29058128</v>
      </c>
      <c r="J62" s="101">
        <v>4.2279616999999999E-4</v>
      </c>
      <c r="K62" s="101">
        <v>8.1948516999999999E-2</v>
      </c>
      <c r="L62" s="101">
        <v>1.5963462000000001E-4</v>
      </c>
      <c r="M62" s="101">
        <v>40.287641000000001</v>
      </c>
      <c r="N62" s="101">
        <v>8.2181371000000003E-2</v>
      </c>
      <c r="O62" s="101">
        <v>0.28750833999999997</v>
      </c>
      <c r="P62" s="101">
        <v>40.404528999999997</v>
      </c>
      <c r="Q62" s="106">
        <f t="shared" si="1"/>
        <v>3.9509090676443734</v>
      </c>
      <c r="R62" s="113">
        <f t="shared" si="2"/>
        <v>3.9765033394999997E-4</v>
      </c>
      <c r="S62" s="113">
        <f t="shared" si="3"/>
        <v>0.29056810986144999</v>
      </c>
      <c r="T62" s="113">
        <f t="shared" si="4"/>
        <v>8.1931371199450001E-2</v>
      </c>
      <c r="U62" s="113">
        <f t="shared" si="5"/>
        <v>8.2164225199450006E-2</v>
      </c>
      <c r="V62" s="113">
        <f t="shared" si="14"/>
        <v>0.28741767059849999</v>
      </c>
      <c r="W62" s="101">
        <f t="shared" si="15"/>
        <v>3.5464817152163146</v>
      </c>
      <c r="X62" s="101">
        <f t="shared" si="16"/>
        <v>3.4980877614412642</v>
      </c>
      <c r="Y62" s="101">
        <f t="shared" si="17"/>
        <v>491.75330141457306</v>
      </c>
      <c r="Z62" s="101">
        <f t="shared" si="19"/>
        <v>-2.4208452865108446E-4</v>
      </c>
      <c r="AA62" s="2">
        <f t="shared" si="20"/>
        <v>491.47299991101414</v>
      </c>
      <c r="AB62" s="2">
        <f t="shared" si="21"/>
        <v>-482.7774899667304</v>
      </c>
      <c r="AC62" s="2">
        <f t="shared" si="22"/>
        <v>1706.4571630238399</v>
      </c>
      <c r="AD62" s="2">
        <f t="shared" si="23"/>
        <v>-3.487548848386735</v>
      </c>
      <c r="AE62" s="2">
        <f t="shared" si="24"/>
        <v>141.22667177284086</v>
      </c>
      <c r="AF62" s="2">
        <f t="shared" si="25"/>
        <v>-1.4680470410171824E-3</v>
      </c>
      <c r="AG62">
        <f t="shared" si="26"/>
        <v>246386605.94063571</v>
      </c>
    </row>
    <row r="63" spans="1:33" ht="15">
      <c r="A63">
        <f t="shared" si="18"/>
        <v>48</v>
      </c>
      <c r="C63" s="101">
        <v>9.2467576999999996E-6</v>
      </c>
      <c r="D63" s="101">
        <v>1.9498634E-5</v>
      </c>
      <c r="E63" s="101">
        <v>5.3810580999999997E-5</v>
      </c>
      <c r="F63" s="101">
        <v>1.3288511999999999E-5</v>
      </c>
      <c r="G63" s="101">
        <v>1.6465844000000001E-5</v>
      </c>
      <c r="H63" s="101">
        <v>2.4754963000000001E-5</v>
      </c>
      <c r="I63" s="101">
        <v>0.29159634000000001</v>
      </c>
      <c r="J63" s="101">
        <v>4.3028857999999998E-4</v>
      </c>
      <c r="K63" s="101">
        <v>8.2229437000000002E-2</v>
      </c>
      <c r="L63" s="101">
        <v>1.6790815999999999E-4</v>
      </c>
      <c r="M63" s="101">
        <v>40.427464999999998</v>
      </c>
      <c r="N63" s="101">
        <v>8.2149278000000006E-2</v>
      </c>
      <c r="O63" s="101">
        <v>0.28743996999999999</v>
      </c>
      <c r="P63" s="101">
        <v>40.395710999999999</v>
      </c>
      <c r="Q63" s="106">
        <f t="shared" si="1"/>
        <v>4.1565838511915283</v>
      </c>
      <c r="R63" s="113">
        <f t="shared" si="2"/>
        <v>4.0967817649999996E-4</v>
      </c>
      <c r="S63" s="113">
        <f t="shared" si="3"/>
        <v>0.29158146282200004</v>
      </c>
      <c r="T63" s="113">
        <f t="shared" si="4"/>
        <v>8.2215064304150001E-2</v>
      </c>
      <c r="U63" s="113">
        <f t="shared" si="5"/>
        <v>8.2134905304150005E-2</v>
      </c>
      <c r="V63" s="113">
        <f t="shared" si="14"/>
        <v>0.28737641010199999</v>
      </c>
      <c r="W63" s="101">
        <f t="shared" si="15"/>
        <v>3.5465697836507291</v>
      </c>
      <c r="X63" s="101">
        <f t="shared" si="16"/>
        <v>3.4988341319421941</v>
      </c>
      <c r="Y63" s="101">
        <f t="shared" si="17"/>
        <v>491.82148381875515</v>
      </c>
      <c r="Z63" s="101">
        <f t="shared" si="19"/>
        <v>-3.0509111265609269E-4</v>
      </c>
      <c r="AA63" s="2">
        <f t="shared" si="20"/>
        <v>491.44807465446689</v>
      </c>
      <c r="AB63" s="2">
        <f t="shared" si="21"/>
        <v>-482.87493124097085</v>
      </c>
      <c r="AC63" s="2">
        <f t="shared" si="22"/>
        <v>1706.627170273008</v>
      </c>
      <c r="AD63" s="2">
        <f t="shared" si="23"/>
        <v>-3.4880757162830034</v>
      </c>
      <c r="AE63" s="2">
        <f t="shared" si="24"/>
        <v>141.23146235474198</v>
      </c>
      <c r="AF63" s="2">
        <f t="shared" si="25"/>
        <v>-1.4680471173820684E-3</v>
      </c>
      <c r="AG63">
        <f t="shared" si="26"/>
        <v>246429870.3504537</v>
      </c>
    </row>
    <row r="64" spans="1:33" ht="15">
      <c r="A64">
        <f t="shared" si="18"/>
        <v>49</v>
      </c>
      <c r="C64" s="101">
        <v>1.9497942E-5</v>
      </c>
      <c r="D64" s="101">
        <v>2.8107425999999999E-5</v>
      </c>
      <c r="E64" s="101">
        <v>6.8221847E-5</v>
      </c>
      <c r="F64" s="101">
        <v>1.8971079000000001E-5</v>
      </c>
      <c r="G64" s="101">
        <v>2.4906525000000001E-5</v>
      </c>
      <c r="H64" s="101">
        <v>1.5904248000000001E-5</v>
      </c>
      <c r="I64" s="101">
        <v>0.29068240000000001</v>
      </c>
      <c r="J64" s="101">
        <v>4.2707963E-4</v>
      </c>
      <c r="K64" s="101">
        <v>8.1967851999999994E-2</v>
      </c>
      <c r="L64" s="101">
        <v>1.6826724000000001E-4</v>
      </c>
      <c r="M64" s="101">
        <v>40.300654999999999</v>
      </c>
      <c r="N64" s="101">
        <v>8.2062990000000002E-2</v>
      </c>
      <c r="O64" s="101">
        <v>0.28700732000000001</v>
      </c>
      <c r="P64" s="101">
        <v>40.339682000000003</v>
      </c>
      <c r="Q64" s="106">
        <f t="shared" si="1"/>
        <v>4.1712584645560664</v>
      </c>
      <c r="R64" s="113">
        <f t="shared" si="2"/>
        <v>4.0667424349999999E-4</v>
      </c>
      <c r="S64" s="113">
        <f t="shared" si="3"/>
        <v>0.29066046119799999</v>
      </c>
      <c r="T64" s="113">
        <f t="shared" si="4"/>
        <v>8.1944049315999995E-2</v>
      </c>
      <c r="U64" s="113">
        <f t="shared" si="5"/>
        <v>8.2039187316000003E-2</v>
      </c>
      <c r="V64" s="113">
        <f t="shared" si="14"/>
        <v>0.28692504444</v>
      </c>
      <c r="W64" s="101">
        <f t="shared" si="15"/>
        <v>3.547060019906132</v>
      </c>
      <c r="X64" s="101">
        <f t="shared" si="16"/>
        <v>3.4974145140518882</v>
      </c>
      <c r="Y64" s="101">
        <f t="shared" si="17"/>
        <v>491.7123550312474</v>
      </c>
      <c r="Z64" s="101">
        <f t="shared" si="19"/>
        <v>-1.2353032675023497E-4</v>
      </c>
      <c r="AA64" s="2">
        <f t="shared" si="20"/>
        <v>491.60711045557679</v>
      </c>
      <c r="AB64" s="2">
        <f t="shared" si="21"/>
        <v>-482.67997080538203</v>
      </c>
      <c r="AC64" s="2">
        <f t="shared" si="22"/>
        <v>1706.7987796405998</v>
      </c>
      <c r="AD64" s="2">
        <f t="shared" si="23"/>
        <v>-3.4872886608389964</v>
      </c>
      <c r="AE64" s="2">
        <f t="shared" si="24"/>
        <v>141.22150262926851</v>
      </c>
      <c r="AF64" s="2">
        <f t="shared" si="25"/>
        <v>-1.4682607846713204E-3</v>
      </c>
      <c r="AG64">
        <f t="shared" si="26"/>
        <v>246408459.98576921</v>
      </c>
    </row>
    <row r="65" spans="1:33" ht="15">
      <c r="A65">
        <f t="shared" si="18"/>
        <v>50</v>
      </c>
      <c r="C65" s="101">
        <v>2.6934255000000001E-5</v>
      </c>
      <c r="D65" s="101">
        <v>3.1871054999999997E-5</v>
      </c>
      <c r="E65" s="101">
        <v>7.2647159999999995E-5</v>
      </c>
      <c r="F65" s="101">
        <v>7.0339607000000001E-6</v>
      </c>
      <c r="G65" s="101">
        <v>2.7113536999999998E-5</v>
      </c>
      <c r="H65" s="101">
        <v>4.1702716E-5</v>
      </c>
      <c r="I65" s="101">
        <v>0.28863792999999999</v>
      </c>
      <c r="J65" s="101">
        <v>4.1810338999999998E-4</v>
      </c>
      <c r="K65" s="101">
        <v>8.1406392999999994E-2</v>
      </c>
      <c r="L65" s="101">
        <v>1.7081746999999999E-4</v>
      </c>
      <c r="M65" s="101">
        <v>40.018791</v>
      </c>
      <c r="N65" s="101">
        <v>8.1425549999999999E-2</v>
      </c>
      <c r="O65" s="101">
        <v>0.28490377</v>
      </c>
      <c r="P65" s="101">
        <v>40.042473000000001</v>
      </c>
      <c r="Q65" s="106">
        <f t="shared" si="1"/>
        <v>4.2659071031901545</v>
      </c>
      <c r="R65" s="113">
        <f t="shared" si="2"/>
        <v>3.8369526350000001E-4</v>
      </c>
      <c r="S65" s="113">
        <f t="shared" si="3"/>
        <v>0.28862085625114997</v>
      </c>
      <c r="T65" s="113">
        <f t="shared" si="4"/>
        <v>8.1376990344999997E-2</v>
      </c>
      <c r="U65" s="113">
        <f t="shared" si="5"/>
        <v>8.1396147345000003E-2</v>
      </c>
      <c r="V65" s="113">
        <f t="shared" si="14"/>
        <v>0.2848151873125</v>
      </c>
      <c r="W65" s="101">
        <f t="shared" si="15"/>
        <v>3.5467133280247141</v>
      </c>
      <c r="X65" s="101">
        <f t="shared" si="16"/>
        <v>3.499123688315398</v>
      </c>
      <c r="Y65" s="101">
        <f t="shared" si="17"/>
        <v>491.94555646815547</v>
      </c>
      <c r="Z65" s="101">
        <f t="shared" si="19"/>
        <v>-3.1927264919770124E-4</v>
      </c>
      <c r="AA65" s="2">
        <f t="shared" si="20"/>
        <v>491.55109950365505</v>
      </c>
      <c r="AB65" s="2">
        <f t="shared" si="21"/>
        <v>-483.00367028322586</v>
      </c>
      <c r="AC65" s="2">
        <f t="shared" si="22"/>
        <v>1707.101886880097</v>
      </c>
      <c r="AD65" s="2">
        <f t="shared" si="23"/>
        <v>-3.488316224701967</v>
      </c>
      <c r="AE65" s="2">
        <f t="shared" si="24"/>
        <v>141.26929818864775</v>
      </c>
      <c r="AF65" s="2">
        <f t="shared" si="25"/>
        <v>-1.468645959459705E-3</v>
      </c>
      <c r="AG65">
        <f t="shared" si="26"/>
        <v>246456642.05212894</v>
      </c>
    </row>
    <row r="66" spans="1:33" ht="15"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6"/>
      <c r="R66" s="113"/>
      <c r="S66" s="113"/>
      <c r="T66" s="113"/>
      <c r="U66" s="113"/>
      <c r="V66" s="113"/>
      <c r="W66" s="101" t="str">
        <f t="shared" si="15"/>
        <v/>
      </c>
      <c r="X66" s="101" t="str">
        <f t="shared" si="16"/>
        <v/>
      </c>
      <c r="Y66" s="1"/>
      <c r="Z66" s="101"/>
      <c r="AA66" s="2"/>
      <c r="AB66" s="2"/>
      <c r="AG66"/>
    </row>
    <row r="67" spans="1:33" ht="15">
      <c r="A67">
        <v>51</v>
      </c>
      <c r="C67" s="101">
        <v>2.7907142000000001E-5</v>
      </c>
      <c r="D67" s="101">
        <v>1.0695000999999999E-5</v>
      </c>
      <c r="E67" s="101">
        <v>3.9838059999999998E-5</v>
      </c>
      <c r="F67" s="101">
        <v>4.6846598999999997E-5</v>
      </c>
      <c r="G67" s="101">
        <v>2.0780374000000001E-5</v>
      </c>
      <c r="H67" s="101">
        <v>2.2920190000000001E-5</v>
      </c>
      <c r="I67" s="101">
        <v>0.27738201000000001</v>
      </c>
      <c r="J67" s="101">
        <v>3.9602669999999997E-4</v>
      </c>
      <c r="K67" s="101">
        <v>7.8219573000000001E-2</v>
      </c>
      <c r="L67" s="101">
        <v>1.7192636000000001E-4</v>
      </c>
      <c r="M67" s="101">
        <v>38.467421000000002</v>
      </c>
      <c r="N67" s="101">
        <v>7.8112932999999996E-2</v>
      </c>
      <c r="O67" s="101">
        <v>0.27326683000000002</v>
      </c>
      <c r="P67" s="101">
        <v>38.416032000000001</v>
      </c>
      <c r="Q67" s="106">
        <f t="shared" ref="Q67:Q76" si="27">(L67/P67)*1000000</f>
        <v>4.4753804869800193</v>
      </c>
      <c r="R67" s="113">
        <f t="shared" ref="R67:R76" si="28">J67-((G67+H67)/2)</f>
        <v>3.74176418E-4</v>
      </c>
      <c r="S67" s="113">
        <f t="shared" ref="S67:S76" si="29">I67-((F67+G67)/2)</f>
        <v>0.27734819651350001</v>
      </c>
      <c r="T67" s="113">
        <f t="shared" ref="T67:T76" si="30">K67-((C67+D67)/2)</f>
        <v>7.8200271928500001E-2</v>
      </c>
      <c r="U67" s="113">
        <f t="shared" ref="U67:U76" si="31">N67-((D67+C67)/2)</f>
        <v>7.8093631928499996E-2</v>
      </c>
      <c r="V67" s="113">
        <f t="shared" ref="V67:V76" si="32">O67-((E67+D67/2))</f>
        <v>0.27322164443950003</v>
      </c>
      <c r="W67" s="101">
        <f t="shared" si="15"/>
        <v>3.5466397964329941</v>
      </c>
      <c r="X67" s="101">
        <f t="shared" si="16"/>
        <v>3.4986417930933591</v>
      </c>
      <c r="Y67" s="101">
        <f t="shared" ref="Y67" si="33">IF(AND(A67&gt;0,NOT(A67="***")),P67/U67,"")</f>
        <v>491.92272213914288</v>
      </c>
      <c r="Z67" s="101">
        <f t="shared" ref="Z67:Z76" si="34">IF(AND(A67&gt;0,NOT(A67="***")),(W67-$X$2*X67+$X$2*$X$7-W67*$X$3*$X$7)/(3*$X$2*X67-2*$X$2*$X$7),"")</f>
        <v>-2.8016389962354276E-4</v>
      </c>
      <c r="AA67" s="2">
        <f t="shared" ref="AA67:AA76" si="35">IF(AND(A67&gt;0,NOT(A67="***")),($X$2*Y67+5*Z67*$X$2*Y67-W67*$X$4)/($X$2+2*Z67*$X$2-W67*$X$3),"")</f>
        <v>491.58606967539248</v>
      </c>
      <c r="AB67" s="2">
        <f t="shared" ref="AB67:AB76" si="36">IF(AND(A67&gt;0,NOT(A67="***")),-(3*W67*$X$8*(5*$X$9*Y67-9*X67*$X$8+4*$X$9*$X$8)*((-3+2*$X$3*X67)*Y67+X67*$X$4))/AG67,"")</f>
        <v>-482.96232224378866</v>
      </c>
      <c r="AC67" s="2">
        <f t="shared" ref="AC67:AC76" si="37">IF(AND(A67&gt;0,NOT(A67="***")),((3*W67*$X$8*(5*$X$9*Y67-9*X67*$X$8+4*$X$9*Y67)*(-5*W67*Y67+2*$X$2*X67*Y67+3*W67*X67*$X$4)))/AG67,"")</f>
        <v>1707.0548164899458</v>
      </c>
      <c r="AD67" s="2">
        <f t="shared" ref="AD67:AD76" si="38">IF(AND(A67&gt;0,NOT(A67="***")),(3*W67*(-$X$2*X67+W67*(-2+3*$X$3*X67))*$X$8*(-5*$X$9*Y67+9*X67*$X$8-4*$X$9*$X$8))/AG67,"")</f>
        <v>-3.4879706869061016</v>
      </c>
      <c r="AE67" s="2">
        <f t="shared" ref="AE67:AE76" si="39">IF(AND(A67&gt;0,NOT(A67="***")),(3*$X$8*(3*$X$2*Y67-5*W67*$X$3*Y67+2*W67*$X$4)*(2*$X$2*X67*(-Y67+$X$8)+W67*(5*Y67+4*$X$8-6*$X$3*X67*$X$8-3*X67*$X$4)))/AG67,"")</f>
        <v>141.2745541350929</v>
      </c>
      <c r="AF67" s="2">
        <f t="shared" ref="AF67:AF76" si="40">IF(AND(A67&gt;0,NOT(A67="***")),-($X$9*(3*$X$2*Y67-5*W67*$X$3*Y67+2*W67*$X$4)*(6*$X$2*(-X67+$X$9)*Y67+W67*(5*(3-2*$X$3*$X$9)*Y67-9*X67*$X$4+4*$X$9*$X$4)))/AG67,"")</f>
        <v>-1.4687703695412885E-3</v>
      </c>
      <c r="AG67">
        <f t="shared" ref="AG67:AG76" si="41">IF(AND(A67&gt;0,NOT(A67="***")),(3*$X$2*($X$9*Y67-X67*$X$8)+W67*(-5*$X$3*$X$9*Y67-6*$X$8+9*$X$3*X67*$X$8+2*$X$9*$X$4))^2,"")</f>
        <v>246427131.38682854</v>
      </c>
    </row>
    <row r="68" spans="1:33" ht="15">
      <c r="A68">
        <f>A67+1</f>
        <v>52</v>
      </c>
      <c r="C68" s="101">
        <v>1.9265200999999999E-5</v>
      </c>
      <c r="D68" s="101">
        <v>8.5349375999999994E-6</v>
      </c>
      <c r="E68" s="101">
        <v>5.5579615E-5</v>
      </c>
      <c r="F68" s="101">
        <v>2.4492111999999998E-5</v>
      </c>
      <c r="G68" s="101">
        <v>6.5254058000000001E-6</v>
      </c>
      <c r="H68" s="101">
        <v>2.9950388000000001E-5</v>
      </c>
      <c r="I68" s="101">
        <v>0.27812787</v>
      </c>
      <c r="J68" s="101">
        <v>4.0678410000000002E-4</v>
      </c>
      <c r="K68" s="101">
        <v>7.8422614000000002E-2</v>
      </c>
      <c r="L68" s="101">
        <v>1.4608920999999999E-4</v>
      </c>
      <c r="M68" s="101">
        <v>38.577993999999997</v>
      </c>
      <c r="N68" s="101">
        <v>7.8532838999999993E-2</v>
      </c>
      <c r="O68" s="101">
        <v>0.27467265000000002</v>
      </c>
      <c r="P68" s="101">
        <v>38.614145000000001</v>
      </c>
      <c r="Q68" s="106">
        <f t="shared" si="27"/>
        <v>3.7833081633686305</v>
      </c>
      <c r="R68" s="113">
        <f t="shared" si="28"/>
        <v>3.8854620310000001E-4</v>
      </c>
      <c r="S68" s="113">
        <f t="shared" si="29"/>
        <v>0.2781123612411</v>
      </c>
      <c r="T68" s="113">
        <f t="shared" si="30"/>
        <v>7.8408713930700008E-2</v>
      </c>
      <c r="U68" s="113">
        <f t="shared" si="31"/>
        <v>7.85189389307E-2</v>
      </c>
      <c r="V68" s="113">
        <f t="shared" si="32"/>
        <v>0.27461280291619999</v>
      </c>
      <c r="W68" s="101">
        <f t="shared" si="15"/>
        <v>3.5469573125112612</v>
      </c>
      <c r="X68" s="101">
        <f t="shared" si="16"/>
        <v>3.4974084807560937</v>
      </c>
      <c r="Y68" s="101">
        <f t="shared" ref="Y68:Y76" si="42">IF(AND(A68&gt;0,NOT(A68="***")),P68/U68,"")</f>
        <v>491.78128902226308</v>
      </c>
      <c r="Z68" s="101">
        <f t="shared" si="34"/>
        <v>-1.3258792647079996E-4</v>
      </c>
      <c r="AA68" s="2">
        <f t="shared" si="35"/>
        <v>491.66265693268218</v>
      </c>
      <c r="AB68" s="2">
        <f t="shared" si="36"/>
        <v>-482.75204850110572</v>
      </c>
      <c r="AC68" s="2">
        <f t="shared" si="37"/>
        <v>1706.9725173285128</v>
      </c>
      <c r="AD68" s="2">
        <f t="shared" si="38"/>
        <v>-3.4872513001882708</v>
      </c>
      <c r="AE68" s="2">
        <f t="shared" si="39"/>
        <v>141.24946488809678</v>
      </c>
      <c r="AF68" s="2">
        <f t="shared" si="40"/>
        <v>-1.468662292725368E-3</v>
      </c>
      <c r="AG68">
        <f t="shared" si="41"/>
        <v>246398562.77453533</v>
      </c>
    </row>
    <row r="69" spans="1:33" ht="15">
      <c r="A69">
        <f t="shared" ref="A69:A76" si="43">A68+1</f>
        <v>53</v>
      </c>
      <c r="C69" s="101">
        <v>1.5238783000000001E-5</v>
      </c>
      <c r="D69" s="101">
        <v>4.1019161000000002E-5</v>
      </c>
      <c r="E69" s="101">
        <v>6.0103348999999998E-5</v>
      </c>
      <c r="F69" s="101">
        <v>3.5728944999999999E-5</v>
      </c>
      <c r="G69" s="101">
        <v>5.7050361999999996E-6</v>
      </c>
      <c r="H69" s="101">
        <v>2.3884829000000001E-5</v>
      </c>
      <c r="I69" s="101">
        <v>0.28134846000000002</v>
      </c>
      <c r="J69" s="101">
        <v>4.0874138000000001E-4</v>
      </c>
      <c r="K69" s="101">
        <v>7.9365464999999996E-2</v>
      </c>
      <c r="L69" s="101">
        <v>1.6162007000000001E-4</v>
      </c>
      <c r="M69" s="101">
        <v>39.029819000000003</v>
      </c>
      <c r="N69" s="101">
        <v>7.9567794999999997E-2</v>
      </c>
      <c r="O69" s="101">
        <v>0.27835485999999998</v>
      </c>
      <c r="P69" s="101">
        <v>39.130445000000002</v>
      </c>
      <c r="Q69" s="106">
        <f t="shared" si="27"/>
        <v>4.1302895993132713</v>
      </c>
      <c r="R69" s="113">
        <f t="shared" si="28"/>
        <v>3.9394644740000002E-4</v>
      </c>
      <c r="S69" s="113">
        <f t="shared" si="29"/>
        <v>0.2813277430094</v>
      </c>
      <c r="T69" s="113">
        <f t="shared" si="30"/>
        <v>7.9337336028E-2</v>
      </c>
      <c r="U69" s="113">
        <f t="shared" si="31"/>
        <v>7.9539666028E-2</v>
      </c>
      <c r="V69" s="113">
        <f t="shared" si="32"/>
        <v>0.27827424707049997</v>
      </c>
      <c r="W69" s="101">
        <f t="shared" si="15"/>
        <v>3.5459691123245287</v>
      </c>
      <c r="X69" s="101">
        <f t="shared" si="16"/>
        <v>3.4985594102512363</v>
      </c>
      <c r="Y69" s="101">
        <f t="shared" si="42"/>
        <v>491.96139428376631</v>
      </c>
      <c r="Z69" s="101">
        <f t="shared" si="34"/>
        <v>-3.3518858972503583E-4</v>
      </c>
      <c r="AA69" s="2">
        <f t="shared" si="35"/>
        <v>491.54338634482326</v>
      </c>
      <c r="AB69" s="2">
        <f t="shared" si="36"/>
        <v>-483.02690589404472</v>
      </c>
      <c r="AC69" s="2">
        <f t="shared" si="37"/>
        <v>1706.7698736824402</v>
      </c>
      <c r="AD69" s="2">
        <f t="shared" si="38"/>
        <v>-3.4876964733862286</v>
      </c>
      <c r="AE69" s="2">
        <f t="shared" si="39"/>
        <v>141.3005104666068</v>
      </c>
      <c r="AF69" s="2">
        <f t="shared" si="40"/>
        <v>-1.4689550483735065E-3</v>
      </c>
      <c r="AG69">
        <f t="shared" si="41"/>
        <v>246361081.30483139</v>
      </c>
    </row>
    <row r="70" spans="1:33" ht="15">
      <c r="A70">
        <f t="shared" si="43"/>
        <v>54</v>
      </c>
      <c r="C70" s="101">
        <v>1.4068142E-5</v>
      </c>
      <c r="D70" s="101">
        <v>1.1236899E-5</v>
      </c>
      <c r="E70" s="101">
        <v>5.4863420000000002E-5</v>
      </c>
      <c r="F70" s="101">
        <v>1.2099680000000001E-5</v>
      </c>
      <c r="G70" s="101">
        <v>9.9649441000000004E-6</v>
      </c>
      <c r="H70" s="101">
        <v>2.1071299999999999E-5</v>
      </c>
      <c r="I70" s="101">
        <v>0.28149997999999998</v>
      </c>
      <c r="J70" s="101">
        <v>4.1537354999999999E-4</v>
      </c>
      <c r="K70" s="101">
        <v>7.9390952000000001E-2</v>
      </c>
      <c r="L70" s="101">
        <v>1.5438990000000001E-4</v>
      </c>
      <c r="M70" s="101">
        <v>39.047052000000001</v>
      </c>
      <c r="N70" s="101">
        <v>7.9634770999999993E-2</v>
      </c>
      <c r="O70" s="101">
        <v>0.27863847000000003</v>
      </c>
      <c r="P70" s="101">
        <v>39.171024000000003</v>
      </c>
      <c r="Q70" s="106">
        <f t="shared" si="27"/>
        <v>3.9414312988090385</v>
      </c>
      <c r="R70" s="113">
        <f t="shared" si="28"/>
        <v>3.9985542794999999E-4</v>
      </c>
      <c r="S70" s="113">
        <f t="shared" si="29"/>
        <v>0.28148894768794996</v>
      </c>
      <c r="T70" s="113">
        <f t="shared" si="30"/>
        <v>7.9378299479499995E-2</v>
      </c>
      <c r="U70" s="113">
        <f t="shared" si="31"/>
        <v>7.9622118479499987E-2</v>
      </c>
      <c r="V70" s="113">
        <f t="shared" si="32"/>
        <v>0.27857798813050005</v>
      </c>
      <c r="W70" s="101">
        <f t="shared" si="15"/>
        <v>3.546170043119234</v>
      </c>
      <c r="X70" s="101">
        <f t="shared" si="16"/>
        <v>3.4987512697520664</v>
      </c>
      <c r="Y70" s="101">
        <f t="shared" si="42"/>
        <v>491.96158992033378</v>
      </c>
      <c r="Z70" s="101">
        <f t="shared" si="34"/>
        <v>-3.34662479793073E-4</v>
      </c>
      <c r="AA70" s="2">
        <f t="shared" si="35"/>
        <v>491.54436374164987</v>
      </c>
      <c r="AB70" s="2">
        <f t="shared" si="36"/>
        <v>-483.02684915834328</v>
      </c>
      <c r="AC70" s="2">
        <f t="shared" si="37"/>
        <v>1706.8684905935017</v>
      </c>
      <c r="AD70" s="2">
        <f t="shared" si="38"/>
        <v>-3.4878901658151196</v>
      </c>
      <c r="AE70" s="2">
        <f t="shared" si="39"/>
        <v>141.29272803452028</v>
      </c>
      <c r="AF70" s="2">
        <f t="shared" si="40"/>
        <v>-1.4688760938936399E-3</v>
      </c>
      <c r="AG70">
        <f t="shared" si="41"/>
        <v>246388737.10917708</v>
      </c>
    </row>
    <row r="71" spans="1:33" ht="15">
      <c r="A71">
        <f t="shared" si="43"/>
        <v>55</v>
      </c>
      <c r="C71" s="101">
        <v>3.9501924999999997E-5</v>
      </c>
      <c r="D71" s="101">
        <v>3.0880901E-5</v>
      </c>
      <c r="E71" s="101">
        <v>5.1494386999999997E-5</v>
      </c>
      <c r="F71" s="101">
        <v>1.3300142999999999E-5</v>
      </c>
      <c r="G71" s="101">
        <v>1.7566591000000001E-5</v>
      </c>
      <c r="H71" s="101">
        <v>1.7044677999999999E-5</v>
      </c>
      <c r="I71" s="101">
        <v>0.28287658999999998</v>
      </c>
      <c r="J71" s="101">
        <v>4.1963442E-4</v>
      </c>
      <c r="K71" s="101">
        <v>7.9753350000000001E-2</v>
      </c>
      <c r="L71" s="101">
        <v>1.4322432000000001E-4</v>
      </c>
      <c r="M71" s="101">
        <v>39.233811000000003</v>
      </c>
      <c r="N71" s="101">
        <v>7.9743347000000006E-2</v>
      </c>
      <c r="O71" s="101">
        <v>0.27892050000000002</v>
      </c>
      <c r="P71" s="101">
        <v>39.208317000000001</v>
      </c>
      <c r="Q71" s="106">
        <f t="shared" si="27"/>
        <v>3.6529066014233664</v>
      </c>
      <c r="R71" s="113">
        <f t="shared" si="28"/>
        <v>4.0232878549999998E-4</v>
      </c>
      <c r="S71" s="113">
        <f t="shared" si="29"/>
        <v>0.28286115663299999</v>
      </c>
      <c r="T71" s="113">
        <f t="shared" si="30"/>
        <v>7.9718158587000001E-2</v>
      </c>
      <c r="U71" s="113">
        <f t="shared" si="31"/>
        <v>7.9708155587000007E-2</v>
      </c>
      <c r="V71" s="113">
        <f t="shared" si="32"/>
        <v>0.27885356516250004</v>
      </c>
      <c r="W71" s="101">
        <f t="shared" si="15"/>
        <v>3.5482650583844197</v>
      </c>
      <c r="X71" s="101">
        <f t="shared" si="16"/>
        <v>3.4984320375866234</v>
      </c>
      <c r="Y71" s="101">
        <f t="shared" si="42"/>
        <v>491.89843512568592</v>
      </c>
      <c r="Z71" s="101">
        <f t="shared" si="34"/>
        <v>-1.0772899506159765E-4</v>
      </c>
      <c r="AA71" s="2">
        <f t="shared" si="35"/>
        <v>491.81650721159281</v>
      </c>
      <c r="AB71" s="2">
        <f t="shared" si="36"/>
        <v>-482.85511356344369</v>
      </c>
      <c r="AC71" s="2">
        <f t="shared" si="37"/>
        <v>1708.0529320291093</v>
      </c>
      <c r="AD71" s="2">
        <f t="shared" si="38"/>
        <v>-3.4883621091301804</v>
      </c>
      <c r="AE71" s="2">
        <f t="shared" si="39"/>
        <v>141.24935377770836</v>
      </c>
      <c r="AF71" s="2">
        <f t="shared" si="40"/>
        <v>-1.468967960633156E-3</v>
      </c>
      <c r="AG71">
        <f t="shared" si="41"/>
        <v>246567805.08134219</v>
      </c>
    </row>
    <row r="72" spans="1:33" ht="15">
      <c r="A72">
        <f t="shared" si="43"/>
        <v>56</v>
      </c>
      <c r="C72" s="101">
        <v>1.9182051999999999E-5</v>
      </c>
      <c r="D72" s="101">
        <v>2.9714514E-5</v>
      </c>
      <c r="E72" s="101">
        <v>5.2656074999999997E-5</v>
      </c>
      <c r="F72" s="101">
        <v>1.7591923999999999E-5</v>
      </c>
      <c r="G72" s="101">
        <v>2.594903E-5</v>
      </c>
      <c r="H72" s="101">
        <v>3.1566623E-5</v>
      </c>
      <c r="I72" s="101">
        <v>0.27966550000000001</v>
      </c>
      <c r="J72" s="101">
        <v>3.9760038999999997E-4</v>
      </c>
      <c r="K72" s="101">
        <v>7.8885696000000005E-2</v>
      </c>
      <c r="L72" s="101">
        <v>1.1302173E-4</v>
      </c>
      <c r="M72" s="101">
        <v>38.802748999999999</v>
      </c>
      <c r="N72" s="101">
        <v>7.8876131000000002E-2</v>
      </c>
      <c r="O72" s="101">
        <v>0.27601309000000002</v>
      </c>
      <c r="P72" s="101">
        <v>38.802461000000001</v>
      </c>
      <c r="Q72" s="106">
        <f t="shared" si="27"/>
        <v>2.912746436366497</v>
      </c>
      <c r="R72" s="113">
        <f t="shared" si="28"/>
        <v>3.688425635E-4</v>
      </c>
      <c r="S72" s="113">
        <f t="shared" si="29"/>
        <v>0.27964372952299998</v>
      </c>
      <c r="T72" s="113">
        <f t="shared" si="30"/>
        <v>7.886124771700001E-2</v>
      </c>
      <c r="U72" s="113">
        <f t="shared" si="31"/>
        <v>7.8851682717000007E-2</v>
      </c>
      <c r="V72" s="113">
        <f t="shared" si="32"/>
        <v>0.27594557666800001</v>
      </c>
      <c r="W72" s="101">
        <f t="shared" si="15"/>
        <v>3.5460221289742235</v>
      </c>
      <c r="X72" s="101">
        <f t="shared" si="16"/>
        <v>3.4995521612185914</v>
      </c>
      <c r="Y72" s="101">
        <f t="shared" si="42"/>
        <v>492.09426689424845</v>
      </c>
      <c r="Z72" s="101">
        <f t="shared" si="34"/>
        <v>-4.2496140543860626E-4</v>
      </c>
      <c r="AA72" s="2">
        <f t="shared" si="35"/>
        <v>491.54340846951811</v>
      </c>
      <c r="AB72" s="2">
        <f t="shared" si="36"/>
        <v>-483.20086657943096</v>
      </c>
      <c r="AC72" s="2">
        <f t="shared" si="37"/>
        <v>1707.1004829310577</v>
      </c>
      <c r="AD72" s="2">
        <f t="shared" si="38"/>
        <v>-3.4883763027968095</v>
      </c>
      <c r="AE72" s="2">
        <f t="shared" si="39"/>
        <v>141.32389220586521</v>
      </c>
      <c r="AF72" s="2">
        <f t="shared" si="40"/>
        <v>-1.4691981650486769E-3</v>
      </c>
      <c r="AG72">
        <f t="shared" si="41"/>
        <v>246412625.00894716</v>
      </c>
    </row>
    <row r="73" spans="1:33" ht="15">
      <c r="A73">
        <f t="shared" si="43"/>
        <v>57</v>
      </c>
      <c r="C73" s="101">
        <v>5.5231583999999998E-6</v>
      </c>
      <c r="D73" s="101">
        <v>8.8367596000000007E-6</v>
      </c>
      <c r="E73" s="101">
        <v>6.1319285999999996E-5</v>
      </c>
      <c r="F73" s="101">
        <v>1.5393595000000001E-5</v>
      </c>
      <c r="G73" s="101">
        <v>1.2796043E-5</v>
      </c>
      <c r="H73" s="101">
        <v>4.8275575000000001E-5</v>
      </c>
      <c r="I73" s="101">
        <v>0.27941846999999997</v>
      </c>
      <c r="J73" s="101">
        <v>4.0216459000000002E-4</v>
      </c>
      <c r="K73" s="101">
        <v>7.8818168999999993E-2</v>
      </c>
      <c r="L73" s="101">
        <v>1.2866108E-4</v>
      </c>
      <c r="M73" s="101">
        <v>38.766762999999997</v>
      </c>
      <c r="N73" s="101">
        <v>7.8692334000000003E-2</v>
      </c>
      <c r="O73" s="101">
        <v>0.27539269</v>
      </c>
      <c r="P73" s="101">
        <v>38.712201</v>
      </c>
      <c r="Q73" s="106">
        <f t="shared" si="27"/>
        <v>3.3235278975742037</v>
      </c>
      <c r="R73" s="113">
        <f t="shared" si="28"/>
        <v>3.7162878100000001E-4</v>
      </c>
      <c r="S73" s="113">
        <f t="shared" si="29"/>
        <v>0.27940437518099998</v>
      </c>
      <c r="T73" s="113">
        <f t="shared" si="30"/>
        <v>7.8810989040999993E-2</v>
      </c>
      <c r="U73" s="113">
        <f t="shared" si="31"/>
        <v>7.8685154041000002E-2</v>
      </c>
      <c r="V73" s="113">
        <f t="shared" si="32"/>
        <v>0.27532695233420001</v>
      </c>
      <c r="W73" s="101">
        <f t="shared" si="15"/>
        <v>3.5452464000374984</v>
      </c>
      <c r="X73" s="101">
        <f t="shared" si="16"/>
        <v>3.499096566434083</v>
      </c>
      <c r="Y73" s="101">
        <f t="shared" si="42"/>
        <v>491.98862824654907</v>
      </c>
      <c r="Z73" s="101">
        <f t="shared" si="34"/>
        <v>-4.5421725140242267E-4</v>
      </c>
      <c r="AA73" s="2">
        <f t="shared" si="35"/>
        <v>491.39461204910924</v>
      </c>
      <c r="AB73" s="2">
        <f t="shared" si="36"/>
        <v>-483.11121657163551</v>
      </c>
      <c r="AC73" s="2">
        <f t="shared" si="37"/>
        <v>1706.3093288495793</v>
      </c>
      <c r="AD73" s="2">
        <f t="shared" si="38"/>
        <v>-3.4878182555637678</v>
      </c>
      <c r="AE73" s="2">
        <f t="shared" si="39"/>
        <v>141.30600308532766</v>
      </c>
      <c r="AF73" s="2">
        <f t="shared" si="40"/>
        <v>-1.468715220118348E-3</v>
      </c>
      <c r="AG73">
        <f t="shared" si="41"/>
        <v>246319459.89659446</v>
      </c>
    </row>
    <row r="74" spans="1:33" ht="15">
      <c r="A74">
        <f t="shared" si="43"/>
        <v>58</v>
      </c>
      <c r="C74" s="101">
        <v>5.5451413999999999E-6</v>
      </c>
      <c r="D74" s="101">
        <v>1.7814141000000002E-5</v>
      </c>
      <c r="E74" s="101">
        <v>5.9181702000000002E-5</v>
      </c>
      <c r="F74" s="101">
        <v>2.2843284E-6</v>
      </c>
      <c r="G74" s="101">
        <v>7.3902456000000002E-6</v>
      </c>
      <c r="H74" s="101">
        <v>3.9996329999999997E-5</v>
      </c>
      <c r="I74" s="101">
        <v>0.27478532</v>
      </c>
      <c r="J74" s="101">
        <v>4.095479E-4</v>
      </c>
      <c r="K74" s="101">
        <v>7.7509557000000007E-2</v>
      </c>
      <c r="L74" s="101">
        <v>1.3251248999999999E-4</v>
      </c>
      <c r="M74" s="101">
        <v>38.127670000000002</v>
      </c>
      <c r="N74" s="101">
        <v>7.7247950999999995E-2</v>
      </c>
      <c r="O74" s="101">
        <v>0.27029639999999999</v>
      </c>
      <c r="P74" s="101">
        <v>38.001925</v>
      </c>
      <c r="Q74" s="106">
        <f t="shared" si="27"/>
        <v>3.4869941456913036</v>
      </c>
      <c r="R74" s="113">
        <f t="shared" si="28"/>
        <v>3.8585461219999999E-4</v>
      </c>
      <c r="S74" s="113">
        <f t="shared" si="29"/>
        <v>0.27478048271299998</v>
      </c>
      <c r="T74" s="113">
        <f t="shared" si="30"/>
        <v>7.749787735880001E-2</v>
      </c>
      <c r="U74" s="113">
        <f t="shared" si="31"/>
        <v>7.7236271358799999E-2</v>
      </c>
      <c r="V74" s="113">
        <f t="shared" si="32"/>
        <v>0.27022831122750002</v>
      </c>
      <c r="W74" s="101">
        <f t="shared" si="15"/>
        <v>3.5456517272185417</v>
      </c>
      <c r="X74" s="101">
        <f t="shared" si="16"/>
        <v>3.4987228988846217</v>
      </c>
      <c r="Y74" s="101">
        <f t="shared" si="42"/>
        <v>492.0217448543392</v>
      </c>
      <c r="Z74" s="101">
        <f t="shared" si="34"/>
        <v>-3.8055474596832201E-4</v>
      </c>
      <c r="AA74" s="2">
        <f t="shared" si="35"/>
        <v>491.53661584876841</v>
      </c>
      <c r="AB74" s="2">
        <f t="shared" si="36"/>
        <v>-483.10812743079794</v>
      </c>
      <c r="AC74" s="2">
        <f t="shared" si="37"/>
        <v>1706.7472243379405</v>
      </c>
      <c r="AD74" s="2">
        <f t="shared" si="38"/>
        <v>-3.4877018631009715</v>
      </c>
      <c r="AE74" s="2">
        <f t="shared" si="39"/>
        <v>141.32344071201464</v>
      </c>
      <c r="AF74" s="2">
        <f t="shared" si="40"/>
        <v>-1.4691799140975001E-3</v>
      </c>
      <c r="AG74">
        <f t="shared" si="41"/>
        <v>246339315.96531507</v>
      </c>
    </row>
    <row r="75" spans="1:33" ht="15">
      <c r="A75">
        <f t="shared" si="43"/>
        <v>59</v>
      </c>
      <c r="C75" s="101">
        <v>-1.4017022999999999E-5</v>
      </c>
      <c r="D75" s="101">
        <v>2.2399793999999999E-5</v>
      </c>
      <c r="E75" s="101">
        <v>6.0077378999999998E-5</v>
      </c>
      <c r="F75" s="101">
        <v>1.4709588E-6</v>
      </c>
      <c r="G75" s="101">
        <v>1.3243421E-5</v>
      </c>
      <c r="H75" s="101">
        <v>2.8021651999999998E-5</v>
      </c>
      <c r="I75" s="101">
        <v>0.27148004999999997</v>
      </c>
      <c r="J75" s="101">
        <v>3.8805441999999998E-4</v>
      </c>
      <c r="K75" s="101">
        <v>7.6570469000000002E-2</v>
      </c>
      <c r="L75" s="101">
        <v>1.3518730000000001E-4</v>
      </c>
      <c r="M75" s="101">
        <v>37.668892</v>
      </c>
      <c r="N75" s="101">
        <v>7.6247005000000007E-2</v>
      </c>
      <c r="O75" s="101">
        <v>0.26682640000000002</v>
      </c>
      <c r="P75" s="101">
        <v>37.510846999999998</v>
      </c>
      <c r="Q75" s="106">
        <f t="shared" si="27"/>
        <v>3.6039522114763236</v>
      </c>
      <c r="R75" s="113">
        <f t="shared" si="28"/>
        <v>3.6742188349999998E-4</v>
      </c>
      <c r="S75" s="113">
        <f t="shared" si="29"/>
        <v>0.27147269281009995</v>
      </c>
      <c r="T75" s="113">
        <f t="shared" si="30"/>
        <v>7.6566277614500008E-2</v>
      </c>
      <c r="U75" s="113">
        <f t="shared" si="31"/>
        <v>7.6242813614500013E-2</v>
      </c>
      <c r="V75" s="113">
        <f t="shared" si="32"/>
        <v>0.26675512272400004</v>
      </c>
      <c r="W75" s="101">
        <f t="shared" si="15"/>
        <v>3.5455908432289891</v>
      </c>
      <c r="X75" s="101">
        <f t="shared" si="16"/>
        <v>3.4987575887843154</v>
      </c>
      <c r="Y75" s="101">
        <f t="shared" si="42"/>
        <v>491.99190352106979</v>
      </c>
      <c r="Z75" s="101">
        <f t="shared" si="34"/>
        <v>-3.8957446529506897E-4</v>
      </c>
      <c r="AA75" s="2">
        <f t="shared" si="35"/>
        <v>491.49346842964252</v>
      </c>
      <c r="AB75" s="2">
        <f t="shared" si="36"/>
        <v>-483.08317377922907</v>
      </c>
      <c r="AC75" s="2">
        <f t="shared" si="37"/>
        <v>1706.5988598983117</v>
      </c>
      <c r="AD75" s="2">
        <f t="shared" si="38"/>
        <v>-3.4877049685557617</v>
      </c>
      <c r="AE75" s="2">
        <f t="shared" si="39"/>
        <v>141.31186519851974</v>
      </c>
      <c r="AF75" s="2">
        <f t="shared" si="40"/>
        <v>-1.4689734649649701E-3</v>
      </c>
      <c r="AG75">
        <f t="shared" si="41"/>
        <v>246335358.75259054</v>
      </c>
    </row>
    <row r="76" spans="1:33" ht="15">
      <c r="A76">
        <f t="shared" si="43"/>
        <v>60</v>
      </c>
      <c r="C76" s="101">
        <v>-5.0506293000000004E-6</v>
      </c>
      <c r="D76" s="101">
        <v>1.4003963000000001E-5</v>
      </c>
      <c r="E76" s="101">
        <v>6.2922478000000006E-5</v>
      </c>
      <c r="F76" s="101">
        <v>-1.3899776E-5</v>
      </c>
      <c r="G76" s="101">
        <v>1.3504390999999999E-5</v>
      </c>
      <c r="H76" s="101">
        <v>3.3041816999999999E-5</v>
      </c>
      <c r="I76" s="101">
        <v>0.26625193000000003</v>
      </c>
      <c r="J76" s="101">
        <v>3.8269231000000002E-4</v>
      </c>
      <c r="K76" s="101">
        <v>7.5080015E-2</v>
      </c>
      <c r="L76" s="101">
        <v>1.3969646999999999E-4</v>
      </c>
      <c r="M76" s="101">
        <v>36.946801000000001</v>
      </c>
      <c r="N76" s="101">
        <v>7.4815683999999993E-2</v>
      </c>
      <c r="O76" s="101">
        <v>0.26174227</v>
      </c>
      <c r="P76" s="101">
        <v>36.799379999999999</v>
      </c>
      <c r="Q76" s="106">
        <f t="shared" si="27"/>
        <v>3.7961636853664378</v>
      </c>
      <c r="R76" s="113">
        <f t="shared" si="28"/>
        <v>3.5941920600000003E-4</v>
      </c>
      <c r="S76" s="113">
        <f t="shared" si="29"/>
        <v>0.26625212769250001</v>
      </c>
      <c r="T76" s="113">
        <f t="shared" si="30"/>
        <v>7.5075538333150005E-2</v>
      </c>
      <c r="U76" s="113">
        <f t="shared" si="31"/>
        <v>7.4811207333149998E-2</v>
      </c>
      <c r="V76" s="113">
        <f t="shared" si="32"/>
        <v>0.26167234554050001</v>
      </c>
      <c r="W76" s="101">
        <f t="shared" si="15"/>
        <v>3.5464564571085462</v>
      </c>
      <c r="X76" s="101">
        <f t="shared" si="16"/>
        <v>3.4977693165038515</v>
      </c>
      <c r="Y76" s="101">
        <f t="shared" si="42"/>
        <v>491.89661966187288</v>
      </c>
      <c r="Z76" s="101">
        <f t="shared" si="34"/>
        <v>-2.1403882579290549E-4</v>
      </c>
      <c r="AA76" s="2">
        <f t="shared" si="35"/>
        <v>491.65766293304608</v>
      </c>
      <c r="AB76" s="2">
        <f t="shared" si="36"/>
        <v>-482.9046965608452</v>
      </c>
      <c r="AC76" s="2">
        <f t="shared" si="37"/>
        <v>1706.9899593199284</v>
      </c>
      <c r="AD76" s="2">
        <f t="shared" si="38"/>
        <v>-3.4873286665994008</v>
      </c>
      <c r="AE76" s="2">
        <f t="shared" si="39"/>
        <v>141.29058236272607</v>
      </c>
      <c r="AF76" s="2">
        <f t="shared" si="40"/>
        <v>-1.4690798487326936E-3</v>
      </c>
      <c r="AG76">
        <f t="shared" si="41"/>
        <v>246369034.75549725</v>
      </c>
    </row>
    <row r="77" spans="1:33" ht="15"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6"/>
      <c r="R77" s="113"/>
      <c r="S77" s="113"/>
      <c r="T77" s="113"/>
      <c r="U77" s="113"/>
      <c r="V77" s="113"/>
      <c r="W77" s="101"/>
      <c r="X77" s="101"/>
      <c r="Y77" s="101"/>
      <c r="Z77" s="101"/>
      <c r="AA77" s="2"/>
      <c r="AB77" s="2"/>
      <c r="AG77"/>
    </row>
    <row r="78" spans="1:33" ht="15">
      <c r="A78">
        <f>A76+1</f>
        <v>61</v>
      </c>
      <c r="C78" s="101">
        <v>2.7907142000000001E-5</v>
      </c>
      <c r="D78" s="101">
        <v>1.0695000999999999E-5</v>
      </c>
      <c r="E78" s="101">
        <v>3.9838059999999998E-5</v>
      </c>
      <c r="F78" s="101">
        <v>4.6846598999999997E-5</v>
      </c>
      <c r="G78" s="101">
        <v>2.0780374000000001E-5</v>
      </c>
      <c r="H78" s="101">
        <v>2.2920190000000001E-5</v>
      </c>
      <c r="I78" s="101">
        <v>0.27738201000000001</v>
      </c>
      <c r="J78" s="101">
        <v>3.9602669999999997E-4</v>
      </c>
      <c r="K78" s="101">
        <v>7.8219573000000001E-2</v>
      </c>
      <c r="L78" s="101">
        <v>1.7192636000000001E-4</v>
      </c>
      <c r="M78" s="101">
        <v>38.467421000000002</v>
      </c>
      <c r="N78" s="101">
        <v>7.8112932999999996E-2</v>
      </c>
      <c r="O78" s="101">
        <v>0.27326683000000002</v>
      </c>
      <c r="P78" s="101">
        <v>38.416032000000001</v>
      </c>
      <c r="Q78" s="106">
        <f t="shared" ref="Q78:Q97" si="44">(L78/P78)*1000000</f>
        <v>4.4753804869800193</v>
      </c>
      <c r="R78" s="113">
        <f t="shared" ref="R78:R97" si="45">J78-((G78+H78)/2)</f>
        <v>3.74176418E-4</v>
      </c>
      <c r="S78" s="113">
        <f t="shared" ref="S78:S97" si="46">I78-((F78+G78)/2)</f>
        <v>0.27734819651350001</v>
      </c>
      <c r="T78" s="113">
        <f t="shared" ref="T78:T97" si="47">K78-((C78+D78)/2)</f>
        <v>7.8200271928500001E-2</v>
      </c>
      <c r="U78" s="113">
        <f t="shared" ref="U78:U97" si="48">N78-((D78+C78)/2)</f>
        <v>7.8093631928499996E-2</v>
      </c>
      <c r="V78" s="113">
        <f t="shared" ref="V78:V97" si="49">O78-((E78+D78/2))</f>
        <v>0.27322164443950003</v>
      </c>
      <c r="W78" s="101">
        <f t="shared" si="15"/>
        <v>3.5466397964329941</v>
      </c>
      <c r="X78" s="101">
        <f t="shared" si="16"/>
        <v>3.4986417930933591</v>
      </c>
      <c r="Y78" s="101">
        <f t="shared" ref="Y78:Y97" si="50">IF(AND(A78&gt;0,NOT(A78="***")),P78/U78,"")</f>
        <v>491.92272213914288</v>
      </c>
      <c r="Z78" s="101">
        <f t="shared" ref="Z78:Z97" si="51">IF(AND(A78&gt;0,NOT(A78="***")),(W78-$X$2*X78+$X$2*$X$7-W78*$X$3*$X$7)/(3*$X$2*X78-2*$X$2*$X$7),"")</f>
        <v>-2.8016389962354276E-4</v>
      </c>
      <c r="AA78" s="2">
        <f t="shared" ref="AA78:AA97" si="52">IF(AND(A78&gt;0,NOT(A78="***")),($X$2*Y78+5*Z78*$X$2*Y78-W78*$X$4)/($X$2+2*Z78*$X$2-W78*$X$3),"")</f>
        <v>491.58606967539248</v>
      </c>
      <c r="AB78" s="2">
        <f t="shared" ref="AB78:AB97" si="53">IF(AND(A78&gt;0,NOT(A78="***")),-(3*W78*$X$8*(5*$X$9*Y78-9*X78*$X$8+4*$X$9*$X$8)*((-3+2*$X$3*X78)*Y78+X78*$X$4))/AG78,"")</f>
        <v>-482.96232224378866</v>
      </c>
      <c r="AC78" s="2">
        <f t="shared" ref="AC78:AC97" si="54">IF(AND(A78&gt;0,NOT(A78="***")),((3*W78*$X$8*(5*$X$9*Y78-9*X78*$X$8+4*$X$9*Y78)*(-5*W78*Y78+2*$X$2*X78*Y78+3*W78*X78*$X$4)))/AG78,"")</f>
        <v>1707.0548164899458</v>
      </c>
      <c r="AD78" s="2">
        <f t="shared" ref="AD78:AD97" si="55">IF(AND(A78&gt;0,NOT(A78="***")),(3*W78*(-$X$2*X78+W78*(-2+3*$X$3*X78))*$X$8*(-5*$X$9*Y78+9*X78*$X$8-4*$X$9*$X$8))/AG78,"")</f>
        <v>-3.4879706869061016</v>
      </c>
      <c r="AE78" s="2">
        <f t="shared" ref="AE78:AE97" si="56">IF(AND(A78&gt;0,NOT(A78="***")),(3*$X$8*(3*$X$2*Y78-5*W78*$X$3*Y78+2*W78*$X$4)*(2*$X$2*X78*(-Y78+$X$8)+W78*(5*Y78+4*$X$8-6*$X$3*X78*$X$8-3*X78*$X$4)))/AG78,"")</f>
        <v>141.2745541350929</v>
      </c>
      <c r="AF78" s="2">
        <f t="shared" ref="AF78:AF97" si="57">IF(AND(A78&gt;0,NOT(A78="***")),-($X$9*(3*$X$2*Y78-5*W78*$X$3*Y78+2*W78*$X$4)*(6*$X$2*(-X78+$X$9)*Y78+W78*(5*(3-2*$X$3*$X$9)*Y78-9*X78*$X$4+4*$X$9*$X$4)))/AG78,"")</f>
        <v>-1.4687703695412885E-3</v>
      </c>
      <c r="AG78">
        <f t="shared" ref="AG78:AG97" si="58">IF(AND(A78&gt;0,NOT(A78="***")),(3*$X$2*($X$9*Y78-X78*$X$8)+W78*(-5*$X$3*$X$9*Y78-6*$X$8+9*$X$3*X78*$X$8+2*$X$9*$X$4))^2,"")</f>
        <v>246427131.38682854</v>
      </c>
    </row>
    <row r="79" spans="1:33" ht="15">
      <c r="A79">
        <f>A78+1</f>
        <v>62</v>
      </c>
      <c r="C79" s="101">
        <v>1.9265200999999999E-5</v>
      </c>
      <c r="D79" s="101">
        <v>8.5349375999999994E-6</v>
      </c>
      <c r="E79" s="101">
        <v>5.5579615E-5</v>
      </c>
      <c r="F79" s="101">
        <v>2.4492111999999998E-5</v>
      </c>
      <c r="G79" s="101">
        <v>6.5254058000000001E-6</v>
      </c>
      <c r="H79" s="101">
        <v>2.9950388000000001E-5</v>
      </c>
      <c r="I79" s="101">
        <v>0.27812787</v>
      </c>
      <c r="J79" s="101">
        <v>4.0678410000000002E-4</v>
      </c>
      <c r="K79" s="101">
        <v>7.8422614000000002E-2</v>
      </c>
      <c r="L79" s="101">
        <v>1.4608920999999999E-4</v>
      </c>
      <c r="M79" s="101">
        <v>38.577993999999997</v>
      </c>
      <c r="N79" s="101">
        <v>7.8532838999999993E-2</v>
      </c>
      <c r="O79" s="101">
        <v>0.27467265000000002</v>
      </c>
      <c r="P79" s="101">
        <v>38.614145000000001</v>
      </c>
      <c r="Q79" s="106">
        <f t="shared" si="44"/>
        <v>3.7833081633686305</v>
      </c>
      <c r="R79" s="113">
        <f t="shared" si="45"/>
        <v>3.8854620310000001E-4</v>
      </c>
      <c r="S79" s="113">
        <f t="shared" si="46"/>
        <v>0.2781123612411</v>
      </c>
      <c r="T79" s="113">
        <f t="shared" si="47"/>
        <v>7.8408713930700008E-2</v>
      </c>
      <c r="U79" s="113">
        <f t="shared" si="48"/>
        <v>7.85189389307E-2</v>
      </c>
      <c r="V79" s="113">
        <f t="shared" si="49"/>
        <v>0.27461280291619999</v>
      </c>
      <c r="W79" s="101">
        <f t="shared" si="15"/>
        <v>3.5469573125112612</v>
      </c>
      <c r="X79" s="101">
        <f t="shared" si="16"/>
        <v>3.4974084807560937</v>
      </c>
      <c r="Y79" s="101">
        <f t="shared" si="50"/>
        <v>491.78128902226308</v>
      </c>
      <c r="Z79" s="101">
        <f t="shared" si="51"/>
        <v>-1.3258792647079996E-4</v>
      </c>
      <c r="AA79" s="2">
        <f t="shared" si="52"/>
        <v>491.66265693268218</v>
      </c>
      <c r="AB79" s="2">
        <f t="shared" si="53"/>
        <v>-482.75204850110572</v>
      </c>
      <c r="AC79" s="2">
        <f t="shared" si="54"/>
        <v>1706.9725173285128</v>
      </c>
      <c r="AD79" s="2">
        <f t="shared" si="55"/>
        <v>-3.4872513001882708</v>
      </c>
      <c r="AE79" s="2">
        <f t="shared" si="56"/>
        <v>141.24946488809678</v>
      </c>
      <c r="AF79" s="2">
        <f t="shared" si="57"/>
        <v>-1.468662292725368E-3</v>
      </c>
      <c r="AG79">
        <f t="shared" si="58"/>
        <v>246398562.77453533</v>
      </c>
    </row>
    <row r="80" spans="1:33" ht="15">
      <c r="A80">
        <f t="shared" ref="A80:A96" si="59">A79+1</f>
        <v>63</v>
      </c>
      <c r="C80" s="101">
        <v>1.5238783000000001E-5</v>
      </c>
      <c r="D80" s="101">
        <v>4.1019161000000002E-5</v>
      </c>
      <c r="E80" s="101">
        <v>6.0103348999999998E-5</v>
      </c>
      <c r="F80" s="101">
        <v>3.5728944999999999E-5</v>
      </c>
      <c r="G80" s="101">
        <v>5.7050361999999996E-6</v>
      </c>
      <c r="H80" s="101">
        <v>2.3884829000000001E-5</v>
      </c>
      <c r="I80" s="101">
        <v>0.28134846000000002</v>
      </c>
      <c r="J80" s="101">
        <v>4.0874138000000001E-4</v>
      </c>
      <c r="K80" s="101">
        <v>7.9365464999999996E-2</v>
      </c>
      <c r="L80" s="101">
        <v>1.6162007000000001E-4</v>
      </c>
      <c r="M80" s="101">
        <v>39.029819000000003</v>
      </c>
      <c r="N80" s="101">
        <v>7.9567794999999997E-2</v>
      </c>
      <c r="O80" s="101">
        <v>0.27835485999999998</v>
      </c>
      <c r="P80" s="101">
        <v>39.130445000000002</v>
      </c>
      <c r="Q80" s="106">
        <f t="shared" si="44"/>
        <v>4.1302895993132713</v>
      </c>
      <c r="R80" s="113">
        <f t="shared" si="45"/>
        <v>3.9394644740000002E-4</v>
      </c>
      <c r="S80" s="113">
        <f t="shared" si="46"/>
        <v>0.2813277430094</v>
      </c>
      <c r="T80" s="113">
        <f t="shared" si="47"/>
        <v>7.9337336028E-2</v>
      </c>
      <c r="U80" s="113">
        <f t="shared" si="48"/>
        <v>7.9539666028E-2</v>
      </c>
      <c r="V80" s="113">
        <f t="shared" si="49"/>
        <v>0.27827424707049997</v>
      </c>
      <c r="W80" s="101">
        <f t="shared" si="15"/>
        <v>3.5459691123245287</v>
      </c>
      <c r="X80" s="101">
        <f t="shared" si="16"/>
        <v>3.4985594102512363</v>
      </c>
      <c r="Y80" s="101">
        <f t="shared" si="50"/>
        <v>491.96139428376631</v>
      </c>
      <c r="Z80" s="101">
        <f t="shared" si="51"/>
        <v>-3.3518858972503583E-4</v>
      </c>
      <c r="AA80" s="2">
        <f t="shared" si="52"/>
        <v>491.54338634482326</v>
      </c>
      <c r="AB80" s="2">
        <f t="shared" si="53"/>
        <v>-483.02690589404472</v>
      </c>
      <c r="AC80" s="2">
        <f t="shared" si="54"/>
        <v>1706.7698736824402</v>
      </c>
      <c r="AD80" s="2">
        <f t="shared" si="55"/>
        <v>-3.4876964733862286</v>
      </c>
      <c r="AE80" s="2">
        <f t="shared" si="56"/>
        <v>141.3005104666068</v>
      </c>
      <c r="AF80" s="2">
        <f t="shared" si="57"/>
        <v>-1.4689550483735065E-3</v>
      </c>
      <c r="AG80">
        <f t="shared" si="58"/>
        <v>246361081.30483139</v>
      </c>
    </row>
    <row r="81" spans="1:33" ht="15">
      <c r="A81">
        <f t="shared" si="59"/>
        <v>64</v>
      </c>
      <c r="C81" s="101">
        <v>1.4068142E-5</v>
      </c>
      <c r="D81" s="101">
        <v>1.1236899E-5</v>
      </c>
      <c r="E81" s="101">
        <v>5.4863420000000002E-5</v>
      </c>
      <c r="F81" s="101">
        <v>1.2099680000000001E-5</v>
      </c>
      <c r="G81" s="101">
        <v>9.9649441000000004E-6</v>
      </c>
      <c r="H81" s="101">
        <v>2.1071299999999999E-5</v>
      </c>
      <c r="I81" s="101">
        <v>0.28149997999999998</v>
      </c>
      <c r="J81" s="101">
        <v>4.1537354999999999E-4</v>
      </c>
      <c r="K81" s="101">
        <v>7.9390952000000001E-2</v>
      </c>
      <c r="L81" s="101">
        <v>1.5438990000000001E-4</v>
      </c>
      <c r="M81" s="101">
        <v>39.047052000000001</v>
      </c>
      <c r="N81" s="101">
        <v>7.9634770999999993E-2</v>
      </c>
      <c r="O81" s="101">
        <v>0.27863847000000003</v>
      </c>
      <c r="P81" s="101">
        <v>39.171024000000003</v>
      </c>
      <c r="Q81" s="106">
        <f t="shared" si="44"/>
        <v>3.9414312988090385</v>
      </c>
      <c r="R81" s="113">
        <f t="shared" si="45"/>
        <v>3.9985542794999999E-4</v>
      </c>
      <c r="S81" s="113">
        <f t="shared" si="46"/>
        <v>0.28148894768794996</v>
      </c>
      <c r="T81" s="113">
        <f t="shared" si="47"/>
        <v>7.9378299479499995E-2</v>
      </c>
      <c r="U81" s="113">
        <f t="shared" si="48"/>
        <v>7.9622118479499987E-2</v>
      </c>
      <c r="V81" s="113">
        <f t="shared" si="49"/>
        <v>0.27857798813050005</v>
      </c>
      <c r="W81" s="101">
        <f t="shared" ref="W81:W97" si="60">IF(AND(A81&gt;0,NOT(A81="***")),S81/T81,"")</f>
        <v>3.546170043119234</v>
      </c>
      <c r="X81" s="101">
        <f t="shared" ref="X81:X97" si="61">IF(AND(A81&gt;0,NOT(A81="***")),V81/U81,"")</f>
        <v>3.4987512697520664</v>
      </c>
      <c r="Y81" s="101">
        <f t="shared" si="50"/>
        <v>491.96158992033378</v>
      </c>
      <c r="Z81" s="101">
        <f t="shared" si="51"/>
        <v>-3.34662479793073E-4</v>
      </c>
      <c r="AA81" s="2">
        <f t="shared" si="52"/>
        <v>491.54436374164987</v>
      </c>
      <c r="AB81" s="2">
        <f t="shared" si="53"/>
        <v>-483.02684915834328</v>
      </c>
      <c r="AC81" s="2">
        <f t="shared" si="54"/>
        <v>1706.8684905935017</v>
      </c>
      <c r="AD81" s="2">
        <f t="shared" si="55"/>
        <v>-3.4878901658151196</v>
      </c>
      <c r="AE81" s="2">
        <f t="shared" si="56"/>
        <v>141.29272803452028</v>
      </c>
      <c r="AF81" s="2">
        <f t="shared" si="57"/>
        <v>-1.4688760938936399E-3</v>
      </c>
      <c r="AG81">
        <f t="shared" si="58"/>
        <v>246388737.10917708</v>
      </c>
    </row>
    <row r="82" spans="1:33" ht="15">
      <c r="A82">
        <f t="shared" si="59"/>
        <v>65</v>
      </c>
      <c r="C82" s="101">
        <v>3.9501924999999997E-5</v>
      </c>
      <c r="D82" s="101">
        <v>3.0880901E-5</v>
      </c>
      <c r="E82" s="101">
        <v>5.1494386999999997E-5</v>
      </c>
      <c r="F82" s="101">
        <v>1.3300142999999999E-5</v>
      </c>
      <c r="G82" s="101">
        <v>1.7566591000000001E-5</v>
      </c>
      <c r="H82" s="101">
        <v>1.7044677999999999E-5</v>
      </c>
      <c r="I82" s="101">
        <v>0.28287658999999998</v>
      </c>
      <c r="J82" s="101">
        <v>4.1963442E-4</v>
      </c>
      <c r="K82" s="101">
        <v>7.9753350000000001E-2</v>
      </c>
      <c r="L82" s="101">
        <v>1.4322432000000001E-4</v>
      </c>
      <c r="M82" s="101">
        <v>39.233811000000003</v>
      </c>
      <c r="N82" s="101">
        <v>7.9743347000000006E-2</v>
      </c>
      <c r="O82" s="101">
        <v>0.27892050000000002</v>
      </c>
      <c r="P82" s="101">
        <v>39.208317000000001</v>
      </c>
      <c r="Q82" s="106">
        <f t="shared" si="44"/>
        <v>3.6529066014233664</v>
      </c>
      <c r="R82" s="113">
        <f t="shared" si="45"/>
        <v>4.0232878549999998E-4</v>
      </c>
      <c r="S82" s="113">
        <f t="shared" si="46"/>
        <v>0.28286115663299999</v>
      </c>
      <c r="T82" s="113">
        <f t="shared" si="47"/>
        <v>7.9718158587000001E-2</v>
      </c>
      <c r="U82" s="113">
        <f t="shared" si="48"/>
        <v>7.9708155587000007E-2</v>
      </c>
      <c r="V82" s="113">
        <f t="shared" si="49"/>
        <v>0.27885356516250004</v>
      </c>
      <c r="W82" s="101">
        <f t="shared" si="60"/>
        <v>3.5482650583844197</v>
      </c>
      <c r="X82" s="101">
        <f t="shared" si="61"/>
        <v>3.4984320375866234</v>
      </c>
      <c r="Y82" s="101">
        <f t="shared" si="50"/>
        <v>491.89843512568592</v>
      </c>
      <c r="Z82" s="101">
        <f t="shared" si="51"/>
        <v>-1.0772899506159765E-4</v>
      </c>
      <c r="AA82" s="2">
        <f t="shared" si="52"/>
        <v>491.81650721159281</v>
      </c>
      <c r="AB82" s="2">
        <f t="shared" si="53"/>
        <v>-482.85511356344369</v>
      </c>
      <c r="AC82" s="2">
        <f t="shared" si="54"/>
        <v>1708.0529320291093</v>
      </c>
      <c r="AD82" s="2">
        <f t="shared" si="55"/>
        <v>-3.4883621091301804</v>
      </c>
      <c r="AE82" s="2">
        <f t="shared" si="56"/>
        <v>141.24935377770836</v>
      </c>
      <c r="AF82" s="2">
        <f t="shared" si="57"/>
        <v>-1.468967960633156E-3</v>
      </c>
      <c r="AG82">
        <f t="shared" si="58"/>
        <v>246567805.08134219</v>
      </c>
    </row>
    <row r="83" spans="1:33" ht="15">
      <c r="A83">
        <f t="shared" si="59"/>
        <v>66</v>
      </c>
      <c r="C83" s="101">
        <v>1.9182051999999999E-5</v>
      </c>
      <c r="D83" s="101">
        <v>2.9714514E-5</v>
      </c>
      <c r="E83" s="101">
        <v>5.2656074999999997E-5</v>
      </c>
      <c r="F83" s="101">
        <v>1.7591923999999999E-5</v>
      </c>
      <c r="G83" s="101">
        <v>2.594903E-5</v>
      </c>
      <c r="H83" s="101">
        <v>3.1566623E-5</v>
      </c>
      <c r="I83" s="101">
        <v>0.27966550000000001</v>
      </c>
      <c r="J83" s="101">
        <v>3.9760038999999997E-4</v>
      </c>
      <c r="K83" s="101">
        <v>7.8885696000000005E-2</v>
      </c>
      <c r="L83" s="101">
        <v>1.1302173E-4</v>
      </c>
      <c r="M83" s="101">
        <v>38.802748999999999</v>
      </c>
      <c r="N83" s="101">
        <v>7.8876131000000002E-2</v>
      </c>
      <c r="O83" s="101">
        <v>0.27601309000000002</v>
      </c>
      <c r="P83" s="101">
        <v>38.802461000000001</v>
      </c>
      <c r="Q83" s="106">
        <f t="shared" si="44"/>
        <v>2.912746436366497</v>
      </c>
      <c r="R83" s="113">
        <f t="shared" si="45"/>
        <v>3.688425635E-4</v>
      </c>
      <c r="S83" s="113">
        <f t="shared" si="46"/>
        <v>0.27964372952299998</v>
      </c>
      <c r="T83" s="113">
        <f t="shared" si="47"/>
        <v>7.886124771700001E-2</v>
      </c>
      <c r="U83" s="113">
        <f t="shared" si="48"/>
        <v>7.8851682717000007E-2</v>
      </c>
      <c r="V83" s="113">
        <f t="shared" si="49"/>
        <v>0.27594557666800001</v>
      </c>
      <c r="W83" s="101">
        <f t="shared" si="60"/>
        <v>3.5460221289742235</v>
      </c>
      <c r="X83" s="101">
        <f t="shared" si="61"/>
        <v>3.4995521612185914</v>
      </c>
      <c r="Y83" s="101">
        <f t="shared" si="50"/>
        <v>492.09426689424845</v>
      </c>
      <c r="Z83" s="101">
        <f t="shared" si="51"/>
        <v>-4.2496140543860626E-4</v>
      </c>
      <c r="AA83" s="2">
        <f t="shared" si="52"/>
        <v>491.54340846951811</v>
      </c>
      <c r="AB83" s="2">
        <f t="shared" si="53"/>
        <v>-483.20086657943096</v>
      </c>
      <c r="AC83" s="2">
        <f t="shared" si="54"/>
        <v>1707.1004829310577</v>
      </c>
      <c r="AD83" s="2">
        <f t="shared" si="55"/>
        <v>-3.4883763027968095</v>
      </c>
      <c r="AE83" s="2">
        <f t="shared" si="56"/>
        <v>141.32389220586521</v>
      </c>
      <c r="AF83" s="2">
        <f t="shared" si="57"/>
        <v>-1.4691981650486769E-3</v>
      </c>
      <c r="AG83">
        <f t="shared" si="58"/>
        <v>246412625.00894716</v>
      </c>
    </row>
    <row r="84" spans="1:33" ht="15">
      <c r="A84">
        <f t="shared" si="59"/>
        <v>67</v>
      </c>
      <c r="C84" s="101">
        <v>5.5231583999999998E-6</v>
      </c>
      <c r="D84" s="101">
        <v>8.8367596000000007E-6</v>
      </c>
      <c r="E84" s="101">
        <v>6.1319285999999996E-5</v>
      </c>
      <c r="F84" s="101">
        <v>1.5393595000000001E-5</v>
      </c>
      <c r="G84" s="101">
        <v>1.2796043E-5</v>
      </c>
      <c r="H84" s="101">
        <v>4.8275575000000001E-5</v>
      </c>
      <c r="I84" s="101">
        <v>0.27941846999999997</v>
      </c>
      <c r="J84" s="101">
        <v>4.0216459000000002E-4</v>
      </c>
      <c r="K84" s="101">
        <v>7.8818168999999993E-2</v>
      </c>
      <c r="L84" s="101">
        <v>1.2866108E-4</v>
      </c>
      <c r="M84" s="101">
        <v>38.766762999999997</v>
      </c>
      <c r="N84" s="101">
        <v>7.8692334000000003E-2</v>
      </c>
      <c r="O84" s="101">
        <v>0.27539269</v>
      </c>
      <c r="P84" s="101">
        <v>38.712201</v>
      </c>
      <c r="Q84" s="106">
        <f t="shared" si="44"/>
        <v>3.3235278975742037</v>
      </c>
      <c r="R84" s="113">
        <f t="shared" si="45"/>
        <v>3.7162878100000001E-4</v>
      </c>
      <c r="S84" s="113">
        <f t="shared" si="46"/>
        <v>0.27940437518099998</v>
      </c>
      <c r="T84" s="113">
        <f t="shared" si="47"/>
        <v>7.8810989040999993E-2</v>
      </c>
      <c r="U84" s="113">
        <f t="shared" si="48"/>
        <v>7.8685154041000002E-2</v>
      </c>
      <c r="V84" s="113">
        <f t="shared" si="49"/>
        <v>0.27532695233420001</v>
      </c>
      <c r="W84" s="101">
        <f t="shared" si="60"/>
        <v>3.5452464000374984</v>
      </c>
      <c r="X84" s="101">
        <f t="shared" si="61"/>
        <v>3.499096566434083</v>
      </c>
      <c r="Y84" s="101">
        <f t="shared" si="50"/>
        <v>491.98862824654907</v>
      </c>
      <c r="Z84" s="101">
        <f t="shared" si="51"/>
        <v>-4.5421725140242267E-4</v>
      </c>
      <c r="AA84" s="2">
        <f t="shared" si="52"/>
        <v>491.39461204910924</v>
      </c>
      <c r="AB84" s="2">
        <f t="shared" si="53"/>
        <v>-483.11121657163551</v>
      </c>
      <c r="AC84" s="2">
        <f t="shared" si="54"/>
        <v>1706.3093288495793</v>
      </c>
      <c r="AD84" s="2">
        <f t="shared" si="55"/>
        <v>-3.4878182555637678</v>
      </c>
      <c r="AE84" s="2">
        <f t="shared" si="56"/>
        <v>141.30600308532766</v>
      </c>
      <c r="AF84" s="2">
        <f t="shared" si="57"/>
        <v>-1.468715220118348E-3</v>
      </c>
      <c r="AG84">
        <f t="shared" si="58"/>
        <v>246319459.89659446</v>
      </c>
    </row>
    <row r="85" spans="1:33" ht="15">
      <c r="A85">
        <f t="shared" si="59"/>
        <v>68</v>
      </c>
      <c r="C85" s="101">
        <v>5.5451413999999999E-6</v>
      </c>
      <c r="D85" s="101">
        <v>1.7814141000000002E-5</v>
      </c>
      <c r="E85" s="101">
        <v>5.9181702000000002E-5</v>
      </c>
      <c r="F85" s="101">
        <v>2.2843284E-6</v>
      </c>
      <c r="G85" s="101">
        <v>7.3902456000000002E-6</v>
      </c>
      <c r="H85" s="101">
        <v>3.9996329999999997E-5</v>
      </c>
      <c r="I85" s="101">
        <v>0.27478532</v>
      </c>
      <c r="J85" s="101">
        <v>4.095479E-4</v>
      </c>
      <c r="K85" s="101">
        <v>7.7509557000000007E-2</v>
      </c>
      <c r="L85" s="101">
        <v>1.3251248999999999E-4</v>
      </c>
      <c r="M85" s="101">
        <v>38.127670000000002</v>
      </c>
      <c r="N85" s="101">
        <v>7.7247950999999995E-2</v>
      </c>
      <c r="O85" s="101">
        <v>0.27029639999999999</v>
      </c>
      <c r="P85" s="101">
        <v>38.001925</v>
      </c>
      <c r="Q85" s="106">
        <f t="shared" si="44"/>
        <v>3.4869941456913036</v>
      </c>
      <c r="R85" s="113">
        <f t="shared" si="45"/>
        <v>3.8585461219999999E-4</v>
      </c>
      <c r="S85" s="113">
        <f t="shared" si="46"/>
        <v>0.27478048271299998</v>
      </c>
      <c r="T85" s="113">
        <f t="shared" si="47"/>
        <v>7.749787735880001E-2</v>
      </c>
      <c r="U85" s="113">
        <f t="shared" si="48"/>
        <v>7.7236271358799999E-2</v>
      </c>
      <c r="V85" s="113">
        <f t="shared" si="49"/>
        <v>0.27022831122750002</v>
      </c>
      <c r="W85" s="101">
        <f t="shared" si="60"/>
        <v>3.5456517272185417</v>
      </c>
      <c r="X85" s="101">
        <f t="shared" si="61"/>
        <v>3.4987228988846217</v>
      </c>
      <c r="Y85" s="101">
        <f t="shared" si="50"/>
        <v>492.0217448543392</v>
      </c>
      <c r="Z85" s="101">
        <f t="shared" si="51"/>
        <v>-3.8055474596832201E-4</v>
      </c>
      <c r="AA85" s="2">
        <f t="shared" si="52"/>
        <v>491.53661584876841</v>
      </c>
      <c r="AB85" s="2">
        <f t="shared" si="53"/>
        <v>-483.10812743079794</v>
      </c>
      <c r="AC85" s="2">
        <f t="shared" si="54"/>
        <v>1706.7472243379405</v>
      </c>
      <c r="AD85" s="2">
        <f t="shared" si="55"/>
        <v>-3.4877018631009715</v>
      </c>
      <c r="AE85" s="2">
        <f t="shared" si="56"/>
        <v>141.32344071201464</v>
      </c>
      <c r="AF85" s="2">
        <f t="shared" si="57"/>
        <v>-1.4691799140975001E-3</v>
      </c>
      <c r="AG85">
        <f t="shared" si="58"/>
        <v>246339315.96531507</v>
      </c>
    </row>
    <row r="86" spans="1:33" ht="15">
      <c r="A86">
        <f t="shared" si="59"/>
        <v>69</v>
      </c>
      <c r="C86" s="101">
        <v>-1.4017022999999999E-5</v>
      </c>
      <c r="D86" s="101">
        <v>2.2399793999999999E-5</v>
      </c>
      <c r="E86" s="101">
        <v>6.0077378999999998E-5</v>
      </c>
      <c r="F86" s="101">
        <v>1.4709588E-6</v>
      </c>
      <c r="G86" s="101">
        <v>1.3243421E-5</v>
      </c>
      <c r="H86" s="101">
        <v>2.8021651999999998E-5</v>
      </c>
      <c r="I86" s="101">
        <v>0.27148004999999997</v>
      </c>
      <c r="J86" s="101">
        <v>3.8805441999999998E-4</v>
      </c>
      <c r="K86" s="101">
        <v>7.6570469000000002E-2</v>
      </c>
      <c r="L86" s="101">
        <v>1.3518730000000001E-4</v>
      </c>
      <c r="M86" s="101">
        <v>37.668892</v>
      </c>
      <c r="N86" s="101">
        <v>7.6247005000000007E-2</v>
      </c>
      <c r="O86" s="101">
        <v>0.26682640000000002</v>
      </c>
      <c r="P86" s="101">
        <v>37.510846999999998</v>
      </c>
      <c r="Q86" s="106">
        <f t="shared" si="44"/>
        <v>3.6039522114763236</v>
      </c>
      <c r="R86" s="113">
        <f t="shared" si="45"/>
        <v>3.6742188349999998E-4</v>
      </c>
      <c r="S86" s="113">
        <f t="shared" si="46"/>
        <v>0.27147269281009995</v>
      </c>
      <c r="T86" s="113">
        <f t="shared" si="47"/>
        <v>7.6566277614500008E-2</v>
      </c>
      <c r="U86" s="113">
        <f t="shared" si="48"/>
        <v>7.6242813614500013E-2</v>
      </c>
      <c r="V86" s="113">
        <f t="shared" si="49"/>
        <v>0.26675512272400004</v>
      </c>
      <c r="W86" s="101">
        <f t="shared" si="60"/>
        <v>3.5455908432289891</v>
      </c>
      <c r="X86" s="101">
        <f t="shared" si="61"/>
        <v>3.4987575887843154</v>
      </c>
      <c r="Y86" s="101">
        <f t="shared" si="50"/>
        <v>491.99190352106979</v>
      </c>
      <c r="Z86" s="101">
        <f t="shared" si="51"/>
        <v>-3.8957446529506897E-4</v>
      </c>
      <c r="AA86" s="2">
        <f t="shared" si="52"/>
        <v>491.49346842964252</v>
      </c>
      <c r="AB86" s="2">
        <f t="shared" si="53"/>
        <v>-483.08317377922907</v>
      </c>
      <c r="AC86" s="2">
        <f t="shared" si="54"/>
        <v>1706.5988598983117</v>
      </c>
      <c r="AD86" s="2">
        <f t="shared" si="55"/>
        <v>-3.4877049685557617</v>
      </c>
      <c r="AE86" s="2">
        <f t="shared" si="56"/>
        <v>141.31186519851974</v>
      </c>
      <c r="AF86" s="2">
        <f t="shared" si="57"/>
        <v>-1.4689734649649701E-3</v>
      </c>
      <c r="AG86">
        <f t="shared" si="58"/>
        <v>246335358.75259054</v>
      </c>
    </row>
    <row r="87" spans="1:33" ht="15">
      <c r="A87">
        <f t="shared" si="59"/>
        <v>70</v>
      </c>
      <c r="C87" s="101">
        <v>-5.0506293000000004E-6</v>
      </c>
      <c r="D87" s="101">
        <v>1.4003963000000001E-5</v>
      </c>
      <c r="E87" s="101">
        <v>6.2922478000000006E-5</v>
      </c>
      <c r="F87" s="101">
        <v>-1.3899776E-5</v>
      </c>
      <c r="G87" s="101">
        <v>1.3504390999999999E-5</v>
      </c>
      <c r="H87" s="101">
        <v>3.3041816999999999E-5</v>
      </c>
      <c r="I87" s="101">
        <v>0.26625193000000003</v>
      </c>
      <c r="J87" s="101">
        <v>3.8269231000000002E-4</v>
      </c>
      <c r="K87" s="101">
        <v>7.5080015E-2</v>
      </c>
      <c r="L87" s="101">
        <v>1.3969646999999999E-4</v>
      </c>
      <c r="M87" s="101">
        <v>36.946801000000001</v>
      </c>
      <c r="N87" s="101">
        <v>7.4815683999999993E-2</v>
      </c>
      <c r="O87" s="101">
        <v>0.26174227</v>
      </c>
      <c r="P87" s="101">
        <v>36.799379999999999</v>
      </c>
      <c r="Q87" s="106">
        <f t="shared" si="44"/>
        <v>3.7961636853664378</v>
      </c>
      <c r="R87" s="113">
        <f t="shared" si="45"/>
        <v>3.5941920600000003E-4</v>
      </c>
      <c r="S87" s="113">
        <f t="shared" si="46"/>
        <v>0.26625212769250001</v>
      </c>
      <c r="T87" s="113">
        <f t="shared" si="47"/>
        <v>7.5075538333150005E-2</v>
      </c>
      <c r="U87" s="113">
        <f t="shared" si="48"/>
        <v>7.4811207333149998E-2</v>
      </c>
      <c r="V87" s="113">
        <f t="shared" si="49"/>
        <v>0.26167234554050001</v>
      </c>
      <c r="W87" s="101">
        <f t="shared" si="60"/>
        <v>3.5464564571085462</v>
      </c>
      <c r="X87" s="101">
        <f t="shared" si="61"/>
        <v>3.4977693165038515</v>
      </c>
      <c r="Y87" s="101">
        <f t="shared" si="50"/>
        <v>491.89661966187288</v>
      </c>
      <c r="Z87" s="101">
        <f t="shared" si="51"/>
        <v>-2.1403882579290549E-4</v>
      </c>
      <c r="AA87" s="2">
        <f t="shared" si="52"/>
        <v>491.65766293304608</v>
      </c>
      <c r="AB87" s="2">
        <f t="shared" si="53"/>
        <v>-482.9046965608452</v>
      </c>
      <c r="AC87" s="2">
        <f t="shared" si="54"/>
        <v>1706.9899593199284</v>
      </c>
      <c r="AD87" s="2">
        <f t="shared" si="55"/>
        <v>-3.4873286665994008</v>
      </c>
      <c r="AE87" s="2">
        <f t="shared" si="56"/>
        <v>141.29058236272607</v>
      </c>
      <c r="AF87" s="2">
        <f t="shared" si="57"/>
        <v>-1.4690798487326936E-3</v>
      </c>
      <c r="AG87">
        <f t="shared" si="58"/>
        <v>246369034.75549725</v>
      </c>
    </row>
    <row r="88" spans="1:33" ht="15">
      <c r="A88">
        <f t="shared" si="59"/>
        <v>71</v>
      </c>
      <c r="C88" s="101">
        <v>9.7521728E-7</v>
      </c>
      <c r="D88" s="101">
        <v>2.02094E-5</v>
      </c>
      <c r="E88" s="101">
        <v>4.8369165999999998E-5</v>
      </c>
      <c r="F88" s="101">
        <v>1.6754091000000001E-5</v>
      </c>
      <c r="G88" s="101">
        <v>3.9148965999999999E-6</v>
      </c>
      <c r="H88" s="101">
        <v>1.0706628E-5</v>
      </c>
      <c r="I88" s="101">
        <v>0.25071378</v>
      </c>
      <c r="J88" s="101">
        <v>3.6207564E-4</v>
      </c>
      <c r="K88" s="101">
        <v>7.0717968000000006E-2</v>
      </c>
      <c r="L88" s="101">
        <v>8.9075761000000005E-5</v>
      </c>
      <c r="M88" s="101">
        <v>34.793486999999999</v>
      </c>
      <c r="N88" s="101">
        <v>7.0027307999999996E-2</v>
      </c>
      <c r="O88" s="101">
        <v>0.24499750000000001</v>
      </c>
      <c r="P88" s="101">
        <v>34.448585000000001</v>
      </c>
      <c r="Q88" s="106">
        <f t="shared" si="44"/>
        <v>2.5857596473120741</v>
      </c>
      <c r="R88" s="113">
        <f t="shared" si="45"/>
        <v>3.5476487770000001E-4</v>
      </c>
      <c r="S88" s="113">
        <f t="shared" si="46"/>
        <v>0.2507034455062</v>
      </c>
      <c r="T88" s="113">
        <f t="shared" si="47"/>
        <v>7.070737569136E-2</v>
      </c>
      <c r="U88" s="113">
        <f t="shared" si="48"/>
        <v>7.001671569135999E-2</v>
      </c>
      <c r="V88" s="113">
        <f t="shared" si="49"/>
        <v>0.24493902613400001</v>
      </c>
      <c r="W88" s="101">
        <f t="shared" si="60"/>
        <v>3.5456477213993729</v>
      </c>
      <c r="X88" s="101">
        <f t="shared" si="61"/>
        <v>3.4982935676919404</v>
      </c>
      <c r="Y88" s="101">
        <f t="shared" si="50"/>
        <v>492.00515419564204</v>
      </c>
      <c r="Z88" s="101">
        <f t="shared" si="51"/>
        <v>-3.3994814743209156E-4</v>
      </c>
      <c r="AA88" s="2">
        <f t="shared" si="52"/>
        <v>491.58006710828568</v>
      </c>
      <c r="AB88" s="2">
        <f t="shared" si="53"/>
        <v>-483.07218574863515</v>
      </c>
      <c r="AC88" s="2">
        <f t="shared" si="54"/>
        <v>1706.758028298658</v>
      </c>
      <c r="AD88" s="2">
        <f t="shared" si="55"/>
        <v>-3.4874141828710425</v>
      </c>
      <c r="AE88" s="2">
        <f t="shared" si="56"/>
        <v>141.32875296545933</v>
      </c>
      <c r="AF88" s="2">
        <f t="shared" si="57"/>
        <v>-1.4693218637355423E-3</v>
      </c>
      <c r="AG88">
        <f t="shared" si="58"/>
        <v>246318719.51956442</v>
      </c>
    </row>
    <row r="89" spans="1:33" ht="15">
      <c r="A89">
        <f t="shared" si="59"/>
        <v>72</v>
      </c>
      <c r="C89" s="101">
        <v>6.5011877000000004E-6</v>
      </c>
      <c r="D89" s="101">
        <v>3.9148965999999999E-6</v>
      </c>
      <c r="E89" s="101">
        <v>6.5705891999999995E-5</v>
      </c>
      <c r="F89" s="101">
        <v>7.8581837000000002E-6</v>
      </c>
      <c r="G89" s="101">
        <v>1.8337779999999999E-6</v>
      </c>
      <c r="H89" s="101">
        <v>2.2070111000000001E-5</v>
      </c>
      <c r="I89" s="101">
        <v>0.24232005000000001</v>
      </c>
      <c r="J89" s="101">
        <v>3.3454005E-4</v>
      </c>
      <c r="K89" s="101">
        <v>6.8355312000000001E-2</v>
      </c>
      <c r="L89" s="101">
        <v>1.1048143E-4</v>
      </c>
      <c r="M89" s="101">
        <v>33.629159999999999</v>
      </c>
      <c r="N89" s="101">
        <v>6.7726066000000001E-2</v>
      </c>
      <c r="O89" s="101">
        <v>0.23703115999999999</v>
      </c>
      <c r="P89" s="101">
        <v>33.324266000000001</v>
      </c>
      <c r="Q89" s="106">
        <f t="shared" si="44"/>
        <v>3.3153447400761955</v>
      </c>
      <c r="R89" s="113">
        <f t="shared" si="45"/>
        <v>3.2258810550000002E-4</v>
      </c>
      <c r="S89" s="113">
        <f t="shared" si="46"/>
        <v>0.24231520401915002</v>
      </c>
      <c r="T89" s="113">
        <f t="shared" si="47"/>
        <v>6.8350103957850003E-2</v>
      </c>
      <c r="U89" s="113">
        <f t="shared" si="48"/>
        <v>6.7720857957850003E-2</v>
      </c>
      <c r="V89" s="113">
        <f t="shared" si="49"/>
        <v>0.23696349665969998</v>
      </c>
      <c r="W89" s="101">
        <f t="shared" si="60"/>
        <v>3.545206078524481</v>
      </c>
      <c r="X89" s="101">
        <f t="shared" si="61"/>
        <v>3.4991213018474743</v>
      </c>
      <c r="Y89" s="101">
        <f t="shared" si="50"/>
        <v>492.0827497599231</v>
      </c>
      <c r="Z89" s="101">
        <f t="shared" si="51"/>
        <v>-4.603576740767373E-4</v>
      </c>
      <c r="AA89" s="2">
        <f t="shared" si="52"/>
        <v>491.47953731918761</v>
      </c>
      <c r="AB89" s="2">
        <f t="shared" si="53"/>
        <v>-483.20665506840476</v>
      </c>
      <c r="AC89" s="2">
        <f t="shared" si="54"/>
        <v>1706.6051751331811</v>
      </c>
      <c r="AD89" s="2">
        <f t="shared" si="55"/>
        <v>-3.4878218776869949</v>
      </c>
      <c r="AE89" s="2">
        <f t="shared" si="56"/>
        <v>141.34196268042774</v>
      </c>
      <c r="AF89" s="2">
        <f t="shared" si="57"/>
        <v>-1.4692585213429657E-3</v>
      </c>
      <c r="AG89">
        <f t="shared" si="58"/>
        <v>246316754.73819265</v>
      </c>
    </row>
    <row r="90" spans="1:33" ht="15">
      <c r="A90">
        <f t="shared" si="59"/>
        <v>73</v>
      </c>
      <c r="C90" s="101">
        <v>-7.1365210000000001E-6</v>
      </c>
      <c r="D90" s="101">
        <v>1.4166669E-5</v>
      </c>
      <c r="E90" s="101">
        <v>4.1777560000000002E-5</v>
      </c>
      <c r="F90" s="101">
        <v>-6.8123542000000001E-6</v>
      </c>
      <c r="G90" s="101">
        <v>-9.7295403999999998E-6</v>
      </c>
      <c r="H90" s="101">
        <v>2.9273016E-5</v>
      </c>
      <c r="I90" s="101">
        <v>0.23379791999999999</v>
      </c>
      <c r="J90" s="101">
        <v>3.3966306000000001E-4</v>
      </c>
      <c r="K90" s="101">
        <v>6.5972246999999998E-2</v>
      </c>
      <c r="L90" s="101">
        <v>1.0761377E-4</v>
      </c>
      <c r="M90" s="101">
        <v>32.453395999999998</v>
      </c>
      <c r="N90" s="101">
        <v>6.5545256999999996E-2</v>
      </c>
      <c r="O90" s="101">
        <v>0.22932385</v>
      </c>
      <c r="P90" s="101">
        <v>32.245987</v>
      </c>
      <c r="Q90" s="106">
        <f t="shared" si="44"/>
        <v>3.3372763562796206</v>
      </c>
      <c r="R90" s="113">
        <f t="shared" si="45"/>
        <v>3.2989132219999999E-4</v>
      </c>
      <c r="S90" s="113">
        <f t="shared" si="46"/>
        <v>0.23380619094729999</v>
      </c>
      <c r="T90" s="113">
        <f t="shared" si="47"/>
        <v>6.5968731926000002E-2</v>
      </c>
      <c r="U90" s="113">
        <f t="shared" si="48"/>
        <v>6.5541741925999999E-2</v>
      </c>
      <c r="V90" s="113">
        <f t="shared" si="49"/>
        <v>0.22927498910549998</v>
      </c>
      <c r="W90" s="101">
        <f t="shared" si="60"/>
        <v>3.5441971388743774</v>
      </c>
      <c r="X90" s="101">
        <f t="shared" si="61"/>
        <v>3.4981522060302157</v>
      </c>
      <c r="Y90" s="101">
        <f t="shared" si="50"/>
        <v>491.99160798026054</v>
      </c>
      <c r="Z90" s="101">
        <f t="shared" si="51"/>
        <v>-4.6248989690960074E-4</v>
      </c>
      <c r="AA90" s="2">
        <f t="shared" si="52"/>
        <v>491.38533210080953</v>
      </c>
      <c r="AB90" s="2">
        <f t="shared" si="53"/>
        <v>-483.11811669427379</v>
      </c>
      <c r="AC90" s="2">
        <f t="shared" si="54"/>
        <v>1705.7986687081541</v>
      </c>
      <c r="AD90" s="2">
        <f t="shared" si="55"/>
        <v>-3.4868451608052529</v>
      </c>
      <c r="AE90" s="2">
        <f t="shared" si="56"/>
        <v>141.34663389802407</v>
      </c>
      <c r="AF90" s="2">
        <f t="shared" si="57"/>
        <v>-1.4691189969657955E-3</v>
      </c>
      <c r="AG90">
        <f t="shared" si="58"/>
        <v>246177785.38792723</v>
      </c>
    </row>
    <row r="91" spans="1:33" ht="15">
      <c r="A91">
        <f t="shared" si="59"/>
        <v>74</v>
      </c>
      <c r="C91" s="101">
        <v>1.1778404999999999E-5</v>
      </c>
      <c r="D91" s="101">
        <v>2.3272330999999999E-5</v>
      </c>
      <c r="E91" s="101">
        <v>5.7033763000000001E-5</v>
      </c>
      <c r="F91" s="101">
        <v>7.8280282000000001E-6</v>
      </c>
      <c r="G91" s="101">
        <v>1.1711803E-5</v>
      </c>
      <c r="H91" s="101">
        <v>3.3791634999999999E-5</v>
      </c>
      <c r="I91" s="101">
        <v>0.22652306</v>
      </c>
      <c r="J91" s="101">
        <v>3.1788128000000002E-4</v>
      </c>
      <c r="K91" s="101">
        <v>6.3934942999999994E-2</v>
      </c>
      <c r="L91" s="101">
        <v>1.1420715E-4</v>
      </c>
      <c r="M91" s="101">
        <v>31.44257</v>
      </c>
      <c r="N91" s="101">
        <v>6.3186665000000003E-2</v>
      </c>
      <c r="O91" s="101">
        <v>0.22114418999999999</v>
      </c>
      <c r="P91" s="101">
        <v>31.093571000000001</v>
      </c>
      <c r="Q91" s="106">
        <f t="shared" si="44"/>
        <v>3.6730149135974117</v>
      </c>
      <c r="R91" s="113">
        <f t="shared" si="45"/>
        <v>2.9512956100000002E-4</v>
      </c>
      <c r="S91" s="113">
        <f t="shared" si="46"/>
        <v>0.22651329008439999</v>
      </c>
      <c r="T91" s="113">
        <f t="shared" si="47"/>
        <v>6.3917417631999998E-2</v>
      </c>
      <c r="U91" s="113">
        <f t="shared" si="48"/>
        <v>6.3169139632000007E-2</v>
      </c>
      <c r="V91" s="113">
        <f t="shared" si="49"/>
        <v>0.2210755200715</v>
      </c>
      <c r="W91" s="101">
        <f t="shared" si="60"/>
        <v>3.5438429535519442</v>
      </c>
      <c r="X91" s="101">
        <f t="shared" si="61"/>
        <v>3.4997392929427886</v>
      </c>
      <c r="Y91" s="101">
        <f t="shared" si="50"/>
        <v>492.22723597534525</v>
      </c>
      <c r="Z91" s="101">
        <f t="shared" si="51"/>
        <v>-6.4708780780215521E-4</v>
      </c>
      <c r="AA91" s="2">
        <f t="shared" si="52"/>
        <v>491.34744932810025</v>
      </c>
      <c r="AB91" s="2">
        <f t="shared" si="53"/>
        <v>-483.43893870602545</v>
      </c>
      <c r="AC91" s="2">
        <f t="shared" si="54"/>
        <v>1706.1231949032349</v>
      </c>
      <c r="AD91" s="2">
        <f t="shared" si="55"/>
        <v>-3.4877879838488055</v>
      </c>
      <c r="AE91" s="2">
        <f t="shared" si="56"/>
        <v>141.39871742927281</v>
      </c>
      <c r="AF91" s="2">
        <f t="shared" si="57"/>
        <v>-1.4695846639885346E-3</v>
      </c>
      <c r="AG91">
        <f t="shared" si="58"/>
        <v>246219490.52299106</v>
      </c>
    </row>
    <row r="92" spans="1:33" ht="15">
      <c r="A92">
        <f t="shared" si="59"/>
        <v>75</v>
      </c>
      <c r="C92" s="101">
        <v>2.1209613999999999E-5</v>
      </c>
      <c r="D92" s="101">
        <v>1.1763098E-5</v>
      </c>
      <c r="E92" s="101">
        <v>5.2813304000000002E-5</v>
      </c>
      <c r="F92" s="101">
        <v>-1.1727615E-5</v>
      </c>
      <c r="G92" s="101">
        <v>1.0863350999999999E-6</v>
      </c>
      <c r="H92" s="101">
        <v>2.1257364999999998E-5</v>
      </c>
      <c r="I92" s="101">
        <v>0.21916297000000001</v>
      </c>
      <c r="J92" s="101">
        <v>3.0810454999999999E-4</v>
      </c>
      <c r="K92" s="101">
        <v>6.1826818999999998E-2</v>
      </c>
      <c r="L92" s="101">
        <v>1.0332358E-4</v>
      </c>
      <c r="M92" s="101">
        <v>30.421862000000001</v>
      </c>
      <c r="N92" s="101">
        <v>6.1303682999999998E-2</v>
      </c>
      <c r="O92" s="101">
        <v>0.21459027</v>
      </c>
      <c r="P92" s="101">
        <v>30.172779999999999</v>
      </c>
      <c r="Q92" s="106">
        <f t="shared" si="44"/>
        <v>3.4243970890319022</v>
      </c>
      <c r="R92" s="113">
        <f t="shared" si="45"/>
        <v>2.9693269995E-4</v>
      </c>
      <c r="S92" s="113">
        <f t="shared" si="46"/>
        <v>0.21916829063995003</v>
      </c>
      <c r="T92" s="113">
        <f t="shared" si="47"/>
        <v>6.1810332643999995E-2</v>
      </c>
      <c r="U92" s="113">
        <f t="shared" si="48"/>
        <v>6.1287196643999994E-2</v>
      </c>
      <c r="V92" s="113">
        <f t="shared" si="49"/>
        <v>0.214531575147</v>
      </c>
      <c r="W92" s="101">
        <f t="shared" si="60"/>
        <v>3.5458196269911997</v>
      </c>
      <c r="X92" s="101">
        <f t="shared" si="61"/>
        <v>3.5004305449497601</v>
      </c>
      <c r="Y92" s="101">
        <f t="shared" si="50"/>
        <v>492.31783557119036</v>
      </c>
      <c r="Z92" s="101">
        <f t="shared" si="51"/>
        <v>-5.2772445967239361E-4</v>
      </c>
      <c r="AA92" s="2">
        <f t="shared" si="52"/>
        <v>491.61464875627746</v>
      </c>
      <c r="AB92" s="2">
        <f t="shared" si="53"/>
        <v>-483.47024063587708</v>
      </c>
      <c r="AC92" s="2">
        <f t="shared" si="54"/>
        <v>1707.5989510090901</v>
      </c>
      <c r="AD92" s="2">
        <f t="shared" si="55"/>
        <v>-3.4888964319310563</v>
      </c>
      <c r="AE92" s="2">
        <f t="shared" si="56"/>
        <v>141.38852557698041</v>
      </c>
      <c r="AF92" s="2">
        <f t="shared" si="57"/>
        <v>-1.4700123279584628E-3</v>
      </c>
      <c r="AG92">
        <f t="shared" si="58"/>
        <v>246434980.69554716</v>
      </c>
    </row>
    <row r="93" spans="1:33" ht="15">
      <c r="A93">
        <f t="shared" si="59"/>
        <v>76</v>
      </c>
      <c r="C93" s="101">
        <v>-3.9904874000000002E-6</v>
      </c>
      <c r="D93" s="101">
        <v>1.6185467999999999E-5</v>
      </c>
      <c r="E93" s="101">
        <v>5.8148342999999998E-5</v>
      </c>
      <c r="F93" s="101">
        <v>2.0586116E-5</v>
      </c>
      <c r="G93" s="101">
        <v>1.7896766000000002E-5</v>
      </c>
      <c r="H93" s="101">
        <v>3.1739093999999999E-5</v>
      </c>
      <c r="I93" s="101">
        <v>0.20377556999999999</v>
      </c>
      <c r="J93" s="101">
        <v>2.9699094E-4</v>
      </c>
      <c r="K93" s="101">
        <v>5.7480057000000001E-2</v>
      </c>
      <c r="L93" s="101">
        <v>6.4337556000000005E-5</v>
      </c>
      <c r="M93" s="101">
        <v>28.285843</v>
      </c>
      <c r="N93" s="101">
        <v>5.6821440000000001E-2</v>
      </c>
      <c r="O93" s="101">
        <v>0.19875382999999999</v>
      </c>
      <c r="P93" s="101">
        <v>27.949127000000001</v>
      </c>
      <c r="Q93" s="106">
        <f t="shared" si="44"/>
        <v>2.3019522577574607</v>
      </c>
      <c r="R93" s="113">
        <f t="shared" si="45"/>
        <v>2.7217300999999997E-4</v>
      </c>
      <c r="S93" s="113">
        <f t="shared" si="46"/>
        <v>0.203756328559</v>
      </c>
      <c r="T93" s="113">
        <f t="shared" si="47"/>
        <v>5.7473959509700003E-2</v>
      </c>
      <c r="U93" s="113">
        <f t="shared" si="48"/>
        <v>5.6815342509700002E-2</v>
      </c>
      <c r="V93" s="113">
        <f t="shared" si="49"/>
        <v>0.19868758892299998</v>
      </c>
      <c r="W93" s="101">
        <f t="shared" si="60"/>
        <v>3.5451938633984597</v>
      </c>
      <c r="X93" s="101">
        <f t="shared" si="61"/>
        <v>3.4970763203456587</v>
      </c>
      <c r="Y93" s="101">
        <f t="shared" si="50"/>
        <v>491.92921780288987</v>
      </c>
      <c r="Z93" s="101">
        <f t="shared" si="51"/>
        <v>-2.6627640390159747E-4</v>
      </c>
      <c r="AA93" s="2">
        <f t="shared" si="52"/>
        <v>491.61304801203426</v>
      </c>
      <c r="AB93" s="2">
        <f t="shared" si="53"/>
        <v>-482.96194558111335</v>
      </c>
      <c r="AC93" s="2">
        <f t="shared" si="54"/>
        <v>1706.4030577992423</v>
      </c>
      <c r="AD93" s="2">
        <f t="shared" si="55"/>
        <v>-3.4864536002937498</v>
      </c>
      <c r="AE93" s="2">
        <f t="shared" si="56"/>
        <v>141.3386047775667</v>
      </c>
      <c r="AF93" s="2">
        <f t="shared" si="57"/>
        <v>-1.469490114728007E-3</v>
      </c>
      <c r="AG93">
        <f t="shared" si="58"/>
        <v>246219407.52426854</v>
      </c>
    </row>
    <row r="94" spans="1:33" ht="15">
      <c r="A94">
        <f t="shared" si="59"/>
        <v>77</v>
      </c>
      <c r="C94" s="101">
        <v>-1.6552598999999999E-5</v>
      </c>
      <c r="D94" s="101">
        <v>2.2163715E-5</v>
      </c>
      <c r="E94" s="101">
        <v>4.1917269000000001E-5</v>
      </c>
      <c r="F94" s="101">
        <v>-6.5116919999999996E-6</v>
      </c>
      <c r="G94" s="101">
        <v>-2.2626005000000001E-7</v>
      </c>
      <c r="H94" s="101">
        <v>1.3495857E-5</v>
      </c>
      <c r="I94" s="101">
        <v>0.18765936999999999</v>
      </c>
      <c r="J94" s="101">
        <v>2.6850768000000002E-4</v>
      </c>
      <c r="K94" s="101">
        <v>5.2953117000000001E-2</v>
      </c>
      <c r="L94" s="101">
        <v>9.7453587000000003E-5</v>
      </c>
      <c r="M94" s="101">
        <v>26.054089000000001</v>
      </c>
      <c r="N94" s="101">
        <v>5.1760010000000002E-2</v>
      </c>
      <c r="O94" s="101">
        <v>0.18110017</v>
      </c>
      <c r="P94" s="101">
        <v>25.467686</v>
      </c>
      <c r="Q94" s="106">
        <f t="shared" si="44"/>
        <v>3.8265583689071709</v>
      </c>
      <c r="R94" s="113">
        <f t="shared" si="45"/>
        <v>2.6187288152500004E-4</v>
      </c>
      <c r="S94" s="113">
        <f t="shared" si="46"/>
        <v>0.18766273897602498</v>
      </c>
      <c r="T94" s="113">
        <f t="shared" si="47"/>
        <v>5.2950311441999999E-2</v>
      </c>
      <c r="U94" s="113">
        <f t="shared" si="48"/>
        <v>5.1757204442E-2</v>
      </c>
      <c r="V94" s="113">
        <f t="shared" si="49"/>
        <v>0.1810471708735</v>
      </c>
      <c r="W94" s="101">
        <f t="shared" si="60"/>
        <v>3.5441290875424682</v>
      </c>
      <c r="X94" s="101">
        <f t="shared" si="61"/>
        <v>3.4980090757487594</v>
      </c>
      <c r="Y94" s="101">
        <f t="shared" si="50"/>
        <v>492.06069521277027</v>
      </c>
      <c r="Z94" s="101">
        <f t="shared" si="51"/>
        <v>-4.5521171131420617E-4</v>
      </c>
      <c r="AA94" s="2">
        <f t="shared" si="52"/>
        <v>491.46509709043306</v>
      </c>
      <c r="AB94" s="2">
        <f t="shared" si="53"/>
        <v>-483.18246820220202</v>
      </c>
      <c r="AC94" s="2">
        <f t="shared" si="54"/>
        <v>1706.017586682867</v>
      </c>
      <c r="AD94" s="2">
        <f t="shared" si="55"/>
        <v>-3.4867276947934798</v>
      </c>
      <c r="AE94" s="2">
        <f t="shared" si="56"/>
        <v>141.3779155209325</v>
      </c>
      <c r="AF94" s="2">
        <f t="shared" si="57"/>
        <v>-1.4696034135453305E-3</v>
      </c>
      <c r="AG94">
        <f t="shared" si="58"/>
        <v>246164636.11353689</v>
      </c>
    </row>
    <row r="95" spans="1:33" ht="15">
      <c r="A95">
        <f t="shared" si="59"/>
        <v>78</v>
      </c>
      <c r="C95" s="101">
        <v>-2.1470706000000001E-5</v>
      </c>
      <c r="D95" s="101">
        <v>1.4021848999999999E-5</v>
      </c>
      <c r="E95" s="101">
        <v>2.1341197E-5</v>
      </c>
      <c r="F95" s="101">
        <v>-1.1269078E-5</v>
      </c>
      <c r="G95" s="101">
        <v>-1.3344378999999999E-6</v>
      </c>
      <c r="H95" s="101">
        <v>2.1539042E-5</v>
      </c>
      <c r="I95" s="101">
        <v>0.17117662</v>
      </c>
      <c r="J95" s="101">
        <v>2.3372749999999999E-4</v>
      </c>
      <c r="K95" s="101">
        <v>4.8285283999999998E-2</v>
      </c>
      <c r="L95" s="101">
        <v>8.9832553000000003E-5</v>
      </c>
      <c r="M95" s="101">
        <v>23.762936</v>
      </c>
      <c r="N95" s="101">
        <v>4.8196679999999999E-2</v>
      </c>
      <c r="O95" s="101">
        <v>0.16868395999999999</v>
      </c>
      <c r="P95" s="101">
        <v>23.718188999999999</v>
      </c>
      <c r="Q95" s="106">
        <f t="shared" si="44"/>
        <v>3.7874962966185994</v>
      </c>
      <c r="R95" s="113">
        <f t="shared" si="45"/>
        <v>2.2362519794999998E-4</v>
      </c>
      <c r="S95" s="113">
        <f t="shared" si="46"/>
        <v>0.17118292175795</v>
      </c>
      <c r="T95" s="113">
        <f t="shared" si="47"/>
        <v>4.8289008428500001E-2</v>
      </c>
      <c r="U95" s="113">
        <f t="shared" si="48"/>
        <v>4.8200404428500002E-2</v>
      </c>
      <c r="V95" s="113">
        <f t="shared" si="49"/>
        <v>0.16865560787849998</v>
      </c>
      <c r="W95" s="101">
        <f t="shared" si="60"/>
        <v>3.5449665944459205</v>
      </c>
      <c r="X95" s="101">
        <f t="shared" si="61"/>
        <v>3.4990496423880018</v>
      </c>
      <c r="Y95" s="101">
        <f t="shared" si="50"/>
        <v>492.07448114223445</v>
      </c>
      <c r="Z95" s="101">
        <f t="shared" si="51"/>
        <v>-4.7597385994177608E-4</v>
      </c>
      <c r="AA95" s="2">
        <f t="shared" si="52"/>
        <v>491.44817615934545</v>
      </c>
      <c r="AB95" s="2">
        <f t="shared" si="53"/>
        <v>-483.20608035917428</v>
      </c>
      <c r="AC95" s="2">
        <f t="shared" si="54"/>
        <v>1706.433837367566</v>
      </c>
      <c r="AD95" s="2">
        <f t="shared" si="55"/>
        <v>-3.4876956774492562</v>
      </c>
      <c r="AE95" s="2">
        <f t="shared" si="56"/>
        <v>141.34390854838844</v>
      </c>
      <c r="AF95" s="2">
        <f t="shared" si="57"/>
        <v>-1.4692161396183344E-3</v>
      </c>
      <c r="AG95">
        <f t="shared" si="58"/>
        <v>246291214.42490664</v>
      </c>
    </row>
    <row r="96" spans="1:33" ht="15">
      <c r="A96">
        <f t="shared" si="59"/>
        <v>79</v>
      </c>
      <c r="C96" s="101">
        <v>-1.6888756E-5</v>
      </c>
      <c r="D96" s="101">
        <v>1.8982348000000001E-5</v>
      </c>
      <c r="E96" s="101">
        <v>3.8590482E-5</v>
      </c>
      <c r="F96" s="101">
        <v>-1.4243346E-5</v>
      </c>
      <c r="G96" s="101">
        <v>1.3328285E-5</v>
      </c>
      <c r="H96" s="101">
        <v>1.5833479999999999E-5</v>
      </c>
      <c r="I96" s="101">
        <v>0.16986238000000001</v>
      </c>
      <c r="J96" s="101">
        <v>2.3646432999999999E-4</v>
      </c>
      <c r="K96" s="101">
        <v>4.7889874999999998E-2</v>
      </c>
      <c r="L96" s="101">
        <v>6.4628370000000004E-5</v>
      </c>
      <c r="M96" s="101">
        <v>23.584831000000001</v>
      </c>
      <c r="N96" s="101">
        <v>4.8323164000000002E-2</v>
      </c>
      <c r="O96" s="101">
        <v>0.16908864000000001</v>
      </c>
      <c r="P96" s="101">
        <v>23.775472000000001</v>
      </c>
      <c r="Q96" s="106">
        <f t="shared" si="44"/>
        <v>2.718279157612518</v>
      </c>
      <c r="R96" s="113">
        <f t="shared" si="45"/>
        <v>2.2188344749999998E-4</v>
      </c>
      <c r="S96" s="113">
        <f t="shared" si="46"/>
        <v>0.16986283753049999</v>
      </c>
      <c r="T96" s="113">
        <f t="shared" si="47"/>
        <v>4.7888828203999999E-2</v>
      </c>
      <c r="U96" s="113">
        <f t="shared" si="48"/>
        <v>4.8322117204000002E-2</v>
      </c>
      <c r="V96" s="113">
        <f t="shared" si="49"/>
        <v>0.169040558344</v>
      </c>
      <c r="W96" s="101">
        <f t="shared" si="60"/>
        <v>3.5470243040173597</v>
      </c>
      <c r="X96" s="101">
        <f t="shared" si="61"/>
        <v>3.4982026476689061</v>
      </c>
      <c r="Y96" s="101">
        <f t="shared" si="50"/>
        <v>492.02049445863099</v>
      </c>
      <c r="Z96" s="101">
        <f t="shared" si="51"/>
        <v>-2.0217191837681165E-4</v>
      </c>
      <c r="AA96" s="2">
        <f t="shared" si="52"/>
        <v>491.79902192009439</v>
      </c>
      <c r="AB96" s="2">
        <f t="shared" si="53"/>
        <v>-483.02064159211704</v>
      </c>
      <c r="AC96" s="2">
        <f t="shared" si="54"/>
        <v>1707.7139579346365</v>
      </c>
      <c r="AD96" s="2">
        <f t="shared" si="55"/>
        <v>-3.4878038520911079</v>
      </c>
      <c r="AE96" s="2">
        <f t="shared" si="56"/>
        <v>141.31883016849312</v>
      </c>
      <c r="AF96" s="2">
        <f t="shared" si="57"/>
        <v>-1.4696556087011583E-3</v>
      </c>
      <c r="AG96">
        <f t="shared" si="58"/>
        <v>246441879.40818849</v>
      </c>
    </row>
    <row r="97" spans="3:33" ht="15">
      <c r="C97" s="101">
        <v>-1.7648761999999999E-5</v>
      </c>
      <c r="D97" s="101">
        <v>5.0507939000000003E-6</v>
      </c>
      <c r="E97" s="101">
        <v>3.0852448000000001E-5</v>
      </c>
      <c r="F97" s="101">
        <v>1.2565622000000001E-6</v>
      </c>
      <c r="G97" s="101">
        <v>3.1435126E-6</v>
      </c>
      <c r="H97" s="101">
        <v>1.4543755999999999E-5</v>
      </c>
      <c r="I97" s="101">
        <v>0.17861816999999999</v>
      </c>
      <c r="J97" s="101">
        <v>2.5945249999999998E-4</v>
      </c>
      <c r="K97" s="101">
        <v>5.0413355E-2</v>
      </c>
      <c r="L97" s="101">
        <v>9.8579595999999996E-5</v>
      </c>
      <c r="M97" s="101">
        <v>24.802311</v>
      </c>
      <c r="N97" s="101">
        <v>5.0626547000000001E-2</v>
      </c>
      <c r="O97" s="101">
        <v>0.17712732</v>
      </c>
      <c r="P97" s="101">
        <v>24.909476999999999</v>
      </c>
      <c r="Q97" s="106">
        <f t="shared" si="44"/>
        <v>3.9575136804357633</v>
      </c>
      <c r="R97" s="113">
        <f t="shared" si="45"/>
        <v>2.506088657E-4</v>
      </c>
      <c r="S97" s="113">
        <f t="shared" si="46"/>
        <v>0.17861596996259999</v>
      </c>
      <c r="T97" s="113">
        <f t="shared" si="47"/>
        <v>5.0419653984050003E-2</v>
      </c>
      <c r="U97" s="113">
        <f t="shared" si="48"/>
        <v>5.0632845984050004E-2</v>
      </c>
      <c r="V97" s="113">
        <f t="shared" si="49"/>
        <v>0.17709394215505</v>
      </c>
      <c r="W97" s="101" t="str">
        <f t="shared" si="60"/>
        <v/>
      </c>
      <c r="X97" s="101" t="str">
        <f t="shared" si="61"/>
        <v/>
      </c>
      <c r="Y97" s="101" t="str">
        <f t="shared" si="50"/>
        <v/>
      </c>
      <c r="Z97" s="101" t="str">
        <f t="shared" si="51"/>
        <v/>
      </c>
      <c r="AA97" s="2" t="str">
        <f t="shared" si="52"/>
        <v/>
      </c>
      <c r="AB97" s="2" t="str">
        <f t="shared" si="53"/>
        <v/>
      </c>
      <c r="AC97" s="2" t="str">
        <f t="shared" si="54"/>
        <v/>
      </c>
      <c r="AD97" s="2" t="str">
        <f t="shared" si="55"/>
        <v/>
      </c>
      <c r="AE97" s="2" t="str">
        <f t="shared" si="56"/>
        <v/>
      </c>
      <c r="AF97" s="2" t="str">
        <f t="shared" si="57"/>
        <v/>
      </c>
      <c r="AG97" t="str">
        <f t="shared" si="58"/>
        <v/>
      </c>
    </row>
    <row r="98" spans="3:33" ht="15"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6"/>
      <c r="R98" s="113"/>
      <c r="S98" s="113"/>
      <c r="T98" s="113"/>
      <c r="U98" s="113"/>
      <c r="V98" s="113"/>
      <c r="W98" s="1"/>
      <c r="X98" s="1"/>
      <c r="Y98" s="1"/>
      <c r="Z98" s="1"/>
      <c r="AA98" s="2"/>
      <c r="AB98" s="2"/>
      <c r="AG98"/>
    </row>
  </sheetData>
  <phoneticPr fontId="1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H68"/>
  <sheetViews>
    <sheetView topLeftCell="Q1" workbookViewId="0">
      <selection activeCell="A16" sqref="A16:A25"/>
    </sheetView>
  </sheetViews>
  <sheetFormatPr defaultColWidth="11" defaultRowHeight="12.75"/>
  <cols>
    <col min="1" max="1" width="7.25" customWidth="1"/>
    <col min="2" max="2" width="11" bestFit="1" customWidth="1"/>
    <col min="3" max="7" width="8.25" bestFit="1" customWidth="1"/>
    <col min="8" max="12" width="8.25" customWidth="1"/>
    <col min="13" max="13" width="8.625" bestFit="1" customWidth="1"/>
    <col min="14" max="15" width="8.25" customWidth="1"/>
    <col min="16" max="16" width="8.625" bestFit="1" customWidth="1"/>
    <col min="17" max="22" width="8.25" customWidth="1"/>
    <col min="24" max="24" width="11.875" bestFit="1" customWidth="1"/>
    <col min="25" max="25" width="12.25" bestFit="1" customWidth="1"/>
    <col min="28" max="29" width="11.375" bestFit="1" customWidth="1"/>
    <col min="30" max="31" width="11.375" style="2" bestFit="1" customWidth="1"/>
    <col min="32" max="34" width="11" style="2"/>
  </cols>
  <sheetData>
    <row r="1" spans="1:34" ht="15">
      <c r="A1" t="s">
        <v>81</v>
      </c>
      <c r="W1" s="5" t="s">
        <v>93</v>
      </c>
      <c r="X1" t="s">
        <v>94</v>
      </c>
      <c r="Y1" t="s">
        <v>95</v>
      </c>
      <c r="Z1" t="s">
        <v>96</v>
      </c>
    </row>
    <row r="2" spans="1:34">
      <c r="A2" t="s">
        <v>82</v>
      </c>
      <c r="W2" t="s">
        <v>97</v>
      </c>
      <c r="X2">
        <v>1.0190600000000001</v>
      </c>
      <c r="Y2">
        <v>8.0000000000000007E-5</v>
      </c>
      <c r="Z2" s="51">
        <f>Y2/X2*10^6</f>
        <v>78.503719113693009</v>
      </c>
    </row>
    <row r="3" spans="1:34" ht="15">
      <c r="A3" t="s">
        <v>122</v>
      </c>
      <c r="W3" t="s">
        <v>98</v>
      </c>
      <c r="X3" s="2">
        <v>4.5479999999999998E-5</v>
      </c>
      <c r="Y3" s="102">
        <v>3.7E-8</v>
      </c>
      <c r="Z3" s="51">
        <f>Y3/X3*10^6</f>
        <v>813.54441512752862</v>
      </c>
      <c r="AC3" s="7" t="s">
        <v>83</v>
      </c>
      <c r="AD3" s="26">
        <f>AVERAGE(AA27:AA68)</f>
        <v>491.55326819066966</v>
      </c>
      <c r="AE3" s="26"/>
    </row>
    <row r="4" spans="1:34">
      <c r="A4" t="s">
        <v>123</v>
      </c>
      <c r="W4" t="s">
        <v>84</v>
      </c>
      <c r="X4" s="105">
        <v>2.3481000000000001E-4</v>
      </c>
      <c r="Y4">
        <v>1.9000000000000001E-7</v>
      </c>
      <c r="Z4" s="51">
        <f>Y4/X4*10^6</f>
        <v>809.16485669264512</v>
      </c>
    </row>
    <row r="5" spans="1:34">
      <c r="A5" t="s">
        <v>69</v>
      </c>
      <c r="AD5" s="2" t="s">
        <v>85</v>
      </c>
      <c r="AE5" s="2" t="s">
        <v>86</v>
      </c>
    </row>
    <row r="6" spans="1:34" ht="15">
      <c r="A6" t="s">
        <v>70</v>
      </c>
      <c r="W6" s="12" t="s">
        <v>87</v>
      </c>
      <c r="X6" t="s">
        <v>94</v>
      </c>
      <c r="Y6" t="s">
        <v>88</v>
      </c>
      <c r="AC6" t="s">
        <v>25</v>
      </c>
      <c r="AD6" s="26">
        <f>STDEV(AA27:AA68)/SQRT(COUNT(AA27:AA68))</f>
        <v>1.6395595349914489E-2</v>
      </c>
      <c r="AE6" s="27">
        <f>AD6/AD3*10^6</f>
        <v>33.354666545630138</v>
      </c>
    </row>
    <row r="7" spans="1:34" ht="15">
      <c r="A7" t="s">
        <v>133</v>
      </c>
      <c r="W7" t="s">
        <v>40</v>
      </c>
      <c r="X7">
        <f>SampleStats!C3</f>
        <v>1.5407105733458213E-2</v>
      </c>
      <c r="Y7" s="4">
        <f>SampleStats!H20</f>
        <v>2.6372702871587922E-5</v>
      </c>
      <c r="AC7" t="s">
        <v>41</v>
      </c>
      <c r="AD7" s="26">
        <f>SQRT(AD11+AE11+AF11+AG11+AH11)</f>
        <v>3.8800028558649093E-2</v>
      </c>
      <c r="AE7" s="27">
        <f>AD7/AD3*10^6</f>
        <v>78.933517625599166</v>
      </c>
    </row>
    <row r="8" spans="1:34" ht="15">
      <c r="A8" t="s">
        <v>134</v>
      </c>
      <c r="W8" t="s">
        <v>42</v>
      </c>
      <c r="X8" s="114">
        <f>SampleStats!F20</f>
        <v>491.73284752455925</v>
      </c>
      <c r="Y8">
        <v>0</v>
      </c>
      <c r="AC8" t="s">
        <v>43</v>
      </c>
      <c r="AD8" s="26">
        <f>SQRT(AD6^2+AD7^2)</f>
        <v>4.2121939212601822E-2</v>
      </c>
      <c r="AE8" s="27">
        <f>AD8/AD3*10^6</f>
        <v>85.69150474300794</v>
      </c>
    </row>
    <row r="9" spans="1:34">
      <c r="A9" t="s">
        <v>124</v>
      </c>
      <c r="W9" t="s">
        <v>44</v>
      </c>
      <c r="X9" s="4">
        <f>SampleStats!G20</f>
        <v>1.5340254397992973E-2</v>
      </c>
      <c r="Y9" s="4">
        <f>SampleStats!H20</f>
        <v>2.6372702871587922E-5</v>
      </c>
    </row>
    <row r="10" spans="1:34" ht="15">
      <c r="A10" t="s">
        <v>125</v>
      </c>
      <c r="O10" s="18" t="s">
        <v>149</v>
      </c>
      <c r="Q10" s="106">
        <f>(AVERAGE((Q16:Q20)))</f>
        <v>5.810071137543936</v>
      </c>
      <c r="R10" s="106"/>
      <c r="S10" s="107"/>
      <c r="T10" s="107"/>
      <c r="U10" s="107"/>
      <c r="V10" s="107"/>
    </row>
    <row r="11" spans="1:34" ht="15">
      <c r="A11" t="s">
        <v>137</v>
      </c>
      <c r="C11">
        <v>234.54</v>
      </c>
      <c r="D11">
        <v>235.54</v>
      </c>
      <c r="E11">
        <v>236.54</v>
      </c>
      <c r="F11">
        <v>232.54</v>
      </c>
      <c r="G11">
        <v>233.54</v>
      </c>
      <c r="H11">
        <v>234.54</v>
      </c>
      <c r="I11">
        <v>237.041</v>
      </c>
      <c r="S11" s="107"/>
      <c r="T11" s="107"/>
      <c r="U11" s="107"/>
      <c r="V11" s="107"/>
      <c r="AC11" t="s">
        <v>45</v>
      </c>
      <c r="AD11" s="11">
        <f>AB12^2*Y2^2</f>
        <v>1.4916175265284174E-3</v>
      </c>
      <c r="AE11" s="11">
        <f>AC12^2*Y3^2</f>
        <v>4.0029970272353603E-9</v>
      </c>
      <c r="AF11" s="11">
        <f>AD12^2*Y4^2</f>
        <v>4.4074666801631903E-13</v>
      </c>
      <c r="AG11" s="101">
        <f>AE12^2*Y9^2</f>
        <v>1.3820686185794151E-5</v>
      </c>
      <c r="AH11" s="2">
        <f>AF12^2*Y8^2</f>
        <v>0</v>
      </c>
    </row>
    <row r="12" spans="1:34" ht="15">
      <c r="A12" t="s">
        <v>138</v>
      </c>
      <c r="B12" t="s">
        <v>150</v>
      </c>
      <c r="C12" s="105">
        <f t="shared" ref="C12:H12" si="0">AVERAGE(C16:C68)</f>
        <v>8.6368902646000022E-6</v>
      </c>
      <c r="D12" s="105">
        <f t="shared" si="0"/>
        <v>3.6788705577999999E-5</v>
      </c>
      <c r="E12" s="105">
        <f t="shared" si="0"/>
        <v>7.0676359140000005E-5</v>
      </c>
      <c r="F12" s="105">
        <f t="shared" si="0"/>
        <v>1.3563484062400002E-5</v>
      </c>
      <c r="G12" s="105">
        <f t="shared" si="0"/>
        <v>1.8814647595599999E-5</v>
      </c>
      <c r="H12" s="105">
        <f t="shared" si="0"/>
        <v>3.0128046040000005E-5</v>
      </c>
      <c r="I12" s="105">
        <f>AVERAGE(L16:L68)</f>
        <v>1.5751493620000002E-4</v>
      </c>
      <c r="J12" s="105"/>
      <c r="K12" s="105"/>
      <c r="S12" t="s">
        <v>151</v>
      </c>
      <c r="T12" s="8">
        <f>AVERAGE(T16:T68)</f>
        <v>6.8652741462078684E-2</v>
      </c>
      <c r="U12" s="107"/>
      <c r="V12" t="s">
        <v>151</v>
      </c>
      <c r="W12" s="105">
        <f>AVERAGE(W16:W68)</f>
        <v>3.5535525367565399</v>
      </c>
      <c r="X12" s="105">
        <f>AVERAGE(X16:X68)</f>
        <v>3.5045132704756008</v>
      </c>
      <c r="Y12" s="105">
        <f>AVERAGE(Y16:Y68)</f>
        <v>491.76372823487998</v>
      </c>
      <c r="AA12" t="s">
        <v>46</v>
      </c>
      <c r="AB12" s="2">
        <f>AVERAGE(AB27:AB68)</f>
        <v>-482.76830728628528</v>
      </c>
      <c r="AC12" s="2">
        <f>AVERAGE(AC27:AC68)</f>
        <v>1709.9795229072579</v>
      </c>
      <c r="AD12" s="2">
        <f>AVERAGE(AD27:AD68)</f>
        <v>-3.4941449562834825</v>
      </c>
      <c r="AE12" s="2">
        <f>AVERAGE(AE27:AE68)</f>
        <v>140.96463175179278</v>
      </c>
      <c r="AF12" s="2">
        <f>AVERAGE(AF27:AF68)</f>
        <v>-1.4654829656466091E-3</v>
      </c>
      <c r="AG12"/>
      <c r="AH12"/>
    </row>
    <row r="13" spans="1:34" ht="15">
      <c r="A13" t="s">
        <v>5</v>
      </c>
      <c r="S13" s="107"/>
      <c r="T13" s="107"/>
      <c r="U13" s="107"/>
      <c r="V13" s="107"/>
      <c r="AB13" s="2"/>
      <c r="AC13" s="2"/>
      <c r="AG13" s="9" t="s">
        <v>47</v>
      </c>
      <c r="AH13"/>
    </row>
    <row r="14" spans="1:34" ht="15">
      <c r="C14" s="108" t="s">
        <v>12</v>
      </c>
      <c r="D14" s="108" t="s">
        <v>13</v>
      </c>
      <c r="E14" s="108" t="s">
        <v>12</v>
      </c>
      <c r="F14" s="109" t="s">
        <v>13</v>
      </c>
      <c r="G14" s="109" t="s">
        <v>13</v>
      </c>
      <c r="H14" s="109" t="s">
        <v>13</v>
      </c>
      <c r="I14" s="110" t="s">
        <v>14</v>
      </c>
      <c r="J14" s="110" t="s">
        <v>14</v>
      </c>
      <c r="K14" s="110" t="s">
        <v>14</v>
      </c>
      <c r="L14" s="110" t="s">
        <v>14</v>
      </c>
      <c r="M14" s="110" t="s">
        <v>14</v>
      </c>
      <c r="N14" s="111" t="s">
        <v>152</v>
      </c>
      <c r="O14" s="111" t="s">
        <v>152</v>
      </c>
      <c r="P14" s="111" t="s">
        <v>152</v>
      </c>
      <c r="Q14" s="111"/>
      <c r="R14" s="111" t="s">
        <v>14</v>
      </c>
      <c r="S14" s="111" t="s">
        <v>14</v>
      </c>
      <c r="T14" s="111" t="s">
        <v>14</v>
      </c>
      <c r="U14" s="111" t="s">
        <v>152</v>
      </c>
      <c r="V14" s="111" t="s">
        <v>152</v>
      </c>
      <c r="W14" s="119" t="s">
        <v>166</v>
      </c>
      <c r="X14" s="119" t="s">
        <v>165</v>
      </c>
      <c r="Y14" s="119" t="s">
        <v>164</v>
      </c>
      <c r="Z14" s="9" t="s">
        <v>51</v>
      </c>
      <c r="AA14" s="9" t="s">
        <v>52</v>
      </c>
      <c r="AB14" s="25" t="s">
        <v>53</v>
      </c>
      <c r="AC14" s="25" t="s">
        <v>54</v>
      </c>
      <c r="AD14" s="25" t="s">
        <v>55</v>
      </c>
      <c r="AE14" s="25" t="s">
        <v>56</v>
      </c>
      <c r="AF14" s="25" t="s">
        <v>57</v>
      </c>
      <c r="AG14" s="9" t="s">
        <v>58</v>
      </c>
      <c r="AH14"/>
    </row>
    <row r="15" spans="1:34" ht="15">
      <c r="A15" t="s">
        <v>6</v>
      </c>
      <c r="B15" t="s">
        <v>7</v>
      </c>
      <c r="C15" s="112" t="s">
        <v>153</v>
      </c>
      <c r="D15" s="112" t="s">
        <v>154</v>
      </c>
      <c r="E15" s="112" t="s">
        <v>155</v>
      </c>
      <c r="F15" s="112" t="s">
        <v>156</v>
      </c>
      <c r="G15" s="112" t="s">
        <v>157</v>
      </c>
      <c r="H15" s="112" t="s">
        <v>153</v>
      </c>
      <c r="I15" t="s">
        <v>158</v>
      </c>
      <c r="J15" t="s">
        <v>159</v>
      </c>
      <c r="K15" t="s">
        <v>8</v>
      </c>
      <c r="L15" s="112" t="s">
        <v>160</v>
      </c>
      <c r="M15" t="s">
        <v>9</v>
      </c>
      <c r="N15" t="s">
        <v>161</v>
      </c>
      <c r="O15" t="s">
        <v>162</v>
      </c>
      <c r="P15" t="s">
        <v>163</v>
      </c>
      <c r="R15" s="107" t="s">
        <v>159</v>
      </c>
      <c r="S15" s="107" t="s">
        <v>158</v>
      </c>
      <c r="T15" s="107" t="s">
        <v>8</v>
      </c>
      <c r="U15" s="107" t="s">
        <v>161</v>
      </c>
      <c r="V15" s="107" t="s">
        <v>162</v>
      </c>
      <c r="AB15" s="2"/>
      <c r="AC15" s="2"/>
      <c r="AG15"/>
      <c r="AH15"/>
    </row>
    <row r="16" spans="1:34" ht="15">
      <c r="C16" s="101">
        <v>1.9216741000000001E-5</v>
      </c>
      <c r="D16" s="101">
        <v>3.3150629E-5</v>
      </c>
      <c r="E16" s="101">
        <v>4.8154546E-5</v>
      </c>
      <c r="F16" s="101">
        <v>1.3713966E-5</v>
      </c>
      <c r="G16" s="101">
        <v>8.6219668999999996E-6</v>
      </c>
      <c r="H16" s="101">
        <v>2.5156415999999999E-5</v>
      </c>
      <c r="I16" s="101">
        <v>0.16289052000000001</v>
      </c>
      <c r="J16" s="101">
        <v>2.5552978000000003E-4</v>
      </c>
      <c r="K16" s="101">
        <v>4.5829852999999997E-2</v>
      </c>
      <c r="L16" s="101">
        <v>1.3486248E-4</v>
      </c>
      <c r="M16" s="101">
        <v>22.502756999999999</v>
      </c>
      <c r="N16" s="101">
        <v>4.6476513999999997E-2</v>
      </c>
      <c r="O16" s="101">
        <v>0.16282132999999999</v>
      </c>
      <c r="P16" s="101">
        <v>22.825973999999999</v>
      </c>
      <c r="Q16" s="106">
        <f t="shared" ref="Q16:Q65" si="1">(L16/P16)*1000000</f>
        <v>5.9082902661678318</v>
      </c>
      <c r="R16" s="113">
        <f t="shared" ref="R16:R65" si="2">J16-((G16+H16)/2)</f>
        <v>2.3864058855000003E-4</v>
      </c>
      <c r="S16" s="113">
        <f t="shared" ref="S16:S65" si="3">I16-((F16+G16)/2)</f>
        <v>0.16287935203355</v>
      </c>
      <c r="T16" s="113">
        <f t="shared" ref="T16:T65" si="4">K16-((C16+D16)/2)</f>
        <v>4.5803669314999997E-2</v>
      </c>
      <c r="U16" s="113">
        <f t="shared" ref="U16:U65" si="5">N16-((D16+C16)/2)</f>
        <v>4.6450330314999996E-2</v>
      </c>
      <c r="V16" s="113">
        <f>O16-((E16+D16/2))</f>
        <v>0.1627566001395</v>
      </c>
      <c r="W16" s="101" t="str">
        <f>IF(AND(A16&gt;0,NOT(A16="***")),S16/T16,"")</f>
        <v/>
      </c>
      <c r="X16" s="101" t="str">
        <f>IF(AND(A16&gt;0,NOT(A16="***")),V16/U16,"")</f>
        <v/>
      </c>
      <c r="Y16" s="101" t="str">
        <f>IF(AND(A16&gt;0,NOT(A16="***")),P16/U16,"")</f>
        <v/>
      </c>
      <c r="Z16" s="101" t="str">
        <f t="shared" ref="Z16:Z58" si="6">IF(AND(A16&gt;0,NOT(A16="***")),(W16-$X$2*X16+$X$2*$X$7-W16*$X$3*$X$7)/(3*$X$2*X16-2*$X$2*$X$7),"")</f>
        <v/>
      </c>
      <c r="AA16" s="2" t="str">
        <f t="shared" ref="AA16:AA58" si="7">IF(AND(A16&gt;0,NOT(A16="***")),($X$2*Y16+5*Z16*$X$2*Y16-W16*$X$4)/($X$2+2*Z16*$X$2-W16*$X$3),"")</f>
        <v/>
      </c>
      <c r="AB16" s="2" t="str">
        <f t="shared" ref="AB16:AB58" si="8">IF(AND(A16&gt;0,NOT(A16="***")),-(3*W16*$X$8*(5*$X$9*Y16-9*X16*$X$8+4*$X$9*$X$8)*((-3+2*$X$3*X16)*Y16+X16*$X$4))/AG16,"")</f>
        <v/>
      </c>
      <c r="AC16" s="2" t="str">
        <f t="shared" ref="AC16:AC58" si="9">IF(AND(A16&gt;0,NOT(A16="***")),((3*W16*$X$8*(5*$X$9*Y16-9*X16*$X$8+4*$X$9*Y16)*(-5*W16*Y16+2*$X$2*X16*Y16+3*W16*X16*$X$4)))/AG16,"")</f>
        <v/>
      </c>
      <c r="AD16" s="2" t="str">
        <f t="shared" ref="AD16:AD58" si="10">IF(AND(A16&gt;0,NOT(A16="***")),(3*W16*(-$X$2*X16+W16*(-2+3*$X$3*X16))*$X$8*(-5*$X$9*Y16+9*X16*$X$8-4*$X$9*$X$8))/AG16,"")</f>
        <v/>
      </c>
      <c r="AE16" s="2" t="str">
        <f t="shared" ref="AE16:AE58" si="11">IF(AND(A16&gt;0,NOT(A16="***")),(3*$X$8*(3*$X$2*Y16-5*W16*$X$3*Y16+2*W16*$X$4)*(2*$X$2*X16*(-Y16+$X$8)+W16*(5*Y16+4*$X$8-6*$X$3*X16*$X$8-3*X16*$X$4)))/AG16,"")</f>
        <v/>
      </c>
      <c r="AF16" s="2" t="str">
        <f t="shared" ref="AF16:AF58" si="12">IF(AND(A16&gt;0,NOT(A16="***")),-($X$9*(3*$X$2*Y16-5*W16*$X$3*Y16+2*W16*$X$4)*(6*$X$2*(-X16+$X$9)*Y16+W16*(5*(3-2*$X$3*$X$9)*Y16-9*X16*$X$4+4*$X$9*$X$4)))/AG16,"")</f>
        <v/>
      </c>
      <c r="AG16" t="str">
        <f t="shared" ref="AG16:AG58" si="13">IF(AND(A16&gt;0,NOT(A16="***")),(3*$X$2*($X$9*Y16-X16*$X$8)+W16*(-5*$X$3*$X$9*Y16-6*$X$8+9*$X$3*X16*$X$8+2*$X$9*$X$4))^2,"")</f>
        <v/>
      </c>
      <c r="AH16"/>
    </row>
    <row r="17" spans="1:34" ht="15">
      <c r="C17" s="101">
        <v>1.2081034E-5</v>
      </c>
      <c r="D17" s="101">
        <v>3.5212900000000003E-5</v>
      </c>
      <c r="E17" s="101">
        <v>4.4602845999999998E-5</v>
      </c>
      <c r="F17" s="101">
        <v>2.5405536000000001E-5</v>
      </c>
      <c r="G17" s="101">
        <v>2.4826321000000001E-5</v>
      </c>
      <c r="H17" s="101">
        <v>1.9551296999999999E-5</v>
      </c>
      <c r="I17" s="101">
        <v>0.17346955</v>
      </c>
      <c r="J17" s="101">
        <v>2.4709926000000002E-4</v>
      </c>
      <c r="K17" s="101">
        <v>4.8793807000000002E-2</v>
      </c>
      <c r="L17" s="101">
        <v>1.3830034E-4</v>
      </c>
      <c r="M17" s="101">
        <v>23.968392999999999</v>
      </c>
      <c r="N17" s="101">
        <v>4.9472329000000002E-2</v>
      </c>
      <c r="O17" s="101">
        <v>0.17336262</v>
      </c>
      <c r="P17" s="101">
        <v>24.302125</v>
      </c>
      <c r="Q17" s="106">
        <f t="shared" si="1"/>
        <v>5.6908743576950576</v>
      </c>
      <c r="R17" s="113">
        <f t="shared" si="2"/>
        <v>2.2491045100000003E-4</v>
      </c>
      <c r="S17" s="113">
        <f t="shared" si="3"/>
        <v>0.17344443407150001</v>
      </c>
      <c r="T17" s="113">
        <f t="shared" si="4"/>
        <v>4.8770160032999998E-2</v>
      </c>
      <c r="U17" s="113">
        <f t="shared" si="5"/>
        <v>4.9448682032999999E-2</v>
      </c>
      <c r="V17" s="113">
        <f t="shared" ref="V17:V65" si="14">O17-((E17+D17/2))</f>
        <v>0.17330041070399999</v>
      </c>
      <c r="W17" s="101" t="str">
        <f t="shared" ref="W17:W66" si="15">IF(AND(A17&gt;0,NOT(A17="***")),S17/T17,"")</f>
        <v/>
      </c>
      <c r="X17" s="101" t="str">
        <f t="shared" ref="X17:X66" si="16">IF(AND(A17&gt;0,NOT(A17="***")),V17/U17,"")</f>
        <v/>
      </c>
      <c r="Y17" s="101" t="str">
        <f t="shared" ref="Y17:Y65" si="17">IF(AND(A17&gt;0,NOT(A17="***")),P17/U17,"")</f>
        <v/>
      </c>
      <c r="Z17" s="101" t="str">
        <f t="shared" si="6"/>
        <v/>
      </c>
      <c r="AA17" s="2" t="str">
        <f t="shared" si="7"/>
        <v/>
      </c>
      <c r="AB17" s="2" t="str">
        <f t="shared" si="8"/>
        <v/>
      </c>
      <c r="AC17" s="2" t="str">
        <f t="shared" si="9"/>
        <v/>
      </c>
      <c r="AD17" s="2" t="str">
        <f t="shared" si="10"/>
        <v/>
      </c>
      <c r="AE17" s="2" t="str">
        <f t="shared" si="11"/>
        <v/>
      </c>
      <c r="AF17" s="2" t="str">
        <f t="shared" si="12"/>
        <v/>
      </c>
      <c r="AG17" t="str">
        <f t="shared" si="13"/>
        <v/>
      </c>
      <c r="AH17"/>
    </row>
    <row r="18" spans="1:34" ht="15">
      <c r="C18" s="101">
        <v>1.8075918999999999E-5</v>
      </c>
      <c r="D18" s="101">
        <v>3.2540979999999998E-5</v>
      </c>
      <c r="E18" s="101">
        <v>6.7784136999999995E-5</v>
      </c>
      <c r="F18" s="101">
        <v>3.8454324000000001E-5</v>
      </c>
      <c r="G18" s="101">
        <v>2.3065129E-5</v>
      </c>
      <c r="H18" s="101">
        <v>2.0121307999999998E-5</v>
      </c>
      <c r="I18" s="101">
        <v>0.18509449</v>
      </c>
      <c r="J18" s="101">
        <v>2.8029486999999999E-4</v>
      </c>
      <c r="K18" s="101">
        <v>5.2051933000000002E-2</v>
      </c>
      <c r="L18" s="101">
        <v>1.4887785E-4</v>
      </c>
      <c r="M18" s="101">
        <v>25.574179000000001</v>
      </c>
      <c r="N18" s="101">
        <v>5.2793014999999999E-2</v>
      </c>
      <c r="O18" s="101">
        <v>0.18497983000000001</v>
      </c>
      <c r="P18" s="101">
        <v>25.931145000000001</v>
      </c>
      <c r="Q18" s="106">
        <f t="shared" si="1"/>
        <v>5.7412755973559975</v>
      </c>
      <c r="R18" s="113">
        <f t="shared" si="2"/>
        <v>2.5870165150000001E-4</v>
      </c>
      <c r="S18" s="113">
        <f t="shared" si="3"/>
        <v>0.18506373027350001</v>
      </c>
      <c r="T18" s="113">
        <f t="shared" si="4"/>
        <v>5.20266245505E-2</v>
      </c>
      <c r="U18" s="113">
        <f t="shared" si="5"/>
        <v>5.2767706550499997E-2</v>
      </c>
      <c r="V18" s="113">
        <f t="shared" si="14"/>
        <v>0.184895775373</v>
      </c>
      <c r="W18" s="101" t="str">
        <f t="shared" si="15"/>
        <v/>
      </c>
      <c r="X18" s="101" t="str">
        <f t="shared" si="16"/>
        <v/>
      </c>
      <c r="Y18" s="101" t="str">
        <f t="shared" si="17"/>
        <v/>
      </c>
      <c r="Z18" s="101" t="str">
        <f t="shared" si="6"/>
        <v/>
      </c>
      <c r="AA18" s="2" t="str">
        <f t="shared" si="7"/>
        <v/>
      </c>
      <c r="AB18" s="2" t="str">
        <f t="shared" si="8"/>
        <v/>
      </c>
      <c r="AC18" s="2" t="str">
        <f t="shared" si="9"/>
        <v/>
      </c>
      <c r="AD18" s="2" t="str">
        <f t="shared" si="10"/>
        <v/>
      </c>
      <c r="AE18" s="2" t="str">
        <f t="shared" si="11"/>
        <v/>
      </c>
      <c r="AF18" s="2" t="str">
        <f t="shared" si="12"/>
        <v/>
      </c>
      <c r="AG18" t="str">
        <f t="shared" si="13"/>
        <v/>
      </c>
      <c r="AH18"/>
    </row>
    <row r="19" spans="1:34" ht="15">
      <c r="C19" s="101">
        <v>2.7858695000000001E-5</v>
      </c>
      <c r="D19" s="101">
        <v>5.0115567999999997E-5</v>
      </c>
      <c r="E19" s="101">
        <v>7.4390759000000001E-5</v>
      </c>
      <c r="F19" s="101">
        <v>3.2548793999999999E-5</v>
      </c>
      <c r="G19" s="101">
        <v>1.8007365000000001E-5</v>
      </c>
      <c r="H19" s="101">
        <v>2.5434114999999999E-5</v>
      </c>
      <c r="I19" s="101">
        <v>0.19700844000000001</v>
      </c>
      <c r="J19" s="101">
        <v>2.9288840999999998E-4</v>
      </c>
      <c r="K19" s="101">
        <v>5.5400633999999997E-2</v>
      </c>
      <c r="L19" s="101">
        <v>1.5424581999999999E-4</v>
      </c>
      <c r="M19" s="101">
        <v>27.220030000000001</v>
      </c>
      <c r="N19" s="101">
        <v>5.6204514999999997E-2</v>
      </c>
      <c r="O19" s="101">
        <v>0.19687511999999999</v>
      </c>
      <c r="P19" s="101">
        <v>27.599046000000001</v>
      </c>
      <c r="Q19" s="106">
        <f t="shared" si="1"/>
        <v>5.5888098450939205</v>
      </c>
      <c r="R19" s="113">
        <f t="shared" si="2"/>
        <v>2.7116766999999998E-4</v>
      </c>
      <c r="S19" s="113">
        <f t="shared" si="3"/>
        <v>0.1969831619205</v>
      </c>
      <c r="T19" s="113">
        <f t="shared" si="4"/>
        <v>5.5361646868499995E-2</v>
      </c>
      <c r="U19" s="113">
        <f t="shared" si="5"/>
        <v>5.6165527868499994E-2</v>
      </c>
      <c r="V19" s="113">
        <f t="shared" si="14"/>
        <v>0.19677567145699998</v>
      </c>
      <c r="W19" s="101" t="str">
        <f t="shared" si="15"/>
        <v/>
      </c>
      <c r="X19" s="101" t="str">
        <f t="shared" si="16"/>
        <v/>
      </c>
      <c r="Y19" s="101" t="str">
        <f t="shared" si="17"/>
        <v/>
      </c>
      <c r="Z19" s="101" t="str">
        <f t="shared" si="6"/>
        <v/>
      </c>
      <c r="AA19" s="2" t="str">
        <f t="shared" si="7"/>
        <v/>
      </c>
      <c r="AB19" s="2" t="str">
        <f t="shared" si="8"/>
        <v/>
      </c>
      <c r="AC19" s="2" t="str">
        <f t="shared" si="9"/>
        <v/>
      </c>
      <c r="AD19" s="2" t="str">
        <f t="shared" si="10"/>
        <v/>
      </c>
      <c r="AE19" s="2" t="str">
        <f t="shared" si="11"/>
        <v/>
      </c>
      <c r="AF19" s="2" t="str">
        <f t="shared" si="12"/>
        <v/>
      </c>
      <c r="AG19" t="str">
        <f t="shared" si="13"/>
        <v/>
      </c>
      <c r="AH19"/>
    </row>
    <row r="20" spans="1:34" ht="15">
      <c r="C20" s="101">
        <v>2.1669885E-5</v>
      </c>
      <c r="D20" s="101">
        <v>3.7967618999999997E-5</v>
      </c>
      <c r="E20" s="101">
        <v>6.6570978999999999E-5</v>
      </c>
      <c r="F20" s="101">
        <v>2.0797490000000001E-5</v>
      </c>
      <c r="G20" s="101">
        <v>3.3180735000000001E-5</v>
      </c>
      <c r="H20" s="101">
        <v>1.6847405000000001E-5</v>
      </c>
      <c r="I20" s="101">
        <v>0.20872556</v>
      </c>
      <c r="J20" s="101">
        <v>2.9887284E-4</v>
      </c>
      <c r="K20" s="101">
        <v>5.8715523999999998E-2</v>
      </c>
      <c r="L20" s="101">
        <v>1.7887698999999999E-4</v>
      </c>
      <c r="M20" s="101">
        <v>28.847695999999999</v>
      </c>
      <c r="N20" s="101">
        <v>5.9499659000000003E-2</v>
      </c>
      <c r="O20" s="101">
        <v>0.20840942000000001</v>
      </c>
      <c r="P20" s="101">
        <v>29.222987</v>
      </c>
      <c r="Q20" s="106">
        <f t="shared" si="1"/>
        <v>6.1211056214068735</v>
      </c>
      <c r="R20" s="113">
        <f t="shared" si="2"/>
        <v>2.7385876999999999E-4</v>
      </c>
      <c r="S20" s="113">
        <f t="shared" si="3"/>
        <v>0.20869857088750002</v>
      </c>
      <c r="T20" s="113">
        <f t="shared" si="4"/>
        <v>5.8685705248E-2</v>
      </c>
      <c r="U20" s="113">
        <f t="shared" si="5"/>
        <v>5.9469840248000005E-2</v>
      </c>
      <c r="V20" s="113">
        <f t="shared" si="14"/>
        <v>0.20832386521150001</v>
      </c>
      <c r="W20" s="101" t="str">
        <f t="shared" si="15"/>
        <v/>
      </c>
      <c r="X20" s="101" t="str">
        <f t="shared" si="16"/>
        <v/>
      </c>
      <c r="Y20" s="101" t="str">
        <f t="shared" si="17"/>
        <v/>
      </c>
      <c r="Z20" s="101" t="str">
        <f t="shared" si="6"/>
        <v/>
      </c>
      <c r="AA20" s="2" t="str">
        <f t="shared" si="7"/>
        <v/>
      </c>
      <c r="AB20" s="2" t="str">
        <f t="shared" si="8"/>
        <v/>
      </c>
      <c r="AC20" s="2" t="str">
        <f t="shared" si="9"/>
        <v/>
      </c>
      <c r="AD20" s="2" t="str">
        <f t="shared" si="10"/>
        <v/>
      </c>
      <c r="AE20" s="2" t="str">
        <f t="shared" si="11"/>
        <v/>
      </c>
      <c r="AF20" s="2" t="str">
        <f t="shared" si="12"/>
        <v/>
      </c>
      <c r="AG20" t="str">
        <f t="shared" si="13"/>
        <v/>
      </c>
      <c r="AH20"/>
    </row>
    <row r="21" spans="1:34" ht="15">
      <c r="C21" s="101">
        <v>1.9556468000000001E-5</v>
      </c>
      <c r="D21" s="101">
        <v>4.8211652E-5</v>
      </c>
      <c r="E21" s="101">
        <v>7.0477989000000002E-5</v>
      </c>
      <c r="F21" s="101">
        <v>1.1474076E-5</v>
      </c>
      <c r="G21" s="101">
        <v>2.4895230000000001E-5</v>
      </c>
      <c r="H21" s="101">
        <v>4.8794868999999998E-5</v>
      </c>
      <c r="I21" s="101">
        <v>0.22398979999999999</v>
      </c>
      <c r="J21" s="101">
        <v>3.3220610999999998E-4</v>
      </c>
      <c r="K21" s="101">
        <v>6.3010572000000001E-2</v>
      </c>
      <c r="L21" s="101">
        <v>1.3648856E-4</v>
      </c>
      <c r="M21" s="101">
        <v>30.966013</v>
      </c>
      <c r="N21" s="101">
        <v>6.2990549000000007E-2</v>
      </c>
      <c r="O21" s="101">
        <v>0.22065583</v>
      </c>
      <c r="P21" s="101">
        <v>30.940649000000001</v>
      </c>
      <c r="Q21" s="106">
        <f t="shared" si="1"/>
        <v>4.4113024261385076</v>
      </c>
      <c r="R21" s="113">
        <f t="shared" si="2"/>
        <v>2.9536106049999998E-4</v>
      </c>
      <c r="S21" s="113">
        <f t="shared" si="3"/>
        <v>0.223971615347</v>
      </c>
      <c r="T21" s="113">
        <f t="shared" si="4"/>
        <v>6.2976687939999998E-2</v>
      </c>
      <c r="U21" s="113">
        <f t="shared" si="5"/>
        <v>6.2956664940000004E-2</v>
      </c>
      <c r="V21" s="113">
        <f t="shared" si="14"/>
        <v>0.220561246185</v>
      </c>
      <c r="W21" s="101" t="str">
        <f t="shared" si="15"/>
        <v/>
      </c>
      <c r="X21" s="101" t="str">
        <f t="shared" si="16"/>
        <v/>
      </c>
      <c r="Y21" s="101" t="str">
        <f t="shared" si="17"/>
        <v/>
      </c>
      <c r="Z21" s="101" t="str">
        <f t="shared" si="6"/>
        <v/>
      </c>
      <c r="AA21" s="2" t="str">
        <f t="shared" si="7"/>
        <v/>
      </c>
      <c r="AB21" s="2" t="str">
        <f t="shared" si="8"/>
        <v/>
      </c>
      <c r="AC21" s="2" t="str">
        <f t="shared" si="9"/>
        <v/>
      </c>
      <c r="AD21" s="2" t="str">
        <f t="shared" si="10"/>
        <v/>
      </c>
      <c r="AE21" s="2" t="str">
        <f t="shared" si="11"/>
        <v/>
      </c>
      <c r="AF21" s="2" t="str">
        <f t="shared" si="12"/>
        <v/>
      </c>
      <c r="AG21" t="str">
        <f t="shared" si="13"/>
        <v/>
      </c>
      <c r="AH21"/>
    </row>
    <row r="22" spans="1:34" ht="15">
      <c r="C22" s="101">
        <v>2.4026360000000001E-5</v>
      </c>
      <c r="D22" s="101">
        <v>5.0254754E-5</v>
      </c>
      <c r="E22" s="101">
        <v>6.7227953999999995E-5</v>
      </c>
      <c r="F22" s="101">
        <v>1.7863777E-5</v>
      </c>
      <c r="G22" s="101">
        <v>1.4456329E-5</v>
      </c>
      <c r="H22" s="101">
        <v>2.2421615999999999E-5</v>
      </c>
      <c r="I22" s="101">
        <v>0.22461859000000001</v>
      </c>
      <c r="J22" s="101">
        <v>3.4962767000000001E-4</v>
      </c>
      <c r="K22" s="101">
        <v>6.3223178000000005E-2</v>
      </c>
      <c r="L22" s="101">
        <v>1.6794360999999999E-4</v>
      </c>
      <c r="M22" s="101">
        <v>31.060981000000002</v>
      </c>
      <c r="N22" s="101">
        <v>6.3339189000000004E-2</v>
      </c>
      <c r="O22" s="101">
        <v>0.22190425999999999</v>
      </c>
      <c r="P22" s="101">
        <v>31.117685999999999</v>
      </c>
      <c r="Q22" s="106">
        <f t="shared" si="1"/>
        <v>5.3970468755292407</v>
      </c>
      <c r="R22" s="113">
        <f t="shared" si="2"/>
        <v>3.3118869750000003E-4</v>
      </c>
      <c r="S22" s="113">
        <f t="shared" si="3"/>
        <v>0.224602429947</v>
      </c>
      <c r="T22" s="113">
        <f t="shared" si="4"/>
        <v>6.3186037442999998E-2</v>
      </c>
      <c r="U22" s="113">
        <f t="shared" si="5"/>
        <v>6.3302048442999997E-2</v>
      </c>
      <c r="V22" s="113">
        <f t="shared" si="14"/>
        <v>0.221811904669</v>
      </c>
      <c r="W22" s="101" t="str">
        <f t="shared" si="15"/>
        <v/>
      </c>
      <c r="X22" s="101" t="str">
        <f t="shared" si="16"/>
        <v/>
      </c>
      <c r="Y22" s="101" t="str">
        <f t="shared" si="17"/>
        <v/>
      </c>
      <c r="Z22" s="101" t="str">
        <f t="shared" si="6"/>
        <v/>
      </c>
      <c r="AA22" s="2" t="str">
        <f t="shared" si="7"/>
        <v/>
      </c>
      <c r="AB22" s="2" t="str">
        <f t="shared" si="8"/>
        <v/>
      </c>
      <c r="AC22" s="2" t="str">
        <f t="shared" si="9"/>
        <v/>
      </c>
      <c r="AD22" s="2" t="str">
        <f t="shared" si="10"/>
        <v/>
      </c>
      <c r="AE22" s="2" t="str">
        <f t="shared" si="11"/>
        <v/>
      </c>
      <c r="AF22" s="2" t="str">
        <f t="shared" si="12"/>
        <v/>
      </c>
      <c r="AG22" t="str">
        <f t="shared" si="13"/>
        <v/>
      </c>
      <c r="AH22"/>
    </row>
    <row r="23" spans="1:34" ht="15">
      <c r="C23" s="101">
        <v>-1.0463027000000001E-6</v>
      </c>
      <c r="D23" s="101">
        <v>3.8495789000000002E-5</v>
      </c>
      <c r="E23" s="101">
        <v>7.5964767000000005E-5</v>
      </c>
      <c r="F23" s="101">
        <v>1.7453428000000001E-5</v>
      </c>
      <c r="G23" s="101">
        <v>2.4239066999999999E-5</v>
      </c>
      <c r="H23" s="101">
        <v>2.9165395999999999E-5</v>
      </c>
      <c r="I23" s="101">
        <v>0.22504700999999999</v>
      </c>
      <c r="J23" s="101">
        <v>3.3630790000000003E-4</v>
      </c>
      <c r="K23" s="101">
        <v>6.3321523000000005E-2</v>
      </c>
      <c r="L23" s="101">
        <v>1.6283502000000001E-4</v>
      </c>
      <c r="M23" s="101">
        <v>31.119123999999999</v>
      </c>
      <c r="N23" s="101">
        <v>6.3355073999999997E-2</v>
      </c>
      <c r="O23" s="101">
        <v>0.22191622999999999</v>
      </c>
      <c r="P23" s="101">
        <v>31.12181</v>
      </c>
      <c r="Q23" s="106">
        <f t="shared" si="1"/>
        <v>5.232183475189907</v>
      </c>
      <c r="R23" s="113">
        <f t="shared" si="2"/>
        <v>3.0960566850000005E-4</v>
      </c>
      <c r="S23" s="113">
        <f t="shared" si="3"/>
        <v>0.22502616375249998</v>
      </c>
      <c r="T23" s="113">
        <f t="shared" si="4"/>
        <v>6.3302798256850007E-2</v>
      </c>
      <c r="U23" s="113">
        <f t="shared" si="5"/>
        <v>6.333634925685E-2</v>
      </c>
      <c r="V23" s="113">
        <f t="shared" si="14"/>
        <v>0.22182101733849999</v>
      </c>
      <c r="W23" s="101" t="str">
        <f t="shared" si="15"/>
        <v/>
      </c>
      <c r="X23" s="101" t="str">
        <f t="shared" si="16"/>
        <v/>
      </c>
      <c r="Y23" s="101" t="str">
        <f t="shared" si="17"/>
        <v/>
      </c>
      <c r="Z23" s="101" t="str">
        <f t="shared" si="6"/>
        <v/>
      </c>
      <c r="AA23" s="2" t="str">
        <f t="shared" si="7"/>
        <v/>
      </c>
      <c r="AB23" s="2" t="str">
        <f t="shared" si="8"/>
        <v/>
      </c>
      <c r="AC23" s="2" t="str">
        <f t="shared" si="9"/>
        <v/>
      </c>
      <c r="AD23" s="2" t="str">
        <f t="shared" si="10"/>
        <v/>
      </c>
      <c r="AE23" s="2" t="str">
        <f t="shared" si="11"/>
        <v/>
      </c>
      <c r="AF23" s="2" t="str">
        <f t="shared" si="12"/>
        <v/>
      </c>
      <c r="AG23" t="str">
        <f t="shared" si="13"/>
        <v/>
      </c>
      <c r="AH23"/>
    </row>
    <row r="24" spans="1:34" ht="15">
      <c r="C24" s="101">
        <v>-6.5349285000000004E-6</v>
      </c>
      <c r="D24" s="101">
        <v>4.9494182999999998E-5</v>
      </c>
      <c r="E24" s="101">
        <v>7.5934660999999997E-5</v>
      </c>
      <c r="F24" s="101">
        <v>1.6215054000000001E-5</v>
      </c>
      <c r="G24" s="101">
        <v>1.9877088E-5</v>
      </c>
      <c r="H24" s="101">
        <v>2.0916314E-5</v>
      </c>
      <c r="I24" s="101">
        <v>0.2249689</v>
      </c>
      <c r="J24" s="101">
        <v>3.2802229E-4</v>
      </c>
      <c r="K24" s="101">
        <v>6.3308180000000006E-2</v>
      </c>
      <c r="L24" s="101">
        <v>1.7109356E-4</v>
      </c>
      <c r="M24" s="101">
        <v>31.107133000000001</v>
      </c>
      <c r="N24" s="101">
        <v>6.3245806000000002E-2</v>
      </c>
      <c r="O24" s="101">
        <v>0.22164126000000001</v>
      </c>
      <c r="P24" s="101">
        <v>31.080327</v>
      </c>
      <c r="Q24" s="106">
        <f t="shared" si="1"/>
        <v>5.504882879771503</v>
      </c>
      <c r="R24" s="113">
        <f t="shared" si="2"/>
        <v>3.0762558899999999E-4</v>
      </c>
      <c r="S24" s="113">
        <f t="shared" si="3"/>
        <v>0.22495085392899999</v>
      </c>
      <c r="T24" s="113">
        <f t="shared" si="4"/>
        <v>6.3286700372749999E-2</v>
      </c>
      <c r="U24" s="113">
        <f t="shared" si="5"/>
        <v>6.3224326372749995E-2</v>
      </c>
      <c r="V24" s="113">
        <f t="shared" si="14"/>
        <v>0.22154057824750001</v>
      </c>
      <c r="W24" s="101" t="str">
        <f t="shared" si="15"/>
        <v/>
      </c>
      <c r="X24" s="101" t="str">
        <f t="shared" si="16"/>
        <v/>
      </c>
      <c r="Y24" s="101" t="str">
        <f t="shared" si="17"/>
        <v/>
      </c>
      <c r="Z24" s="101" t="str">
        <f t="shared" si="6"/>
        <v/>
      </c>
      <c r="AA24" s="2" t="str">
        <f t="shared" si="7"/>
        <v/>
      </c>
      <c r="AB24" s="2" t="str">
        <f t="shared" si="8"/>
        <v/>
      </c>
      <c r="AC24" s="2" t="str">
        <f t="shared" si="9"/>
        <v/>
      </c>
      <c r="AD24" s="2" t="str">
        <f t="shared" si="10"/>
        <v/>
      </c>
      <c r="AE24" s="2" t="str">
        <f t="shared" si="11"/>
        <v/>
      </c>
      <c r="AF24" s="2" t="str">
        <f t="shared" si="12"/>
        <v/>
      </c>
      <c r="AG24" t="str">
        <f t="shared" si="13"/>
        <v/>
      </c>
      <c r="AH24"/>
    </row>
    <row r="25" spans="1:34" ht="15">
      <c r="C25" s="101">
        <v>1.0418753E-7</v>
      </c>
      <c r="D25" s="101">
        <v>3.7697943999999997E-5</v>
      </c>
      <c r="E25" s="101">
        <v>7.3593932999999997E-5</v>
      </c>
      <c r="F25" s="101">
        <v>-2.8123391000000001E-6</v>
      </c>
      <c r="G25" s="101">
        <v>2.8944061E-5</v>
      </c>
      <c r="H25" s="101">
        <v>1.4774706000000001E-5</v>
      </c>
      <c r="I25" s="101">
        <v>0.22402796</v>
      </c>
      <c r="J25" s="101">
        <v>3.3217628000000002E-4</v>
      </c>
      <c r="K25" s="101">
        <v>6.3041212999999999E-2</v>
      </c>
      <c r="L25" s="101">
        <v>1.7446277E-4</v>
      </c>
      <c r="M25" s="101">
        <v>30.977411</v>
      </c>
      <c r="N25" s="101">
        <v>6.3061015999999998E-2</v>
      </c>
      <c r="O25" s="101">
        <v>0.22094847000000001</v>
      </c>
      <c r="P25" s="101">
        <v>30.984162999999999</v>
      </c>
      <c r="Q25" s="106">
        <f t="shared" si="1"/>
        <v>5.6307078554937888</v>
      </c>
      <c r="R25" s="113">
        <f t="shared" si="2"/>
        <v>3.1031689650000004E-4</v>
      </c>
      <c r="S25" s="113">
        <f t="shared" si="3"/>
        <v>0.22401489413904999</v>
      </c>
      <c r="T25" s="113">
        <f t="shared" si="4"/>
        <v>6.3022311934234992E-2</v>
      </c>
      <c r="U25" s="113">
        <f t="shared" si="5"/>
        <v>6.3042114934234991E-2</v>
      </c>
      <c r="V25" s="113">
        <f t="shared" si="14"/>
        <v>0.22085602709500002</v>
      </c>
      <c r="W25" s="101" t="str">
        <f t="shared" si="15"/>
        <v/>
      </c>
      <c r="X25" s="101" t="str">
        <f t="shared" si="16"/>
        <v/>
      </c>
      <c r="Y25" s="101" t="str">
        <f t="shared" si="17"/>
        <v/>
      </c>
      <c r="Z25" s="101" t="str">
        <f t="shared" si="6"/>
        <v/>
      </c>
      <c r="AA25" s="2" t="str">
        <f t="shared" si="7"/>
        <v/>
      </c>
      <c r="AB25" s="2" t="str">
        <f t="shared" si="8"/>
        <v/>
      </c>
      <c r="AC25" s="2" t="str">
        <f t="shared" si="9"/>
        <v/>
      </c>
      <c r="AD25" s="2" t="str">
        <f t="shared" si="10"/>
        <v/>
      </c>
      <c r="AE25" s="2" t="str">
        <f t="shared" si="11"/>
        <v/>
      </c>
      <c r="AF25" s="2" t="str">
        <f t="shared" si="12"/>
        <v/>
      </c>
      <c r="AG25" t="str">
        <f t="shared" si="13"/>
        <v/>
      </c>
      <c r="AH25"/>
    </row>
    <row r="26" spans="1:34" ht="15">
      <c r="A26">
        <f t="shared" ref="A26:A65" si="18">A25+1</f>
        <v>1</v>
      </c>
      <c r="C26" s="101">
        <v>2.8758209999999999E-5</v>
      </c>
      <c r="D26" s="101">
        <v>4.0114897999999999E-5</v>
      </c>
      <c r="E26" s="101">
        <v>7.7440427000000005E-5</v>
      </c>
      <c r="F26" s="101">
        <v>3.1321471999999998E-5</v>
      </c>
      <c r="G26" s="101">
        <v>2.0178844000000001E-5</v>
      </c>
      <c r="H26" s="101">
        <v>2.5810744E-5</v>
      </c>
      <c r="I26" s="101">
        <v>0.22377664</v>
      </c>
      <c r="J26" s="101">
        <v>3.4450202999999999E-4</v>
      </c>
      <c r="K26" s="101">
        <v>6.2980351000000004E-2</v>
      </c>
      <c r="L26" s="101">
        <v>1.3834663E-4</v>
      </c>
      <c r="M26" s="101">
        <v>30.950776000000001</v>
      </c>
      <c r="N26" s="101">
        <v>6.2967251000000002E-2</v>
      </c>
      <c r="O26" s="101">
        <v>0.22062082999999999</v>
      </c>
      <c r="P26" s="101">
        <v>30.94237</v>
      </c>
      <c r="Q26" s="106">
        <f t="shared" si="1"/>
        <v>4.4711064472436988</v>
      </c>
      <c r="R26" s="113">
        <f t="shared" si="2"/>
        <v>3.2150723599999999E-4</v>
      </c>
      <c r="S26" s="113">
        <f t="shared" si="3"/>
        <v>0.22375088984200001</v>
      </c>
      <c r="T26" s="113">
        <f t="shared" si="4"/>
        <v>6.2945914446000006E-2</v>
      </c>
      <c r="U26" s="113">
        <f t="shared" si="5"/>
        <v>6.2932814446000004E-2</v>
      </c>
      <c r="V26" s="113">
        <f t="shared" si="14"/>
        <v>0.22052333212399999</v>
      </c>
      <c r="W26" s="101">
        <f t="shared" si="15"/>
        <v>3.5546530987956535</v>
      </c>
      <c r="X26" s="101">
        <f t="shared" si="16"/>
        <v>3.5041072620901419</v>
      </c>
      <c r="Y26" s="101">
        <f t="shared" si="17"/>
        <v>491.67306869058501</v>
      </c>
      <c r="Z26" s="101">
        <f t="shared" si="6"/>
        <v>-5.094642966387758E-5</v>
      </c>
      <c r="AA26" s="2">
        <f t="shared" si="7"/>
        <v>491.67510315533832</v>
      </c>
      <c r="AB26" s="2">
        <f t="shared" si="8"/>
        <v>-482.60650935527644</v>
      </c>
      <c r="AC26" s="2">
        <f t="shared" si="9"/>
        <v>1710.4531325529219</v>
      </c>
      <c r="AD26" s="2">
        <f t="shared" si="10"/>
        <v>-3.4942359715679356</v>
      </c>
      <c r="AE26" s="2">
        <f t="shared" si="11"/>
        <v>140.92528631645513</v>
      </c>
      <c r="AF26" s="2">
        <f t="shared" si="12"/>
        <v>-1.4653164082226301E-3</v>
      </c>
      <c r="AG26">
        <f t="shared" si="13"/>
        <v>247428451.66136193</v>
      </c>
      <c r="AH26"/>
    </row>
    <row r="27" spans="1:34" ht="15">
      <c r="A27">
        <f t="shared" si="18"/>
        <v>2</v>
      </c>
      <c r="C27" s="101">
        <v>1.1878539999999999E-5</v>
      </c>
      <c r="D27" s="101">
        <v>4.9508990999999999E-5</v>
      </c>
      <c r="E27" s="101">
        <v>6.3429161999999995E-5</v>
      </c>
      <c r="F27" s="101">
        <v>2.9632734000000001E-5</v>
      </c>
      <c r="G27" s="101">
        <v>2.1761680000000001E-5</v>
      </c>
      <c r="H27" s="101">
        <v>2.8972277000000001E-5</v>
      </c>
      <c r="I27" s="101">
        <v>0.22370139999999999</v>
      </c>
      <c r="J27" s="101">
        <v>3.3224794999999998E-4</v>
      </c>
      <c r="K27" s="101">
        <v>6.2972720999999995E-2</v>
      </c>
      <c r="L27" s="101">
        <v>1.5032951000000001E-4</v>
      </c>
      <c r="M27" s="101">
        <v>30.94519</v>
      </c>
      <c r="N27" s="101">
        <v>6.2909789999999993E-2</v>
      </c>
      <c r="O27" s="101">
        <v>0.22042606000000001</v>
      </c>
      <c r="P27" s="101">
        <v>30.911290000000001</v>
      </c>
      <c r="Q27" s="106">
        <f t="shared" si="1"/>
        <v>4.863255787772041</v>
      </c>
      <c r="R27" s="113">
        <f t="shared" si="2"/>
        <v>3.0688097149999996E-4</v>
      </c>
      <c r="S27" s="113">
        <f t="shared" si="3"/>
        <v>0.223675702793</v>
      </c>
      <c r="T27" s="113">
        <f t="shared" si="4"/>
        <v>6.29420272345E-2</v>
      </c>
      <c r="U27" s="113">
        <f t="shared" si="5"/>
        <v>6.2879096234499998E-2</v>
      </c>
      <c r="V27" s="113">
        <f t="shared" si="14"/>
        <v>0.22033787634250002</v>
      </c>
      <c r="W27" s="101">
        <f t="shared" si="15"/>
        <v>3.5536780847503131</v>
      </c>
      <c r="X27" s="101">
        <f t="shared" si="16"/>
        <v>3.5041514515535739</v>
      </c>
      <c r="Y27" s="101">
        <f t="shared" si="17"/>
        <v>491.59882776813578</v>
      </c>
      <c r="Z27" s="101">
        <f t="shared" si="6"/>
        <v>-1.4644292494363624E-4</v>
      </c>
      <c r="AA27" s="2">
        <f t="shared" si="7"/>
        <v>491.45993950388242</v>
      </c>
      <c r="AB27" s="2">
        <f t="shared" si="8"/>
        <v>-482.57973291563678</v>
      </c>
      <c r="AC27" s="2">
        <f t="shared" si="9"/>
        <v>1709.5599622384182</v>
      </c>
      <c r="AD27" s="2">
        <f t="shared" si="10"/>
        <v>-3.4939465040143891</v>
      </c>
      <c r="AE27" s="2">
        <f t="shared" si="11"/>
        <v>140.90857203582331</v>
      </c>
      <c r="AF27" s="2">
        <f t="shared" si="12"/>
        <v>-1.464714454662789E-3</v>
      </c>
      <c r="AG27">
        <f t="shared" si="13"/>
        <v>247340180.02504933</v>
      </c>
      <c r="AH27"/>
    </row>
    <row r="28" spans="1:34" ht="15">
      <c r="A28">
        <f t="shared" si="18"/>
        <v>3</v>
      </c>
      <c r="C28" s="101">
        <v>1.4796087E-5</v>
      </c>
      <c r="D28" s="101">
        <v>3.2347619E-5</v>
      </c>
      <c r="E28" s="101">
        <v>8.1884700999999995E-5</v>
      </c>
      <c r="F28" s="101">
        <v>2.0676439000000001E-5</v>
      </c>
      <c r="G28" s="101">
        <v>1.1062929E-5</v>
      </c>
      <c r="H28" s="101">
        <v>4.4817375E-5</v>
      </c>
      <c r="I28" s="101">
        <v>0.22330157</v>
      </c>
      <c r="J28" s="101">
        <v>3.2933836000000001E-4</v>
      </c>
      <c r="K28" s="101">
        <v>6.2861837000000004E-2</v>
      </c>
      <c r="L28" s="101">
        <v>1.6076948000000001E-4</v>
      </c>
      <c r="M28" s="101">
        <v>30.884931000000002</v>
      </c>
      <c r="N28" s="101">
        <v>6.2820847999999999E-2</v>
      </c>
      <c r="O28" s="101">
        <v>0.22019559999999999</v>
      </c>
      <c r="P28" s="101">
        <v>30.876085</v>
      </c>
      <c r="Q28" s="106">
        <f t="shared" si="1"/>
        <v>5.2069256837452027</v>
      </c>
      <c r="R28" s="113">
        <f t="shared" si="2"/>
        <v>3.0139820800000001E-4</v>
      </c>
      <c r="S28" s="113">
        <f t="shared" si="3"/>
        <v>0.22328570031600001</v>
      </c>
      <c r="T28" s="113">
        <f t="shared" si="4"/>
        <v>6.2838265147E-2</v>
      </c>
      <c r="U28" s="113">
        <f t="shared" si="5"/>
        <v>6.2797276146999995E-2</v>
      </c>
      <c r="V28" s="113">
        <f t="shared" si="14"/>
        <v>0.2200975414895</v>
      </c>
      <c r="W28" s="101">
        <f t="shared" si="15"/>
        <v>3.5533396696051218</v>
      </c>
      <c r="X28" s="101">
        <f t="shared" si="16"/>
        <v>3.5048899409949121</v>
      </c>
      <c r="Y28" s="101">
        <f t="shared" si="17"/>
        <v>491.67873026408387</v>
      </c>
      <c r="Z28" s="101">
        <f t="shared" si="6"/>
        <v>-2.4852849368968785E-4</v>
      </c>
      <c r="AA28" s="2">
        <f t="shared" si="7"/>
        <v>491.38910512830159</v>
      </c>
      <c r="AB28" s="2">
        <f t="shared" si="8"/>
        <v>-482.70754951922964</v>
      </c>
      <c r="AC28" s="2">
        <f t="shared" si="9"/>
        <v>1709.4977600448917</v>
      </c>
      <c r="AD28" s="2">
        <f t="shared" si="10"/>
        <v>-3.4943287655196249</v>
      </c>
      <c r="AE28" s="2">
        <f t="shared" si="11"/>
        <v>140.92373486380262</v>
      </c>
      <c r="AF28" s="2">
        <f t="shared" si="12"/>
        <v>-1.4647310678579707E-3</v>
      </c>
      <c r="AG28">
        <f t="shared" si="13"/>
        <v>247343567.24976981</v>
      </c>
      <c r="AH28"/>
    </row>
    <row r="29" spans="1:34" ht="15">
      <c r="A29">
        <f t="shared" si="18"/>
        <v>4</v>
      </c>
      <c r="C29" s="101">
        <v>-1.1786985000000001E-6</v>
      </c>
      <c r="D29" s="101">
        <v>5.5283252000000002E-5</v>
      </c>
      <c r="E29" s="101">
        <v>8.0520097999999996E-5</v>
      </c>
      <c r="F29" s="101">
        <v>1.3378776000000001E-5</v>
      </c>
      <c r="G29" s="101">
        <v>1.9563297000000001E-5</v>
      </c>
      <c r="H29" s="101">
        <v>4.3915129999999998E-5</v>
      </c>
      <c r="I29" s="101">
        <v>0.22287857999999999</v>
      </c>
      <c r="J29" s="101">
        <v>3.1816913E-4</v>
      </c>
      <c r="K29" s="101">
        <v>6.2723391000000003E-2</v>
      </c>
      <c r="L29" s="101">
        <v>1.6512766000000001E-4</v>
      </c>
      <c r="M29" s="101">
        <v>30.829077999999999</v>
      </c>
      <c r="N29" s="101">
        <v>6.2642150999999993E-2</v>
      </c>
      <c r="O29" s="101">
        <v>0.21951474000000001</v>
      </c>
      <c r="P29" s="101">
        <v>30.784448999999999</v>
      </c>
      <c r="Q29" s="106">
        <f t="shared" si="1"/>
        <v>5.3639959578292276</v>
      </c>
      <c r="R29" s="113">
        <f t="shared" si="2"/>
        <v>2.8642991650000002E-4</v>
      </c>
      <c r="S29" s="113">
        <f t="shared" si="3"/>
        <v>0.22286210896350001</v>
      </c>
      <c r="T29" s="113">
        <f t="shared" si="4"/>
        <v>6.2696338723250006E-2</v>
      </c>
      <c r="U29" s="113">
        <f t="shared" si="5"/>
        <v>6.2615098723249996E-2</v>
      </c>
      <c r="V29" s="113">
        <f t="shared" si="14"/>
        <v>0.21940657827600002</v>
      </c>
      <c r="W29" s="101">
        <f t="shared" si="15"/>
        <v>3.554627168059096</v>
      </c>
      <c r="X29" s="101">
        <f t="shared" si="16"/>
        <v>3.5040522613522738</v>
      </c>
      <c r="Y29" s="101">
        <f t="shared" si="17"/>
        <v>491.64577917640872</v>
      </c>
      <c r="Z29" s="101">
        <f t="shared" si="6"/>
        <v>-4.8127457907083943E-5</v>
      </c>
      <c r="AA29" s="2">
        <f t="shared" si="7"/>
        <v>491.65197177493354</v>
      </c>
      <c r="AB29" s="2">
        <f t="shared" si="8"/>
        <v>-482.57834656534317</v>
      </c>
      <c r="AC29" s="2">
        <f t="shared" si="9"/>
        <v>1710.3506763550702</v>
      </c>
      <c r="AD29" s="2">
        <f t="shared" si="10"/>
        <v>-3.4941907011694249</v>
      </c>
      <c r="AE29" s="2">
        <f t="shared" si="11"/>
        <v>140.91666598573283</v>
      </c>
      <c r="AF29" s="2">
        <f t="shared" si="12"/>
        <v>-1.4651807498992136E-3</v>
      </c>
      <c r="AG29">
        <f t="shared" si="13"/>
        <v>247423485.69533208</v>
      </c>
      <c r="AH29"/>
    </row>
    <row r="30" spans="1:34" ht="15">
      <c r="A30">
        <f t="shared" si="18"/>
        <v>5</v>
      </c>
      <c r="C30" s="101">
        <v>4.2115381999999999E-6</v>
      </c>
      <c r="D30" s="101">
        <v>4.6336092999999999E-5</v>
      </c>
      <c r="E30" s="101">
        <v>7.7865464999999999E-5</v>
      </c>
      <c r="F30" s="101">
        <v>1.2142400000000001E-5</v>
      </c>
      <c r="G30" s="101">
        <v>2.8730586000000001E-5</v>
      </c>
      <c r="H30" s="101">
        <v>2.8614367000000001E-5</v>
      </c>
      <c r="I30" s="101">
        <v>0.22173377999999999</v>
      </c>
      <c r="J30" s="101">
        <v>3.1959092999999999E-4</v>
      </c>
      <c r="K30" s="101">
        <v>6.2396594999999999E-2</v>
      </c>
      <c r="L30" s="101">
        <v>1.5997162000000001E-4</v>
      </c>
      <c r="M30" s="101">
        <v>30.66966</v>
      </c>
      <c r="N30" s="101">
        <v>6.2350230999999999E-2</v>
      </c>
      <c r="O30" s="101">
        <v>0.21854842999999999</v>
      </c>
      <c r="P30" s="101">
        <v>30.647417999999998</v>
      </c>
      <c r="Q30" s="106">
        <f t="shared" si="1"/>
        <v>5.21974216555535</v>
      </c>
      <c r="R30" s="113">
        <f t="shared" si="2"/>
        <v>2.9091845350000001E-4</v>
      </c>
      <c r="S30" s="113">
        <f t="shared" si="3"/>
        <v>0.221713343507</v>
      </c>
      <c r="T30" s="113">
        <f t="shared" si="4"/>
        <v>6.2371321184400003E-2</v>
      </c>
      <c r="U30" s="113">
        <f t="shared" si="5"/>
        <v>6.2324957184399996E-2</v>
      </c>
      <c r="V30" s="113">
        <f t="shared" si="14"/>
        <v>0.21844739648849998</v>
      </c>
      <c r="W30" s="101">
        <f t="shared" si="15"/>
        <v>3.5547321957716331</v>
      </c>
      <c r="X30" s="101">
        <f t="shared" si="16"/>
        <v>3.5049746739846555</v>
      </c>
      <c r="Y30" s="101">
        <f t="shared" si="17"/>
        <v>491.73588534243038</v>
      </c>
      <c r="Z30" s="101">
        <f t="shared" si="6"/>
        <v>-1.2626629980502595E-4</v>
      </c>
      <c r="AA30" s="2">
        <f t="shared" si="7"/>
        <v>491.62676404189642</v>
      </c>
      <c r="AB30" s="2">
        <f t="shared" si="8"/>
        <v>-482.70461603270513</v>
      </c>
      <c r="AC30" s="2">
        <f t="shared" si="9"/>
        <v>1710.5796140716404</v>
      </c>
      <c r="AD30" s="2">
        <f t="shared" si="10"/>
        <v>-3.4948408146636765</v>
      </c>
      <c r="AE30" s="2">
        <f t="shared" si="11"/>
        <v>140.92492392386961</v>
      </c>
      <c r="AF30" s="2">
        <f t="shared" si="12"/>
        <v>-1.4652164477753121E-3</v>
      </c>
      <c r="AG30">
        <f t="shared" si="13"/>
        <v>247476705.04214504</v>
      </c>
      <c r="AH30"/>
    </row>
    <row r="31" spans="1:34" ht="15">
      <c r="A31">
        <f t="shared" si="18"/>
        <v>6</v>
      </c>
      <c r="C31" s="101">
        <v>1.434935E-5</v>
      </c>
      <c r="D31" s="101">
        <v>3.8514043000000002E-5</v>
      </c>
      <c r="E31" s="101">
        <v>8.9508080000000003E-5</v>
      </c>
      <c r="F31" s="101">
        <v>1.0702706E-5</v>
      </c>
      <c r="G31" s="101">
        <v>1.0801386E-5</v>
      </c>
      <c r="H31" s="101">
        <v>3.7773569999999998E-5</v>
      </c>
      <c r="I31" s="101">
        <v>0.22076002</v>
      </c>
      <c r="J31" s="101">
        <v>3.1820576000000001E-4</v>
      </c>
      <c r="K31" s="101">
        <v>6.2150667E-2</v>
      </c>
      <c r="L31" s="101">
        <v>1.3927734000000001E-4</v>
      </c>
      <c r="M31" s="101">
        <v>30.542166999999999</v>
      </c>
      <c r="N31" s="101">
        <v>6.2143970999999999E-2</v>
      </c>
      <c r="O31" s="101">
        <v>0.21780411</v>
      </c>
      <c r="P31" s="101">
        <v>30.547159000000001</v>
      </c>
      <c r="Q31" s="106">
        <f t="shared" si="1"/>
        <v>4.5594204030561407</v>
      </c>
      <c r="R31" s="113">
        <f t="shared" si="2"/>
        <v>2.9391828200000001E-4</v>
      </c>
      <c r="S31" s="113">
        <f t="shared" si="3"/>
        <v>0.22074926795399999</v>
      </c>
      <c r="T31" s="113">
        <f t="shared" si="4"/>
        <v>6.2124235303500003E-2</v>
      </c>
      <c r="U31" s="113">
        <f t="shared" si="5"/>
        <v>6.2117539303500002E-2</v>
      </c>
      <c r="V31" s="113">
        <f t="shared" si="14"/>
        <v>0.21769534489849998</v>
      </c>
      <c r="W31" s="101">
        <f t="shared" si="15"/>
        <v>3.5533518742815535</v>
      </c>
      <c r="X31" s="101">
        <f t="shared" si="16"/>
        <v>3.5045712908050426</v>
      </c>
      <c r="Y31" s="101">
        <f t="shared" si="17"/>
        <v>491.76382938721508</v>
      </c>
      <c r="Z31" s="101">
        <f t="shared" si="6"/>
        <v>-2.1701154538919407E-4</v>
      </c>
      <c r="AA31" s="2">
        <f t="shared" si="7"/>
        <v>491.52069705666838</v>
      </c>
      <c r="AB31" s="2">
        <f t="shared" si="8"/>
        <v>-482.77589839762283</v>
      </c>
      <c r="AC31" s="2">
        <f t="shared" si="9"/>
        <v>1709.8535667997023</v>
      </c>
      <c r="AD31" s="2">
        <f t="shared" si="10"/>
        <v>-3.4941204981132441</v>
      </c>
      <c r="AE31" s="2">
        <f t="shared" si="11"/>
        <v>140.96472452074113</v>
      </c>
      <c r="AF31" s="2">
        <f t="shared" si="12"/>
        <v>-1.465419105032227E-3</v>
      </c>
      <c r="AG31">
        <f t="shared" si="13"/>
        <v>247329513.8528932</v>
      </c>
      <c r="AH31"/>
    </row>
    <row r="32" spans="1:34" ht="15">
      <c r="A32">
        <f t="shared" si="18"/>
        <v>7</v>
      </c>
      <c r="C32" s="101">
        <v>1.1345800000000001E-5</v>
      </c>
      <c r="D32" s="101">
        <v>3.2452776999999999E-5</v>
      </c>
      <c r="E32" s="101">
        <v>7.1195511000000003E-5</v>
      </c>
      <c r="F32" s="101">
        <v>1.7506375000000001E-5</v>
      </c>
      <c r="G32" s="101">
        <v>1.6674054000000001E-5</v>
      </c>
      <c r="H32" s="101">
        <v>4.1254205999999999E-5</v>
      </c>
      <c r="I32" s="101">
        <v>0.22157656000000001</v>
      </c>
      <c r="J32" s="101">
        <v>3.1433038999999999E-4</v>
      </c>
      <c r="K32" s="101">
        <v>6.2366515999999997E-2</v>
      </c>
      <c r="L32" s="101">
        <v>1.6575668E-4</v>
      </c>
      <c r="M32" s="101">
        <v>30.654523000000001</v>
      </c>
      <c r="N32" s="101">
        <v>6.2347049000000002E-2</v>
      </c>
      <c r="O32" s="101">
        <v>0.21860737</v>
      </c>
      <c r="P32" s="101">
        <v>30.656479000000001</v>
      </c>
      <c r="Q32" s="106">
        <f t="shared" si="1"/>
        <v>5.4069053396510407</v>
      </c>
      <c r="R32" s="113">
        <f t="shared" si="2"/>
        <v>2.8536626E-4</v>
      </c>
      <c r="S32" s="113">
        <f t="shared" si="3"/>
        <v>0.22155946978550001</v>
      </c>
      <c r="T32" s="113">
        <f t="shared" si="4"/>
        <v>6.2344616711499996E-2</v>
      </c>
      <c r="U32" s="113">
        <f t="shared" si="5"/>
        <v>6.2325149711500001E-2</v>
      </c>
      <c r="V32" s="113">
        <f t="shared" si="14"/>
        <v>0.21851994810049999</v>
      </c>
      <c r="W32" s="101">
        <f t="shared" si="15"/>
        <v>3.553786701597148</v>
      </c>
      <c r="X32" s="101">
        <f t="shared" si="16"/>
        <v>3.5061279292872602</v>
      </c>
      <c r="Y32" s="101">
        <f t="shared" si="17"/>
        <v>491.87974905647735</v>
      </c>
      <c r="Z32" s="101">
        <f t="shared" si="6"/>
        <v>-3.2465620312782526E-4</v>
      </c>
      <c r="AA32" s="2">
        <f t="shared" si="7"/>
        <v>491.47754353851991</v>
      </c>
      <c r="AB32" s="2">
        <f t="shared" si="8"/>
        <v>-482.94182702921171</v>
      </c>
      <c r="AC32" s="2">
        <f t="shared" si="9"/>
        <v>1710.2797779965763</v>
      </c>
      <c r="AD32" s="2">
        <f t="shared" si="10"/>
        <v>-3.4953014007116394</v>
      </c>
      <c r="AE32" s="2">
        <f t="shared" si="11"/>
        <v>140.96140475407057</v>
      </c>
      <c r="AF32" s="2">
        <f t="shared" si="12"/>
        <v>-1.4652986810496412E-3</v>
      </c>
      <c r="AG32">
        <f t="shared" si="13"/>
        <v>247443268.12353912</v>
      </c>
      <c r="AH32"/>
    </row>
    <row r="33" spans="1:34" ht="15">
      <c r="A33">
        <f t="shared" si="18"/>
        <v>8</v>
      </c>
      <c r="C33" s="101">
        <v>-1.1564183E-5</v>
      </c>
      <c r="D33" s="101">
        <v>4.7719093999999999E-5</v>
      </c>
      <c r="E33" s="101">
        <v>6.6337131000000004E-5</v>
      </c>
      <c r="F33" s="101">
        <v>1.6117326000000001E-6</v>
      </c>
      <c r="G33" s="101">
        <v>1.5173844000000001E-5</v>
      </c>
      <c r="H33" s="101">
        <v>2.2593304E-5</v>
      </c>
      <c r="I33" s="101">
        <v>0.22184968999999999</v>
      </c>
      <c r="J33" s="101">
        <v>3.2254107000000002E-4</v>
      </c>
      <c r="K33" s="101">
        <v>6.2449504000000003E-2</v>
      </c>
      <c r="L33" s="101">
        <v>1.4970941E-4</v>
      </c>
      <c r="M33" s="101">
        <v>30.689333000000001</v>
      </c>
      <c r="N33" s="101">
        <v>6.2401059000000002E-2</v>
      </c>
      <c r="O33" s="101">
        <v>0.21867865</v>
      </c>
      <c r="P33" s="101">
        <v>30.672457999999999</v>
      </c>
      <c r="Q33" s="106">
        <f t="shared" si="1"/>
        <v>4.8809068383107732</v>
      </c>
      <c r="R33" s="113">
        <f t="shared" si="2"/>
        <v>3.0365749600000001E-4</v>
      </c>
      <c r="S33" s="113">
        <f t="shared" si="3"/>
        <v>0.22184129721169998</v>
      </c>
      <c r="T33" s="113">
        <f t="shared" si="4"/>
        <v>6.2431426544500006E-2</v>
      </c>
      <c r="U33" s="113">
        <f t="shared" si="5"/>
        <v>6.2382981544500005E-2</v>
      </c>
      <c r="V33" s="113">
        <f t="shared" si="14"/>
        <v>0.218588453322</v>
      </c>
      <c r="W33" s="101">
        <f t="shared" si="15"/>
        <v>3.5533594135251012</v>
      </c>
      <c r="X33" s="101">
        <f t="shared" si="16"/>
        <v>3.5039757304012964</v>
      </c>
      <c r="Y33" s="101">
        <f t="shared" si="17"/>
        <v>491.67989795614756</v>
      </c>
      <c r="Z33" s="101">
        <f t="shared" si="6"/>
        <v>-1.5952042755669319E-4</v>
      </c>
      <c r="AA33" s="2">
        <f t="shared" si="7"/>
        <v>491.52167731401278</v>
      </c>
      <c r="AB33" s="2">
        <f t="shared" si="8"/>
        <v>-482.66566792171187</v>
      </c>
      <c r="AC33" s="2">
        <f t="shared" si="9"/>
        <v>1709.6650781897172</v>
      </c>
      <c r="AD33" s="2">
        <f t="shared" si="10"/>
        <v>-3.4937253688403866</v>
      </c>
      <c r="AE33" s="2">
        <f t="shared" si="11"/>
        <v>140.94854507853299</v>
      </c>
      <c r="AF33" s="2">
        <f t="shared" si="12"/>
        <v>-1.4652528628651892E-3</v>
      </c>
      <c r="AG33">
        <f t="shared" si="13"/>
        <v>247302190.51856992</v>
      </c>
      <c r="AH33"/>
    </row>
    <row r="34" spans="1:34" ht="15">
      <c r="A34">
        <f t="shared" si="18"/>
        <v>9</v>
      </c>
      <c r="C34" s="101">
        <v>-2.9337223999999999E-6</v>
      </c>
      <c r="D34" s="101">
        <v>3.0515289999999998E-5</v>
      </c>
      <c r="E34" s="101">
        <v>6.0042523999999999E-5</v>
      </c>
      <c r="F34" s="101">
        <v>1.1148487E-5</v>
      </c>
      <c r="G34" s="101">
        <v>3.4239489E-5</v>
      </c>
      <c r="H34" s="101">
        <v>2.2886423000000001E-5</v>
      </c>
      <c r="I34" s="101">
        <v>0.22138566000000001</v>
      </c>
      <c r="J34" s="101">
        <v>3.3028434999999998E-4</v>
      </c>
      <c r="K34" s="101">
        <v>6.2319244000000003E-2</v>
      </c>
      <c r="L34" s="101">
        <v>1.6458594000000001E-4</v>
      </c>
      <c r="M34" s="101">
        <v>30.630607999999999</v>
      </c>
      <c r="N34" s="101">
        <v>6.2263302999999999E-2</v>
      </c>
      <c r="O34" s="101">
        <v>0.21822707999999999</v>
      </c>
      <c r="P34" s="101">
        <v>30.608218999999998</v>
      </c>
      <c r="Q34" s="106">
        <f t="shared" si="1"/>
        <v>5.3771812074397403</v>
      </c>
      <c r="R34" s="113">
        <f t="shared" si="2"/>
        <v>3.0172139399999996E-4</v>
      </c>
      <c r="S34" s="113">
        <f t="shared" si="3"/>
        <v>0.22136296601200001</v>
      </c>
      <c r="T34" s="113">
        <f t="shared" si="4"/>
        <v>6.2305453216200006E-2</v>
      </c>
      <c r="U34" s="113">
        <f t="shared" si="5"/>
        <v>6.2249512216200002E-2</v>
      </c>
      <c r="V34" s="113">
        <f t="shared" si="14"/>
        <v>0.21815177983099998</v>
      </c>
      <c r="W34" s="101">
        <f t="shared" si="15"/>
        <v>3.5528666366308292</v>
      </c>
      <c r="X34" s="101">
        <f t="shared" si="16"/>
        <v>3.5044737229961376</v>
      </c>
      <c r="Y34" s="101">
        <f t="shared" si="17"/>
        <v>491.70215010993167</v>
      </c>
      <c r="Z34" s="101">
        <f t="shared" si="6"/>
        <v>-2.5313398916170985E-4</v>
      </c>
      <c r="AA34" s="2">
        <f t="shared" si="7"/>
        <v>491.40570016020064</v>
      </c>
      <c r="AB34" s="2">
        <f t="shared" si="8"/>
        <v>-482.73276671880535</v>
      </c>
      <c r="AC34" s="2">
        <f t="shared" si="9"/>
        <v>1709.3427803759448</v>
      </c>
      <c r="AD34" s="2">
        <f t="shared" si="10"/>
        <v>-3.4938965095236418</v>
      </c>
      <c r="AE34" s="2">
        <f t="shared" si="11"/>
        <v>140.95016013747122</v>
      </c>
      <c r="AF34" s="2">
        <f t="shared" si="12"/>
        <v>-1.4650387633728863E-3</v>
      </c>
      <c r="AG34">
        <f t="shared" si="13"/>
        <v>247279976.68649706</v>
      </c>
      <c r="AH34"/>
    </row>
    <row r="35" spans="1:34" ht="15">
      <c r="A35">
        <f t="shared" si="18"/>
        <v>10</v>
      </c>
      <c r="C35" s="101">
        <v>1.3691638E-5</v>
      </c>
      <c r="D35" s="101">
        <v>4.1024503000000002E-5</v>
      </c>
      <c r="E35" s="101">
        <v>5.7543744999999999E-5</v>
      </c>
      <c r="F35" s="101">
        <v>2.7590614000000001E-6</v>
      </c>
      <c r="G35" s="101">
        <v>1.8897986999999999E-5</v>
      </c>
      <c r="H35" s="101">
        <v>2.5678381999999999E-5</v>
      </c>
      <c r="I35" s="101">
        <v>0.22025537000000001</v>
      </c>
      <c r="J35" s="101">
        <v>3.1997003999999999E-4</v>
      </c>
      <c r="K35" s="101">
        <v>6.2000692000000003E-2</v>
      </c>
      <c r="L35" s="101">
        <v>1.5492176999999999E-4</v>
      </c>
      <c r="M35" s="101">
        <v>30.471</v>
      </c>
      <c r="N35" s="101">
        <v>6.1987780999999999E-2</v>
      </c>
      <c r="O35" s="101">
        <v>0.21716448999999999</v>
      </c>
      <c r="P35" s="101">
        <v>30.459479000000002</v>
      </c>
      <c r="Q35" s="106">
        <f t="shared" si="1"/>
        <v>5.0861595498727992</v>
      </c>
      <c r="R35" s="113">
        <f t="shared" si="2"/>
        <v>2.9768185549999999E-4</v>
      </c>
      <c r="S35" s="113">
        <f t="shared" si="3"/>
        <v>0.2202445414758</v>
      </c>
      <c r="T35" s="113">
        <f t="shared" si="4"/>
        <v>6.1973333929500003E-2</v>
      </c>
      <c r="U35" s="113">
        <f t="shared" si="5"/>
        <v>6.1960422929499999E-2</v>
      </c>
      <c r="V35" s="113">
        <f t="shared" si="14"/>
        <v>0.2170864340035</v>
      </c>
      <c r="W35" s="101">
        <f t="shared" si="15"/>
        <v>3.5538598218121864</v>
      </c>
      <c r="X35" s="101">
        <f t="shared" si="16"/>
        <v>3.5036306038534626</v>
      </c>
      <c r="Y35" s="101">
        <f t="shared" si="17"/>
        <v>491.59572449428725</v>
      </c>
      <c r="Z35" s="101">
        <f t="shared" si="6"/>
        <v>-7.9749077897856133E-5</v>
      </c>
      <c r="AA35" s="2">
        <f t="shared" si="7"/>
        <v>491.55525010752604</v>
      </c>
      <c r="AB35" s="2">
        <f t="shared" si="8"/>
        <v>-482.54445389950365</v>
      </c>
      <c r="AC35" s="2">
        <f t="shared" si="9"/>
        <v>1709.7519218624263</v>
      </c>
      <c r="AD35" s="2">
        <f t="shared" si="10"/>
        <v>-3.4936583860523425</v>
      </c>
      <c r="AE35" s="2">
        <f t="shared" si="11"/>
        <v>140.91900749893603</v>
      </c>
      <c r="AF35" s="2">
        <f t="shared" si="12"/>
        <v>-1.4650126199225041E-3</v>
      </c>
      <c r="AG35">
        <f t="shared" si="13"/>
        <v>247332429.42006519</v>
      </c>
      <c r="AH35"/>
    </row>
    <row r="36" spans="1:34" ht="15">
      <c r="A36">
        <f t="shared" si="18"/>
        <v>11</v>
      </c>
      <c r="C36" s="101">
        <v>2.9547139E-5</v>
      </c>
      <c r="D36" s="101">
        <v>3.5962213000000002E-5</v>
      </c>
      <c r="E36" s="101">
        <v>8.2912703000000005E-5</v>
      </c>
      <c r="F36" s="101">
        <v>1.2228452E-5</v>
      </c>
      <c r="G36" s="101">
        <v>3.2417896000000003E-5</v>
      </c>
      <c r="H36" s="101">
        <v>4.2191004000000001E-5</v>
      </c>
      <c r="I36" s="101">
        <v>0.27053133000000001</v>
      </c>
      <c r="J36" s="101">
        <v>3.9888400000000001E-4</v>
      </c>
      <c r="K36" s="101">
        <v>7.6132362999999995E-2</v>
      </c>
      <c r="L36" s="101">
        <v>1.9184803000000001E-4</v>
      </c>
      <c r="M36" s="101">
        <v>37.422424999999997</v>
      </c>
      <c r="N36" s="101">
        <v>7.6184713000000001E-2</v>
      </c>
      <c r="O36" s="101">
        <v>0.26706121999999999</v>
      </c>
      <c r="P36" s="101">
        <v>37.454469000000003</v>
      </c>
      <c r="Q36" s="106">
        <f t="shared" si="1"/>
        <v>5.1221665964614269</v>
      </c>
      <c r="R36" s="113">
        <f t="shared" si="2"/>
        <v>3.6157955000000003E-4</v>
      </c>
      <c r="S36" s="113">
        <f t="shared" si="3"/>
        <v>0.27050900682599999</v>
      </c>
      <c r="T36" s="113">
        <f t="shared" si="4"/>
        <v>7.6099608323999993E-2</v>
      </c>
      <c r="U36" s="113">
        <f t="shared" si="5"/>
        <v>7.6151958323999999E-2</v>
      </c>
      <c r="V36" s="113">
        <f t="shared" si="14"/>
        <v>0.26696032619049997</v>
      </c>
      <c r="W36" s="101">
        <f t="shared" si="15"/>
        <v>3.5546701590668754</v>
      </c>
      <c r="X36" s="101">
        <f t="shared" si="16"/>
        <v>3.5056265402220776</v>
      </c>
      <c r="Y36" s="101">
        <f t="shared" si="17"/>
        <v>491.83855312878904</v>
      </c>
      <c r="Z36" s="101">
        <f t="shared" si="6"/>
        <v>-1.9421320279590682E-4</v>
      </c>
      <c r="AA36" s="2">
        <f t="shared" si="7"/>
        <v>491.62908143157256</v>
      </c>
      <c r="AB36" s="2">
        <f t="shared" si="8"/>
        <v>-482.83830400137481</v>
      </c>
      <c r="AC36" s="2">
        <f t="shared" si="9"/>
        <v>1710.7889246045784</v>
      </c>
      <c r="AD36" s="2">
        <f t="shared" si="10"/>
        <v>-3.4952557783518357</v>
      </c>
      <c r="AE36" s="2">
        <f t="shared" si="11"/>
        <v>140.94747611030894</v>
      </c>
      <c r="AF36" s="2">
        <f t="shared" si="12"/>
        <v>-1.4654555353866535E-3</v>
      </c>
      <c r="AG36">
        <f t="shared" si="13"/>
        <v>247501614.48983565</v>
      </c>
      <c r="AH36"/>
    </row>
    <row r="37" spans="1:34" ht="15">
      <c r="A37">
        <f t="shared" si="18"/>
        <v>12</v>
      </c>
      <c r="C37" s="101">
        <v>1.7165866000000001E-5</v>
      </c>
      <c r="D37" s="101">
        <v>5.4392862999999998E-5</v>
      </c>
      <c r="E37" s="101">
        <v>7.0202401E-5</v>
      </c>
      <c r="F37" s="101">
        <v>1.7105652999999999E-5</v>
      </c>
      <c r="G37" s="101">
        <v>2.3180811E-5</v>
      </c>
      <c r="H37" s="101">
        <v>3.8986965999999998E-5</v>
      </c>
      <c r="I37" s="101">
        <v>0.27209202999999998</v>
      </c>
      <c r="J37" s="101">
        <v>4.0117912E-4</v>
      </c>
      <c r="K37" s="101">
        <v>7.6549537000000001E-2</v>
      </c>
      <c r="L37" s="101">
        <v>2.0071535999999999E-4</v>
      </c>
      <c r="M37" s="101">
        <v>37.643991</v>
      </c>
      <c r="N37" s="101">
        <v>7.6733863999999999E-2</v>
      </c>
      <c r="O37" s="101">
        <v>0.26888171999999999</v>
      </c>
      <c r="P37" s="101">
        <v>37.712136999999998</v>
      </c>
      <c r="Q37" s="106">
        <f t="shared" si="1"/>
        <v>5.3223014118770307</v>
      </c>
      <c r="R37" s="113">
        <f t="shared" si="2"/>
        <v>3.7009523150000002E-4</v>
      </c>
      <c r="S37" s="113">
        <f t="shared" si="3"/>
        <v>0.27207188676799998</v>
      </c>
      <c r="T37" s="113">
        <f t="shared" si="4"/>
        <v>7.6513757635500002E-2</v>
      </c>
      <c r="U37" s="113">
        <f t="shared" si="5"/>
        <v>7.66980846355E-2</v>
      </c>
      <c r="V37" s="113">
        <f t="shared" si="14"/>
        <v>0.26878432116750001</v>
      </c>
      <c r="W37" s="101">
        <f t="shared" si="15"/>
        <v>3.5558557725541258</v>
      </c>
      <c r="X37" s="101">
        <f t="shared" si="16"/>
        <v>3.5044463293297441</v>
      </c>
      <c r="Y37" s="101">
        <f t="shared" si="17"/>
        <v>491.69594233315172</v>
      </c>
      <c r="Z37" s="101">
        <f t="shared" si="6"/>
        <v>2.929791133820096E-5</v>
      </c>
      <c r="AA37" s="2">
        <f t="shared" si="7"/>
        <v>491.81638202161292</v>
      </c>
      <c r="AB37" s="2">
        <f t="shared" si="8"/>
        <v>-482.5902118162756</v>
      </c>
      <c r="AC37" s="2">
        <f t="shared" si="9"/>
        <v>1711.2514881939812</v>
      </c>
      <c r="AD37" s="2">
        <f t="shared" si="10"/>
        <v>-3.4948552939596547</v>
      </c>
      <c r="AE37" s="2">
        <f t="shared" si="11"/>
        <v>140.90901417059823</v>
      </c>
      <c r="AF37" s="2">
        <f t="shared" si="12"/>
        <v>-1.465428285290593E-3</v>
      </c>
      <c r="AG37">
        <f t="shared" si="13"/>
        <v>247556066.49126178</v>
      </c>
      <c r="AH37"/>
    </row>
    <row r="38" spans="1:34" ht="15">
      <c r="A38">
        <f t="shared" si="18"/>
        <v>13</v>
      </c>
      <c r="C38" s="101">
        <v>6.6061516000000001E-6</v>
      </c>
      <c r="D38" s="101">
        <v>4.7304110000000001E-5</v>
      </c>
      <c r="E38" s="101">
        <v>8.3817356999999997E-5</v>
      </c>
      <c r="F38" s="101">
        <v>1.0512405E-5</v>
      </c>
      <c r="G38" s="101">
        <v>3.5362966E-5</v>
      </c>
      <c r="H38" s="101">
        <v>4.2454867000000002E-5</v>
      </c>
      <c r="I38" s="101">
        <v>0.27321044</v>
      </c>
      <c r="J38" s="101">
        <v>4.1684306E-4</v>
      </c>
      <c r="K38" s="101">
        <v>7.6891147000000007E-2</v>
      </c>
      <c r="L38" s="101">
        <v>1.9144497000000001E-4</v>
      </c>
      <c r="M38" s="101">
        <v>37.796255000000002</v>
      </c>
      <c r="N38" s="101">
        <v>7.6980593E-2</v>
      </c>
      <c r="O38" s="101">
        <v>0.26978885000000002</v>
      </c>
      <c r="P38" s="101">
        <v>37.839647999999997</v>
      </c>
      <c r="Q38" s="106">
        <f t="shared" si="1"/>
        <v>5.0593750237845772</v>
      </c>
      <c r="R38" s="113">
        <f t="shared" si="2"/>
        <v>3.7793414349999999E-4</v>
      </c>
      <c r="S38" s="113">
        <f t="shared" si="3"/>
        <v>0.27318750231450001</v>
      </c>
      <c r="T38" s="113">
        <f t="shared" si="4"/>
        <v>7.6864191869200002E-2</v>
      </c>
      <c r="U38" s="113">
        <f t="shared" si="5"/>
        <v>7.6953637869199995E-2</v>
      </c>
      <c r="V38" s="113">
        <f t="shared" si="14"/>
        <v>0.26968138058800001</v>
      </c>
      <c r="W38" s="101">
        <f t="shared" si="15"/>
        <v>3.554158258495502</v>
      </c>
      <c r="X38" s="101">
        <f t="shared" si="16"/>
        <v>3.504465650426873</v>
      </c>
      <c r="Y38" s="101">
        <f t="shared" si="17"/>
        <v>491.72006740366174</v>
      </c>
      <c r="Z38" s="101">
        <f t="shared" si="6"/>
        <v>-1.314531416754267E-4</v>
      </c>
      <c r="AA38" s="2">
        <f t="shared" si="7"/>
        <v>491.60328133981051</v>
      </c>
      <c r="AB38" s="2">
        <f t="shared" si="8"/>
        <v>-482.69157274892763</v>
      </c>
      <c r="AC38" s="2">
        <f t="shared" si="9"/>
        <v>1710.2386408425798</v>
      </c>
      <c r="AD38" s="2">
        <f t="shared" si="10"/>
        <v>-3.4943135257147624</v>
      </c>
      <c r="AE38" s="2">
        <f t="shared" si="11"/>
        <v>140.94016309308321</v>
      </c>
      <c r="AF38" s="2">
        <f t="shared" si="12"/>
        <v>-1.4653281527862393E-3</v>
      </c>
      <c r="AG38">
        <f t="shared" si="13"/>
        <v>247399405.24429473</v>
      </c>
      <c r="AH38"/>
    </row>
    <row r="39" spans="1:34" ht="15">
      <c r="A39">
        <f t="shared" si="18"/>
        <v>14</v>
      </c>
      <c r="C39" s="101">
        <v>8.0286582999999998E-6</v>
      </c>
      <c r="D39" s="101">
        <v>4.1318903999999999E-5</v>
      </c>
      <c r="E39" s="101">
        <v>8.3666581000000004E-5</v>
      </c>
      <c r="F39" s="101">
        <v>1.2973578E-5</v>
      </c>
      <c r="G39" s="101">
        <v>3.2315586000000001E-5</v>
      </c>
      <c r="H39" s="101">
        <v>3.6174960000000002E-5</v>
      </c>
      <c r="I39" s="101">
        <v>0.27305648999999999</v>
      </c>
      <c r="J39" s="101">
        <v>4.1027191999999999E-4</v>
      </c>
      <c r="K39" s="101">
        <v>7.6862704000000004E-2</v>
      </c>
      <c r="L39" s="101">
        <v>1.9171611999999999E-4</v>
      </c>
      <c r="M39" s="101">
        <v>37.785668000000001</v>
      </c>
      <c r="N39" s="101">
        <v>7.7063571999999997E-2</v>
      </c>
      <c r="O39" s="101">
        <v>0.27002178999999998</v>
      </c>
      <c r="P39" s="101">
        <v>37.870958999999999</v>
      </c>
      <c r="Q39" s="106">
        <f t="shared" si="1"/>
        <v>5.0623518670335228</v>
      </c>
      <c r="R39" s="113">
        <f t="shared" si="2"/>
        <v>3.7602664699999997E-4</v>
      </c>
      <c r="S39" s="113">
        <f t="shared" si="3"/>
        <v>0.27303384541799997</v>
      </c>
      <c r="T39" s="113">
        <f t="shared" si="4"/>
        <v>7.6838030218850009E-2</v>
      </c>
      <c r="U39" s="113">
        <f t="shared" si="5"/>
        <v>7.7038898218850002E-2</v>
      </c>
      <c r="V39" s="113">
        <f t="shared" si="14"/>
        <v>0.269917463967</v>
      </c>
      <c r="W39" s="101">
        <f t="shared" si="15"/>
        <v>3.5533686202046724</v>
      </c>
      <c r="X39" s="101">
        <f t="shared" si="16"/>
        <v>3.5036516643868119</v>
      </c>
      <c r="Y39" s="101">
        <f t="shared" si="17"/>
        <v>491.58230290907341</v>
      </c>
      <c r="Z39" s="101">
        <f t="shared" si="6"/>
        <v>-1.2775125460572672E-4</v>
      </c>
      <c r="AA39" s="2">
        <f t="shared" si="7"/>
        <v>491.47099466341683</v>
      </c>
      <c r="AB39" s="2">
        <f t="shared" si="8"/>
        <v>-482.55446038913647</v>
      </c>
      <c r="AC39" s="2">
        <f t="shared" si="9"/>
        <v>1709.3854694097763</v>
      </c>
      <c r="AD39" s="2">
        <f t="shared" si="10"/>
        <v>-3.493511833491632</v>
      </c>
      <c r="AE39" s="2">
        <f t="shared" si="11"/>
        <v>140.91979764778219</v>
      </c>
      <c r="AF39" s="2">
        <f t="shared" si="12"/>
        <v>-1.4648531449003158E-3</v>
      </c>
      <c r="AG39">
        <f t="shared" si="13"/>
        <v>247287873.63009074</v>
      </c>
      <c r="AH39"/>
    </row>
    <row r="40" spans="1:34" ht="15">
      <c r="A40">
        <f t="shared" si="18"/>
        <v>15</v>
      </c>
      <c r="C40" s="101">
        <v>8.2996122000000003E-6</v>
      </c>
      <c r="D40" s="101">
        <v>4.7362574000000002E-5</v>
      </c>
      <c r="E40" s="101">
        <v>7.6942006999999995E-5</v>
      </c>
      <c r="F40" s="101">
        <v>-5.8914271000000003E-7</v>
      </c>
      <c r="G40" s="101">
        <v>2.6052775000000001E-5</v>
      </c>
      <c r="H40" s="101">
        <v>3.4772728999999999E-5</v>
      </c>
      <c r="I40" s="101">
        <v>0.27342820000000001</v>
      </c>
      <c r="J40" s="101">
        <v>4.0427825999999999E-4</v>
      </c>
      <c r="K40" s="101">
        <v>7.6948686000000002E-2</v>
      </c>
      <c r="L40" s="101">
        <v>1.8518660000000001E-4</v>
      </c>
      <c r="M40" s="101">
        <v>37.830486999999998</v>
      </c>
      <c r="N40" s="101">
        <v>7.7085476E-2</v>
      </c>
      <c r="O40" s="101">
        <v>0.27008979</v>
      </c>
      <c r="P40" s="101">
        <v>37.888356000000002</v>
      </c>
      <c r="Q40" s="106">
        <f t="shared" si="1"/>
        <v>4.8876916169178735</v>
      </c>
      <c r="R40" s="113">
        <f t="shared" si="2"/>
        <v>3.73865508E-4</v>
      </c>
      <c r="S40" s="113">
        <f t="shared" si="3"/>
        <v>0.27341546818385504</v>
      </c>
      <c r="T40" s="113">
        <f t="shared" si="4"/>
        <v>7.6920854906899996E-2</v>
      </c>
      <c r="U40" s="113">
        <f t="shared" si="5"/>
        <v>7.7057644906899994E-2</v>
      </c>
      <c r="V40" s="113">
        <f t="shared" si="14"/>
        <v>0.26998916670599998</v>
      </c>
      <c r="W40" s="101">
        <f t="shared" si="15"/>
        <v>3.5545037625333125</v>
      </c>
      <c r="X40" s="101">
        <f t="shared" si="16"/>
        <v>3.5037297990640286</v>
      </c>
      <c r="Y40" s="101">
        <f t="shared" si="17"/>
        <v>491.68847615024055</v>
      </c>
      <c r="Z40" s="101">
        <f t="shared" si="6"/>
        <v>-2.8918374024424428E-5</v>
      </c>
      <c r="AA40" s="2">
        <f t="shared" si="7"/>
        <v>491.72300723010318</v>
      </c>
      <c r="AB40" s="2">
        <f t="shared" si="8"/>
        <v>-482.610986739986</v>
      </c>
      <c r="AC40" s="2">
        <f t="shared" si="9"/>
        <v>1710.472518867273</v>
      </c>
      <c r="AD40" s="2">
        <f t="shared" si="10"/>
        <v>-3.4939353412487923</v>
      </c>
      <c r="AE40" s="2">
        <f t="shared" si="11"/>
        <v>140.94332271275908</v>
      </c>
      <c r="AF40" s="2">
        <f t="shared" si="12"/>
        <v>-1.4655992780119378E-3</v>
      </c>
      <c r="AG40">
        <f t="shared" si="13"/>
        <v>247396728.86677578</v>
      </c>
      <c r="AH40"/>
    </row>
    <row r="41" spans="1:34" ht="15">
      <c r="A41">
        <f t="shared" si="18"/>
        <v>16</v>
      </c>
      <c r="C41" s="101">
        <v>2.6884570000000001E-5</v>
      </c>
      <c r="D41" s="101">
        <v>1.2715928E-5</v>
      </c>
      <c r="E41" s="101">
        <v>7.1763059000000005E-5</v>
      </c>
      <c r="F41" s="101">
        <v>-2.4940275999999999E-6</v>
      </c>
      <c r="G41" s="101">
        <v>2.6165708000000001E-5</v>
      </c>
      <c r="H41" s="101">
        <v>2.3902778000000001E-5</v>
      </c>
      <c r="I41" s="101">
        <v>0.27411928000000002</v>
      </c>
      <c r="J41" s="101">
        <v>4.0159457000000002E-4</v>
      </c>
      <c r="K41" s="101">
        <v>7.7142799999999997E-2</v>
      </c>
      <c r="L41" s="101">
        <v>1.4312318E-4</v>
      </c>
      <c r="M41" s="101">
        <v>37.926422000000002</v>
      </c>
      <c r="N41" s="101">
        <v>7.7078471999999995E-2</v>
      </c>
      <c r="O41" s="101">
        <v>0.27007975000000001</v>
      </c>
      <c r="P41" s="101">
        <v>37.886684000000002</v>
      </c>
      <c r="Q41" s="106">
        <f t="shared" si="1"/>
        <v>3.7776644691311598</v>
      </c>
      <c r="R41" s="113">
        <f t="shared" si="2"/>
        <v>3.7656032700000001E-4</v>
      </c>
      <c r="S41" s="113">
        <f t="shared" si="3"/>
        <v>0.27410744415980004</v>
      </c>
      <c r="T41" s="113">
        <f t="shared" si="4"/>
        <v>7.7122999750999996E-2</v>
      </c>
      <c r="U41" s="113">
        <f t="shared" si="5"/>
        <v>7.7058671750999994E-2</v>
      </c>
      <c r="V41" s="113">
        <f t="shared" si="14"/>
        <v>0.27000162897700003</v>
      </c>
      <c r="W41" s="101">
        <f t="shared" si="15"/>
        <v>3.5541595249768005</v>
      </c>
      <c r="X41" s="101">
        <f t="shared" si="16"/>
        <v>3.5038448346145574</v>
      </c>
      <c r="Y41" s="101">
        <f t="shared" si="17"/>
        <v>491.66022641064205</v>
      </c>
      <c r="Z41" s="101">
        <f t="shared" si="6"/>
        <v>-7.2123843384550254E-5</v>
      </c>
      <c r="AA41" s="2">
        <f t="shared" si="7"/>
        <v>491.63100442785577</v>
      </c>
      <c r="AB41" s="2">
        <f t="shared" si="8"/>
        <v>-482.60412139373221</v>
      </c>
      <c r="AC41" s="2">
        <f t="shared" si="9"/>
        <v>1710.133750460544</v>
      </c>
      <c r="AD41" s="2">
        <f t="shared" si="10"/>
        <v>-3.4938995093765275</v>
      </c>
      <c r="AE41" s="2">
        <f t="shared" si="11"/>
        <v>140.93396336790914</v>
      </c>
      <c r="AF41" s="2">
        <f t="shared" si="12"/>
        <v>-1.4653188698875435E-3</v>
      </c>
      <c r="AG41">
        <f t="shared" si="13"/>
        <v>247370266.78008017</v>
      </c>
      <c r="AH41"/>
    </row>
    <row r="42" spans="1:34" ht="15">
      <c r="A42">
        <f t="shared" si="18"/>
        <v>17</v>
      </c>
      <c r="C42" s="101">
        <v>1.5095745E-5</v>
      </c>
      <c r="D42" s="101">
        <v>4.6096096000000003E-5</v>
      </c>
      <c r="E42" s="101">
        <v>7.6104143999999996E-5</v>
      </c>
      <c r="F42" s="101">
        <v>1.5133026999999999E-5</v>
      </c>
      <c r="G42" s="101">
        <v>1.8917706999999999E-5</v>
      </c>
      <c r="H42" s="101">
        <v>3.0947571999999998E-5</v>
      </c>
      <c r="I42" s="101">
        <v>0.27339047999999999</v>
      </c>
      <c r="J42" s="101">
        <v>3.9025753000000002E-4</v>
      </c>
      <c r="K42" s="101">
        <v>7.6950386999999995E-2</v>
      </c>
      <c r="L42" s="101">
        <v>1.5045891000000001E-4</v>
      </c>
      <c r="M42" s="101">
        <v>37.831752000000002</v>
      </c>
      <c r="N42" s="101">
        <v>7.6739595999999993E-2</v>
      </c>
      <c r="O42" s="101">
        <v>0.26893304000000001</v>
      </c>
      <c r="P42" s="101">
        <v>37.724420000000002</v>
      </c>
      <c r="Q42" s="106">
        <f t="shared" si="1"/>
        <v>3.9883690723409404</v>
      </c>
      <c r="R42" s="113">
        <f t="shared" si="2"/>
        <v>3.6532489050000001E-4</v>
      </c>
      <c r="S42" s="113">
        <f t="shared" si="3"/>
        <v>0.273373454633</v>
      </c>
      <c r="T42" s="113">
        <f t="shared" si="4"/>
        <v>7.6919791079499991E-2</v>
      </c>
      <c r="U42" s="113">
        <f t="shared" si="5"/>
        <v>7.6709000079499989E-2</v>
      </c>
      <c r="V42" s="113">
        <f t="shared" si="14"/>
        <v>0.26883388780799999</v>
      </c>
      <c r="W42" s="101">
        <f t="shared" si="15"/>
        <v>3.5540067230611236</v>
      </c>
      <c r="X42" s="101">
        <f t="shared" si="16"/>
        <v>3.5045938224899924</v>
      </c>
      <c r="Y42" s="101">
        <f t="shared" si="17"/>
        <v>491.78610020861976</v>
      </c>
      <c r="Z42" s="101">
        <f t="shared" si="6"/>
        <v>-1.5786003544922088E-4</v>
      </c>
      <c r="AA42" s="2">
        <f t="shared" si="7"/>
        <v>491.63031098968662</v>
      </c>
      <c r="AB42" s="2">
        <f t="shared" si="8"/>
        <v>-482.76918929301627</v>
      </c>
      <c r="AC42" s="2">
        <f t="shared" si="9"/>
        <v>1710.3492212721599</v>
      </c>
      <c r="AD42" s="2">
        <f t="shared" si="10"/>
        <v>-3.4943497270972674</v>
      </c>
      <c r="AE42" s="2">
        <f t="shared" si="11"/>
        <v>140.96398569897838</v>
      </c>
      <c r="AF42" s="2">
        <f t="shared" si="12"/>
        <v>-1.4656296337438818E-3</v>
      </c>
      <c r="AG42">
        <f t="shared" si="13"/>
        <v>247391305.29734772</v>
      </c>
      <c r="AH42"/>
    </row>
    <row r="43" spans="1:34" ht="15">
      <c r="A43">
        <f t="shared" si="18"/>
        <v>18</v>
      </c>
      <c r="C43" s="101">
        <v>-4.2164516E-6</v>
      </c>
      <c r="D43" s="101">
        <v>3.2796582999999997E-5</v>
      </c>
      <c r="E43" s="101">
        <v>7.2084620999999995E-5</v>
      </c>
      <c r="F43" s="101">
        <v>2.2515007999999999E-5</v>
      </c>
      <c r="G43" s="101">
        <v>2.2635781999999998E-5</v>
      </c>
      <c r="H43" s="101">
        <v>3.8598976000000002E-5</v>
      </c>
      <c r="I43" s="101">
        <v>0.27110687999999999</v>
      </c>
      <c r="J43" s="101">
        <v>3.9303531999999999E-4</v>
      </c>
      <c r="K43" s="101">
        <v>7.6304431000000006E-2</v>
      </c>
      <c r="L43" s="101">
        <v>1.7194618000000001E-4</v>
      </c>
      <c r="M43" s="101">
        <v>37.510899999999999</v>
      </c>
      <c r="N43" s="101">
        <v>7.6186212000000003E-2</v>
      </c>
      <c r="O43" s="101">
        <v>0.26702579999999998</v>
      </c>
      <c r="P43" s="101">
        <v>37.458185999999998</v>
      </c>
      <c r="Q43" s="106">
        <f t="shared" si="1"/>
        <v>4.5903498904084685</v>
      </c>
      <c r="R43" s="113">
        <f t="shared" si="2"/>
        <v>3.62417941E-4</v>
      </c>
      <c r="S43" s="113">
        <f t="shared" si="3"/>
        <v>0.27108430460499999</v>
      </c>
      <c r="T43" s="113">
        <f t="shared" si="4"/>
        <v>7.6290140934300005E-2</v>
      </c>
      <c r="U43" s="113">
        <f t="shared" si="5"/>
        <v>7.6171921934300002E-2</v>
      </c>
      <c r="V43" s="113">
        <f t="shared" si="14"/>
        <v>0.26693731708749996</v>
      </c>
      <c r="W43" s="101">
        <f t="shared" si="15"/>
        <v>3.5533333833850693</v>
      </c>
      <c r="X43" s="101">
        <f t="shared" si="16"/>
        <v>3.504405695811895</v>
      </c>
      <c r="Y43" s="101">
        <f t="shared" si="17"/>
        <v>491.75844653504379</v>
      </c>
      <c r="Z43" s="101">
        <f t="shared" si="6"/>
        <v>-2.0295540313513161E-4</v>
      </c>
      <c r="AA43" s="2">
        <f t="shared" si="7"/>
        <v>491.53607168644373</v>
      </c>
      <c r="AB43" s="2">
        <f t="shared" si="8"/>
        <v>-482.76381458508945</v>
      </c>
      <c r="AC43" s="2">
        <f t="shared" si="9"/>
        <v>1709.8502351111301</v>
      </c>
      <c r="AD43" s="2">
        <f t="shared" si="10"/>
        <v>-3.4940039679350017</v>
      </c>
      <c r="AE43" s="2">
        <f t="shared" si="11"/>
        <v>140.96737018477913</v>
      </c>
      <c r="AF43" s="2">
        <f t="shared" si="12"/>
        <v>-1.465477217119033E-3</v>
      </c>
      <c r="AG43">
        <f t="shared" si="13"/>
        <v>247319979.99473929</v>
      </c>
      <c r="AH43"/>
    </row>
    <row r="44" spans="1:34" ht="15">
      <c r="A44">
        <f t="shared" si="18"/>
        <v>19</v>
      </c>
      <c r="C44" s="101">
        <v>2.5763286000000002E-6</v>
      </c>
      <c r="D44" s="101">
        <v>4.2972539000000002E-5</v>
      </c>
      <c r="E44" s="101">
        <v>8.116656E-5</v>
      </c>
      <c r="F44" s="101">
        <v>8.3401617999999997E-6</v>
      </c>
      <c r="G44" s="101">
        <v>2.5608746E-5</v>
      </c>
      <c r="H44" s="101">
        <v>2.9610226000000001E-5</v>
      </c>
      <c r="I44" s="101">
        <v>0.26954218000000002</v>
      </c>
      <c r="J44" s="101">
        <v>3.8811208999999999E-4</v>
      </c>
      <c r="K44" s="101">
        <v>7.5864526000000002E-2</v>
      </c>
      <c r="L44" s="101">
        <v>1.6291392999999999E-4</v>
      </c>
      <c r="M44" s="101">
        <v>37.299559000000002</v>
      </c>
      <c r="N44" s="101">
        <v>7.5741867000000004E-2</v>
      </c>
      <c r="O44" s="101">
        <v>0.26551925999999998</v>
      </c>
      <c r="P44" s="101">
        <v>37.240606999999997</v>
      </c>
      <c r="Q44" s="106">
        <f t="shared" si="1"/>
        <v>4.3746314339076156</v>
      </c>
      <c r="R44" s="113">
        <f t="shared" si="2"/>
        <v>3.6050260399999998E-4</v>
      </c>
      <c r="S44" s="113">
        <f t="shared" si="3"/>
        <v>0.26952520554610004</v>
      </c>
      <c r="T44" s="113">
        <f t="shared" si="4"/>
        <v>7.5841751566200002E-2</v>
      </c>
      <c r="U44" s="113">
        <f t="shared" si="5"/>
        <v>7.5719092566200005E-2</v>
      </c>
      <c r="V44" s="113">
        <f t="shared" si="14"/>
        <v>0.26541660717049997</v>
      </c>
      <c r="W44" s="101">
        <f t="shared" si="15"/>
        <v>3.5537840303020896</v>
      </c>
      <c r="X44" s="101">
        <f t="shared" si="16"/>
        <v>3.5052798201252933</v>
      </c>
      <c r="Y44" s="101">
        <f t="shared" si="17"/>
        <v>491.82584917326</v>
      </c>
      <c r="Z44" s="101">
        <f t="shared" si="6"/>
        <v>-2.4409733182432575E-4</v>
      </c>
      <c r="AA44" s="2">
        <f t="shared" si="7"/>
        <v>491.54269215404196</v>
      </c>
      <c r="AB44" s="2">
        <f t="shared" si="8"/>
        <v>-482.84992444609009</v>
      </c>
      <c r="AC44" s="2">
        <f t="shared" si="9"/>
        <v>1710.2307278385981</v>
      </c>
      <c r="AD44" s="2">
        <f t="shared" si="10"/>
        <v>-3.4947346684062364</v>
      </c>
      <c r="AE44" s="2">
        <f t="shared" si="11"/>
        <v>140.96366107342001</v>
      </c>
      <c r="AF44" s="2">
        <f t="shared" si="12"/>
        <v>-1.4654518382432062E-3</v>
      </c>
      <c r="AG44">
        <f t="shared" si="13"/>
        <v>247403008.87440354</v>
      </c>
      <c r="AH44"/>
    </row>
    <row r="45" spans="1:34" ht="15">
      <c r="A45">
        <f t="shared" si="18"/>
        <v>20</v>
      </c>
      <c r="C45" s="101">
        <v>6.3940255999999998E-6</v>
      </c>
      <c r="D45" s="101">
        <v>4.1828491000000003E-5</v>
      </c>
      <c r="E45" s="101">
        <v>6.7699705000000005E-5</v>
      </c>
      <c r="F45" s="101">
        <v>1.6788376000000001E-5</v>
      </c>
      <c r="G45" s="101">
        <v>1.3062143000000001E-5</v>
      </c>
      <c r="H45" s="101">
        <v>3.6435822000000001E-5</v>
      </c>
      <c r="I45" s="101">
        <v>0.26749641000000002</v>
      </c>
      <c r="J45" s="101">
        <v>3.8691516E-4</v>
      </c>
      <c r="K45" s="101">
        <v>7.5301528000000006E-2</v>
      </c>
      <c r="L45" s="101">
        <v>1.6991806E-4</v>
      </c>
      <c r="M45" s="101">
        <v>37.012953000000003</v>
      </c>
      <c r="N45" s="101">
        <v>7.5010906000000002E-2</v>
      </c>
      <c r="O45" s="101">
        <v>0.26278793</v>
      </c>
      <c r="P45" s="101">
        <v>36.862298000000003</v>
      </c>
      <c r="Q45" s="106">
        <f t="shared" si="1"/>
        <v>4.6095351950114445</v>
      </c>
      <c r="R45" s="113">
        <f t="shared" si="2"/>
        <v>3.6216617750000002E-4</v>
      </c>
      <c r="S45" s="113">
        <f t="shared" si="3"/>
        <v>0.26748148474050004</v>
      </c>
      <c r="T45" s="113">
        <f t="shared" si="4"/>
        <v>7.5277416741700007E-2</v>
      </c>
      <c r="U45" s="113">
        <f t="shared" si="5"/>
        <v>7.4986794741700002E-2</v>
      </c>
      <c r="V45" s="113">
        <f t="shared" si="14"/>
        <v>0.26269931604949998</v>
      </c>
      <c r="W45" s="101">
        <f t="shared" si="15"/>
        <v>3.55327661758521</v>
      </c>
      <c r="X45" s="101">
        <f t="shared" si="16"/>
        <v>3.5032743692325528</v>
      </c>
      <c r="Y45" s="101">
        <f t="shared" si="17"/>
        <v>491.5838598912797</v>
      </c>
      <c r="Z45" s="101">
        <f t="shared" si="6"/>
        <v>-1.0037569140849299E-4</v>
      </c>
      <c r="AA45" s="2">
        <f t="shared" si="7"/>
        <v>491.51294206190573</v>
      </c>
      <c r="AB45" s="2">
        <f t="shared" si="8"/>
        <v>-482.54275540847965</v>
      </c>
      <c r="AC45" s="2">
        <f t="shared" si="9"/>
        <v>1709.3936770810503</v>
      </c>
      <c r="AD45" s="2">
        <f t="shared" si="10"/>
        <v>-3.4932300313872084</v>
      </c>
      <c r="AE45" s="2">
        <f t="shared" si="11"/>
        <v>140.93177215455964</v>
      </c>
      <c r="AF45" s="2">
        <f t="shared" si="12"/>
        <v>-1.4650611128700247E-3</v>
      </c>
      <c r="AG45">
        <f t="shared" si="13"/>
        <v>247261506.73976499</v>
      </c>
      <c r="AH45"/>
    </row>
    <row r="46" spans="1:34" ht="15">
      <c r="A46">
        <f t="shared" si="18"/>
        <v>21</v>
      </c>
      <c r="C46" s="101">
        <v>1.0450763E-5</v>
      </c>
      <c r="D46" s="101">
        <v>5.8349162999999999E-5</v>
      </c>
      <c r="E46" s="101">
        <v>6.3737390999999999E-5</v>
      </c>
      <c r="F46" s="101">
        <v>7.0360875000000003E-6</v>
      </c>
      <c r="G46" s="101">
        <v>7.5702857000000004E-6</v>
      </c>
      <c r="H46" s="101">
        <v>4.0118481E-5</v>
      </c>
      <c r="I46" s="101">
        <v>0.26421087999999998</v>
      </c>
      <c r="J46" s="101">
        <v>3.7141177E-4</v>
      </c>
      <c r="K46" s="101">
        <v>7.4370827E-2</v>
      </c>
      <c r="L46" s="101">
        <v>1.2979566000000001E-4</v>
      </c>
      <c r="M46" s="101">
        <v>36.556479000000003</v>
      </c>
      <c r="N46" s="101">
        <v>7.4381196999999996E-2</v>
      </c>
      <c r="O46" s="101">
        <v>0.26069916999999998</v>
      </c>
      <c r="P46" s="101">
        <v>36.569792999999997</v>
      </c>
      <c r="Q46" s="106">
        <f t="shared" si="1"/>
        <v>3.5492588104067204</v>
      </c>
      <c r="R46" s="113">
        <f t="shared" si="2"/>
        <v>3.4756738665000001E-4</v>
      </c>
      <c r="S46" s="113">
        <f t="shared" si="3"/>
        <v>0.26420357681339995</v>
      </c>
      <c r="T46" s="113">
        <f t="shared" si="4"/>
        <v>7.4336427036999997E-2</v>
      </c>
      <c r="U46" s="113">
        <f t="shared" si="5"/>
        <v>7.4346797036999993E-2</v>
      </c>
      <c r="V46" s="113">
        <f t="shared" si="14"/>
        <v>0.26060625802749998</v>
      </c>
      <c r="W46" s="101">
        <f t="shared" si="15"/>
        <v>3.5541602864756472</v>
      </c>
      <c r="X46" s="101">
        <f t="shared" si="16"/>
        <v>3.5052788877751477</v>
      </c>
      <c r="Y46" s="101">
        <f t="shared" si="17"/>
        <v>491.88121691107142</v>
      </c>
      <c r="Z46" s="101">
        <f t="shared" si="6"/>
        <v>-2.0879456805606686E-4</v>
      </c>
      <c r="AA46" s="2">
        <f t="shared" si="7"/>
        <v>491.65018062034693</v>
      </c>
      <c r="AB46" s="2">
        <f t="shared" si="8"/>
        <v>-482.88724539905667</v>
      </c>
      <c r="AC46" s="2">
        <f t="shared" si="9"/>
        <v>1710.6656940487405</v>
      </c>
      <c r="AD46" s="2">
        <f t="shared" si="10"/>
        <v>-3.494857285379545</v>
      </c>
      <c r="AE46" s="2">
        <f t="shared" si="11"/>
        <v>140.97990324118317</v>
      </c>
      <c r="AF46" s="2">
        <f t="shared" si="12"/>
        <v>-1.465834684925963E-3</v>
      </c>
      <c r="AG46">
        <f t="shared" si="13"/>
        <v>247437797.82938784</v>
      </c>
      <c r="AH46"/>
    </row>
    <row r="47" spans="1:34" ht="15">
      <c r="A47">
        <f t="shared" si="18"/>
        <v>22</v>
      </c>
      <c r="C47" s="101">
        <v>1.0611971E-5</v>
      </c>
      <c r="D47" s="101">
        <v>3.4234467000000002E-5</v>
      </c>
      <c r="E47" s="101">
        <v>7.4145218999999995E-5</v>
      </c>
      <c r="F47" s="101">
        <v>1.3814157E-5</v>
      </c>
      <c r="G47" s="101">
        <v>3.1587403999999999E-5</v>
      </c>
      <c r="H47" s="101">
        <v>2.1663299E-5</v>
      </c>
      <c r="I47" s="101">
        <v>0.26298737999999999</v>
      </c>
      <c r="J47" s="101">
        <v>3.7540164999999998E-4</v>
      </c>
      <c r="K47" s="101">
        <v>7.4022570999999995E-2</v>
      </c>
      <c r="L47" s="101">
        <v>1.4697741E-4</v>
      </c>
      <c r="M47" s="101">
        <v>36.388795000000002</v>
      </c>
      <c r="N47" s="101">
        <v>7.3917095000000002E-2</v>
      </c>
      <c r="O47" s="101">
        <v>0.25906821000000002</v>
      </c>
      <c r="P47" s="101">
        <v>36.341890999999997</v>
      </c>
      <c r="Q47" s="106">
        <f t="shared" si="1"/>
        <v>4.0442972546475362</v>
      </c>
      <c r="R47" s="113">
        <f t="shared" si="2"/>
        <v>3.4877629849999997E-4</v>
      </c>
      <c r="S47" s="113">
        <f t="shared" si="3"/>
        <v>0.26296467921950001</v>
      </c>
      <c r="T47" s="113">
        <f t="shared" si="4"/>
        <v>7.4000147780999989E-2</v>
      </c>
      <c r="U47" s="113">
        <f t="shared" si="5"/>
        <v>7.3894671780999996E-2</v>
      </c>
      <c r="V47" s="113">
        <f t="shared" si="14"/>
        <v>0.2589769475475</v>
      </c>
      <c r="W47" s="101">
        <f t="shared" si="15"/>
        <v>3.5535696495868061</v>
      </c>
      <c r="X47" s="101">
        <f t="shared" si="16"/>
        <v>3.5046768773129444</v>
      </c>
      <c r="Y47" s="101">
        <f t="shared" si="17"/>
        <v>491.80665025085511</v>
      </c>
      <c r="Z47" s="101">
        <f t="shared" si="6"/>
        <v>-2.0669179037258195E-4</v>
      </c>
      <c r="AA47" s="2">
        <f t="shared" si="7"/>
        <v>491.57874125852334</v>
      </c>
      <c r="AB47" s="2">
        <f t="shared" si="8"/>
        <v>-482.81297311269606</v>
      </c>
      <c r="AC47" s="2">
        <f t="shared" si="9"/>
        <v>1710.1252120110228</v>
      </c>
      <c r="AD47" s="2">
        <f t="shared" si="10"/>
        <v>-3.4942622957286287</v>
      </c>
      <c r="AE47" s="2">
        <f t="shared" si="11"/>
        <v>140.97539035579152</v>
      </c>
      <c r="AF47" s="2">
        <f t="shared" si="12"/>
        <v>-1.4656455441607776E-3</v>
      </c>
      <c r="AG47">
        <f t="shared" si="13"/>
        <v>247354646.31563213</v>
      </c>
      <c r="AH47"/>
    </row>
    <row r="48" spans="1:34" ht="15">
      <c r="A48">
        <f t="shared" si="18"/>
        <v>23</v>
      </c>
      <c r="C48" s="101">
        <v>1.2407246E-5</v>
      </c>
      <c r="D48" s="101">
        <v>3.9461505999999998E-5</v>
      </c>
      <c r="E48" s="101">
        <v>5.8220241000000001E-5</v>
      </c>
      <c r="F48" s="101">
        <v>2.3010422999999999E-5</v>
      </c>
      <c r="G48" s="101">
        <v>1.4042399E-5</v>
      </c>
      <c r="H48" s="101">
        <v>2.5027656000000001E-5</v>
      </c>
      <c r="I48" s="101">
        <v>0.26073942999999999</v>
      </c>
      <c r="J48" s="101">
        <v>3.7578199E-4</v>
      </c>
      <c r="K48" s="101">
        <v>7.3389984000000005E-2</v>
      </c>
      <c r="L48" s="101">
        <v>1.7160682000000001E-4</v>
      </c>
      <c r="M48" s="101">
        <v>36.082886999999999</v>
      </c>
      <c r="N48" s="101">
        <v>7.3286898000000003E-2</v>
      </c>
      <c r="O48" s="101">
        <v>0.25684666</v>
      </c>
      <c r="P48" s="101">
        <v>36.030982999999999</v>
      </c>
      <c r="Q48" s="106">
        <f t="shared" si="1"/>
        <v>4.762757097134986</v>
      </c>
      <c r="R48" s="113">
        <f t="shared" si="2"/>
        <v>3.5624696250000001E-4</v>
      </c>
      <c r="S48" s="113">
        <f t="shared" si="3"/>
        <v>0.26072090358900002</v>
      </c>
      <c r="T48" s="113">
        <f t="shared" si="4"/>
        <v>7.3364049624000005E-2</v>
      </c>
      <c r="U48" s="113">
        <f t="shared" si="5"/>
        <v>7.3260963624000003E-2</v>
      </c>
      <c r="V48" s="113">
        <f t="shared" si="14"/>
        <v>0.25676870900600002</v>
      </c>
      <c r="W48" s="101">
        <f t="shared" si="15"/>
        <v>3.5537965110326857</v>
      </c>
      <c r="X48" s="101">
        <f t="shared" si="16"/>
        <v>3.5048502818475566</v>
      </c>
      <c r="Y48" s="101">
        <f t="shared" si="17"/>
        <v>491.81694066874644</v>
      </c>
      <c r="Z48" s="101">
        <f t="shared" si="6"/>
        <v>-2.0198724891833233E-4</v>
      </c>
      <c r="AA48" s="2">
        <f t="shared" si="7"/>
        <v>491.5959792249933</v>
      </c>
      <c r="AB48" s="2">
        <f t="shared" si="8"/>
        <v>-482.82081164641397</v>
      </c>
      <c r="AC48" s="2">
        <f t="shared" si="9"/>
        <v>1710.2786046872816</v>
      </c>
      <c r="AD48" s="2">
        <f t="shared" si="10"/>
        <v>-3.4944521907176633</v>
      </c>
      <c r="AE48" s="2">
        <f t="shared" si="11"/>
        <v>140.97165850883638</v>
      </c>
      <c r="AF48" s="2">
        <f t="shared" si="12"/>
        <v>-1.465641063701179E-3</v>
      </c>
      <c r="AG48">
        <f t="shared" si="13"/>
        <v>247383876.66596189</v>
      </c>
      <c r="AH48"/>
    </row>
    <row r="49" spans="1:34" ht="15">
      <c r="A49">
        <f t="shared" si="18"/>
        <v>24</v>
      </c>
      <c r="C49" s="101">
        <v>2.5003027000000001E-6</v>
      </c>
      <c r="D49" s="101">
        <v>2.9372824E-5</v>
      </c>
      <c r="E49" s="101">
        <v>7.3874266999999995E-5</v>
      </c>
      <c r="F49" s="101">
        <v>-1.2019193000000001E-7</v>
      </c>
      <c r="G49" s="101">
        <v>8.7334733999999995E-6</v>
      </c>
      <c r="H49" s="101">
        <v>2.2506269E-5</v>
      </c>
      <c r="I49" s="101">
        <v>0.25847266000000002</v>
      </c>
      <c r="J49" s="101">
        <v>3.7972713999999999E-4</v>
      </c>
      <c r="K49" s="101">
        <v>7.2747295000000003E-2</v>
      </c>
      <c r="L49" s="101">
        <v>1.5104085000000001E-4</v>
      </c>
      <c r="M49" s="101">
        <v>35.771948000000002</v>
      </c>
      <c r="N49" s="101">
        <v>7.2489463000000004E-2</v>
      </c>
      <c r="O49" s="101">
        <v>0.25404262</v>
      </c>
      <c r="P49" s="101">
        <v>35.638264999999997</v>
      </c>
      <c r="Q49" s="106">
        <f t="shared" si="1"/>
        <v>4.238165073411964</v>
      </c>
      <c r="R49" s="113">
        <f t="shared" si="2"/>
        <v>3.6410726879999996E-4</v>
      </c>
      <c r="S49" s="113">
        <f t="shared" si="3"/>
        <v>0.25846835335926505</v>
      </c>
      <c r="T49" s="113">
        <f t="shared" si="4"/>
        <v>7.2731358436650004E-2</v>
      </c>
      <c r="U49" s="113">
        <f t="shared" si="5"/>
        <v>7.2473526436650004E-2</v>
      </c>
      <c r="V49" s="113">
        <f t="shared" si="14"/>
        <v>0.25395405932100001</v>
      </c>
      <c r="W49" s="101">
        <f t="shared" si="15"/>
        <v>3.5537402148812398</v>
      </c>
      <c r="X49" s="101">
        <f t="shared" si="16"/>
        <v>3.5040941404029011</v>
      </c>
      <c r="Y49" s="101">
        <f t="shared" si="17"/>
        <v>491.74183667124078</v>
      </c>
      <c r="Z49" s="101">
        <f t="shared" si="6"/>
        <v>-1.3516072606823879E-4</v>
      </c>
      <c r="AA49" s="2">
        <f t="shared" si="7"/>
        <v>491.6195636570348</v>
      </c>
      <c r="AB49" s="2">
        <f t="shared" si="8"/>
        <v>-482.71473374751287</v>
      </c>
      <c r="AC49" s="2">
        <f t="shared" si="9"/>
        <v>1710.1060217008305</v>
      </c>
      <c r="AD49" s="2">
        <f t="shared" si="10"/>
        <v>-3.493929076046963</v>
      </c>
      <c r="AE49" s="2">
        <f t="shared" si="11"/>
        <v>140.9640282789575</v>
      </c>
      <c r="AF49" s="2">
        <f t="shared" si="12"/>
        <v>-1.4656086831001233E-3</v>
      </c>
      <c r="AG49">
        <f t="shared" si="13"/>
        <v>247343024.86922869</v>
      </c>
      <c r="AH49"/>
    </row>
    <row r="50" spans="1:34" ht="15">
      <c r="A50">
        <f t="shared" si="18"/>
        <v>25</v>
      </c>
      <c r="C50" s="101">
        <v>-1.1314556E-6</v>
      </c>
      <c r="D50" s="101">
        <v>1.8628080000000001E-5</v>
      </c>
      <c r="E50" s="101">
        <v>8.0121244000000002E-5</v>
      </c>
      <c r="F50" s="101">
        <v>7.2705713E-6</v>
      </c>
      <c r="G50" s="101">
        <v>8.2860934000000008E-6</v>
      </c>
      <c r="H50" s="101">
        <v>2.5900735E-5</v>
      </c>
      <c r="I50" s="101">
        <v>0.25529182</v>
      </c>
      <c r="J50" s="101">
        <v>3.7754202E-4</v>
      </c>
      <c r="K50" s="101">
        <v>7.1873432000000001E-2</v>
      </c>
      <c r="L50" s="101">
        <v>1.5866350999999999E-4</v>
      </c>
      <c r="M50" s="101">
        <v>35.329622999999998</v>
      </c>
      <c r="N50" s="101">
        <v>7.1691860999999996E-2</v>
      </c>
      <c r="O50" s="101">
        <v>0.25118642000000002</v>
      </c>
      <c r="P50" s="101">
        <v>35.237945000000003</v>
      </c>
      <c r="Q50" s="106">
        <f t="shared" si="1"/>
        <v>4.5026323186553583</v>
      </c>
      <c r="R50" s="113">
        <f t="shared" si="2"/>
        <v>3.6044860579999998E-4</v>
      </c>
      <c r="S50" s="113">
        <f t="shared" si="3"/>
        <v>0.25528404166765001</v>
      </c>
      <c r="T50" s="113">
        <f t="shared" si="4"/>
        <v>7.1864683687799996E-2</v>
      </c>
      <c r="U50" s="113">
        <f t="shared" si="5"/>
        <v>7.1683112687799991E-2</v>
      </c>
      <c r="V50" s="113">
        <f t="shared" si="14"/>
        <v>0.251096984716</v>
      </c>
      <c r="W50" s="101">
        <f t="shared" si="15"/>
        <v>3.5522878355197984</v>
      </c>
      <c r="X50" s="101">
        <f t="shared" si="16"/>
        <v>3.5028750189685209</v>
      </c>
      <c r="Y50" s="101">
        <f t="shared" si="17"/>
        <v>491.57944847444213</v>
      </c>
      <c r="Z50" s="101">
        <f t="shared" si="6"/>
        <v>-1.5487731286069388E-4</v>
      </c>
      <c r="AA50" s="2">
        <f t="shared" si="7"/>
        <v>491.42808878057843</v>
      </c>
      <c r="AB50" s="2">
        <f t="shared" si="8"/>
        <v>-482.56473783075046</v>
      </c>
      <c r="AC50" s="2">
        <f t="shared" si="9"/>
        <v>1708.8071595998463</v>
      </c>
      <c r="AD50" s="2">
        <f t="shared" si="10"/>
        <v>-3.4926403425903532</v>
      </c>
      <c r="AE50" s="2">
        <f t="shared" si="11"/>
        <v>140.95391946252786</v>
      </c>
      <c r="AF50" s="2">
        <f t="shared" si="12"/>
        <v>-1.4651224129394813E-3</v>
      </c>
      <c r="AG50">
        <f t="shared" si="13"/>
        <v>247150929.55125526</v>
      </c>
      <c r="AH50"/>
    </row>
    <row r="51" spans="1:34" ht="15">
      <c r="A51">
        <f t="shared" si="18"/>
        <v>26</v>
      </c>
      <c r="C51" s="101">
        <v>2.2284206999999998E-5</v>
      </c>
      <c r="D51" s="101">
        <v>2.8332053000000001E-5</v>
      </c>
      <c r="E51" s="101">
        <v>6.3183296000000004E-5</v>
      </c>
      <c r="F51" s="101">
        <v>1.1413116E-5</v>
      </c>
      <c r="G51" s="101">
        <v>1.2279534E-5</v>
      </c>
      <c r="H51" s="101">
        <v>3.5616120999999997E-5</v>
      </c>
      <c r="I51" s="101">
        <v>0.25495306000000001</v>
      </c>
      <c r="J51" s="101">
        <v>3.5375241000000003E-4</v>
      </c>
      <c r="K51" s="101">
        <v>7.1757134E-2</v>
      </c>
      <c r="L51" s="101">
        <v>1.1481336E-4</v>
      </c>
      <c r="M51" s="101">
        <v>35.277383999999998</v>
      </c>
      <c r="N51" s="101">
        <v>7.2142693999999993E-2</v>
      </c>
      <c r="O51" s="101">
        <v>0.25287390999999998</v>
      </c>
      <c r="P51" s="101">
        <v>35.475766999999998</v>
      </c>
      <c r="Q51" s="106">
        <f t="shared" si="1"/>
        <v>3.2363883774521351</v>
      </c>
      <c r="R51" s="113">
        <f t="shared" si="2"/>
        <v>3.2980458250000001E-4</v>
      </c>
      <c r="S51" s="113">
        <f t="shared" si="3"/>
        <v>0.254941213675</v>
      </c>
      <c r="T51" s="113">
        <f t="shared" si="4"/>
        <v>7.1731825870000002E-2</v>
      </c>
      <c r="U51" s="113">
        <f t="shared" si="5"/>
        <v>7.2117385869999995E-2</v>
      </c>
      <c r="V51" s="113">
        <f t="shared" si="14"/>
        <v>0.2527965606775</v>
      </c>
      <c r="W51" s="101">
        <f t="shared" si="15"/>
        <v>3.5540878903184678</v>
      </c>
      <c r="X51" s="101">
        <f t="shared" si="16"/>
        <v>3.5053483654162854</v>
      </c>
      <c r="Y51" s="101">
        <f t="shared" si="17"/>
        <v>491.91698467758118</v>
      </c>
      <c r="Z51" s="101">
        <f t="shared" si="6"/>
        <v>-2.2219209531040558E-4</v>
      </c>
      <c r="AA51" s="2">
        <f t="shared" si="7"/>
        <v>491.6661405356287</v>
      </c>
      <c r="AB51" s="2">
        <f t="shared" si="8"/>
        <v>-482.92885424946633</v>
      </c>
      <c r="AC51" s="2">
        <f t="shared" si="9"/>
        <v>1710.7317835517317</v>
      </c>
      <c r="AD51" s="2">
        <f t="shared" si="10"/>
        <v>-3.4948800818067309</v>
      </c>
      <c r="AE51" s="2">
        <f t="shared" si="11"/>
        <v>140.99267648499176</v>
      </c>
      <c r="AF51" s="2">
        <f t="shared" si="12"/>
        <v>-1.4659992670663581E-3</v>
      </c>
      <c r="AG51">
        <f t="shared" si="13"/>
        <v>247434311.21141514</v>
      </c>
      <c r="AH51"/>
    </row>
    <row r="52" spans="1:34" ht="15">
      <c r="A52">
        <f t="shared" si="18"/>
        <v>27</v>
      </c>
      <c r="C52" s="101">
        <v>9.7244130000000002E-6</v>
      </c>
      <c r="D52" s="101">
        <v>3.4304066999999999E-5</v>
      </c>
      <c r="E52" s="101">
        <v>7.9513681999999995E-5</v>
      </c>
      <c r="F52" s="101">
        <v>2.5013306E-5</v>
      </c>
      <c r="G52" s="101">
        <v>1.5709007000000001E-5</v>
      </c>
      <c r="H52" s="101">
        <v>2.5795918000000001E-5</v>
      </c>
      <c r="I52" s="101">
        <v>0.25727380999999999</v>
      </c>
      <c r="J52" s="101">
        <v>3.7979117000000001E-4</v>
      </c>
      <c r="K52" s="101">
        <v>7.2415861999999998E-2</v>
      </c>
      <c r="L52" s="101">
        <v>1.4285082999999999E-4</v>
      </c>
      <c r="M52" s="101">
        <v>35.604384000000003</v>
      </c>
      <c r="N52" s="101">
        <v>7.2343060000000001E-2</v>
      </c>
      <c r="O52" s="101">
        <v>0.25355435999999998</v>
      </c>
      <c r="P52" s="101">
        <v>35.568755000000003</v>
      </c>
      <c r="Q52" s="106">
        <f t="shared" si="1"/>
        <v>4.0161886464679464</v>
      </c>
      <c r="R52" s="113">
        <f t="shared" si="2"/>
        <v>3.5903870749999999E-4</v>
      </c>
      <c r="S52" s="113">
        <f t="shared" si="3"/>
        <v>0.25725344884349999</v>
      </c>
      <c r="T52" s="113">
        <f t="shared" si="4"/>
        <v>7.2393847759999991E-2</v>
      </c>
      <c r="U52" s="113">
        <f t="shared" si="5"/>
        <v>7.2321045759999994E-2</v>
      </c>
      <c r="V52" s="113">
        <f t="shared" si="14"/>
        <v>0.25345769428449999</v>
      </c>
      <c r="W52" s="101">
        <f t="shared" si="15"/>
        <v>3.553526394899555</v>
      </c>
      <c r="X52" s="101">
        <f t="shared" si="16"/>
        <v>3.5046187678979162</v>
      </c>
      <c r="Y52" s="101">
        <f t="shared" si="17"/>
        <v>491.81748723651208</v>
      </c>
      <c r="Z52" s="101">
        <f t="shared" si="6"/>
        <v>-2.0520102655734897E-4</v>
      </c>
      <c r="AA52" s="2">
        <f t="shared" si="7"/>
        <v>491.59177378400256</v>
      </c>
      <c r="AB52" s="2">
        <f t="shared" si="8"/>
        <v>-482.82289505427974</v>
      </c>
      <c r="AC52" s="2">
        <f t="shared" si="9"/>
        <v>1710.1445309501019</v>
      </c>
      <c r="AD52" s="2">
        <f t="shared" si="10"/>
        <v>-3.4942094252370266</v>
      </c>
      <c r="AE52" s="2">
        <f t="shared" si="11"/>
        <v>140.98167555069421</v>
      </c>
      <c r="AF52" s="2">
        <f t="shared" si="12"/>
        <v>-1.4657368339526309E-3</v>
      </c>
      <c r="AG52">
        <f t="shared" si="13"/>
        <v>247347870.59098646</v>
      </c>
      <c r="AH52"/>
    </row>
    <row r="53" spans="1:34" ht="15">
      <c r="A53">
        <f t="shared" si="18"/>
        <v>28</v>
      </c>
      <c r="C53" s="101">
        <v>1.0568763999999999E-5</v>
      </c>
      <c r="D53" s="101">
        <v>2.4096706999999998E-5</v>
      </c>
      <c r="E53" s="101">
        <v>7.3249940999999997E-5</v>
      </c>
      <c r="F53" s="101">
        <v>9.7093352999999992E-6</v>
      </c>
      <c r="G53" s="101">
        <v>7.1646591999999996E-6</v>
      </c>
      <c r="H53" s="101">
        <v>2.3901980000000001E-5</v>
      </c>
      <c r="I53" s="101">
        <v>0.25681093999999999</v>
      </c>
      <c r="J53" s="101">
        <v>3.8772108E-4</v>
      </c>
      <c r="K53" s="101">
        <v>7.2302297000000001E-2</v>
      </c>
      <c r="L53" s="101">
        <v>1.463057E-4</v>
      </c>
      <c r="M53" s="101">
        <v>35.54157</v>
      </c>
      <c r="N53" s="101">
        <v>7.2274943999999994E-2</v>
      </c>
      <c r="O53" s="101">
        <v>0.2533532</v>
      </c>
      <c r="P53" s="101">
        <v>35.539620999999997</v>
      </c>
      <c r="Q53" s="106">
        <f t="shared" si="1"/>
        <v>4.1166927469485399</v>
      </c>
      <c r="R53" s="113">
        <f t="shared" si="2"/>
        <v>3.7218776040000003E-4</v>
      </c>
      <c r="S53" s="113">
        <f t="shared" si="3"/>
        <v>0.25680250300274998</v>
      </c>
      <c r="T53" s="113">
        <f t="shared" si="4"/>
        <v>7.2284964264499998E-2</v>
      </c>
      <c r="U53" s="113">
        <f t="shared" si="5"/>
        <v>7.2257611264499991E-2</v>
      </c>
      <c r="V53" s="113">
        <f t="shared" si="14"/>
        <v>0.25326790170550001</v>
      </c>
      <c r="W53" s="101">
        <f t="shared" si="15"/>
        <v>3.552640657925437</v>
      </c>
      <c r="X53" s="101">
        <f t="shared" si="16"/>
        <v>3.5050688401310324</v>
      </c>
      <c r="Y53" s="101">
        <f t="shared" si="17"/>
        <v>491.84605438874416</v>
      </c>
      <c r="Z53" s="101">
        <f t="shared" si="6"/>
        <v>-3.3100375333142021E-4</v>
      </c>
      <c r="AA53" s="2">
        <f t="shared" si="7"/>
        <v>491.43447261996408</v>
      </c>
      <c r="AB53" s="2">
        <f t="shared" si="8"/>
        <v>-482.91176624098802</v>
      </c>
      <c r="AC53" s="2">
        <f t="shared" si="9"/>
        <v>1709.5985018632548</v>
      </c>
      <c r="AD53" s="2">
        <f t="shared" si="10"/>
        <v>-3.4942200138987163</v>
      </c>
      <c r="AE53" s="2">
        <f t="shared" si="11"/>
        <v>140.99218734630344</v>
      </c>
      <c r="AF53" s="2">
        <f t="shared" si="12"/>
        <v>-1.4655328902438386E-3</v>
      </c>
      <c r="AG53">
        <f t="shared" si="13"/>
        <v>247286924.36978281</v>
      </c>
      <c r="AH53"/>
    </row>
    <row r="54" spans="1:34" ht="15">
      <c r="A54">
        <f t="shared" si="18"/>
        <v>29</v>
      </c>
      <c r="C54" s="101">
        <v>2.1703707999999999E-5</v>
      </c>
      <c r="D54" s="101">
        <v>4.0261461999999997E-5</v>
      </c>
      <c r="E54" s="101">
        <v>7.8246016999999996E-5</v>
      </c>
      <c r="F54" s="101">
        <v>2.1043548000000001E-7</v>
      </c>
      <c r="G54" s="101">
        <v>-5.4685286999999997E-6</v>
      </c>
      <c r="H54" s="101">
        <v>2.0114113999999999E-5</v>
      </c>
      <c r="I54" s="101">
        <v>0.25620395000000001</v>
      </c>
      <c r="J54" s="101">
        <v>3.8407125999999998E-4</v>
      </c>
      <c r="K54" s="101">
        <v>7.2127063000000005E-2</v>
      </c>
      <c r="L54" s="101">
        <v>1.4044221000000001E-4</v>
      </c>
      <c r="M54" s="101">
        <v>35.461654000000003</v>
      </c>
      <c r="N54" s="101">
        <v>7.2094054000000005E-2</v>
      </c>
      <c r="O54" s="101">
        <v>0.25267574999999998</v>
      </c>
      <c r="P54" s="101">
        <v>35.44464</v>
      </c>
      <c r="Q54" s="106">
        <f t="shared" si="1"/>
        <v>3.9622975434367516</v>
      </c>
      <c r="R54" s="113">
        <f t="shared" si="2"/>
        <v>3.7674846735E-4</v>
      </c>
      <c r="S54" s="113">
        <f t="shared" si="3"/>
        <v>0.25620657904661004</v>
      </c>
      <c r="T54" s="113">
        <f t="shared" si="4"/>
        <v>7.2096080415E-2</v>
      </c>
      <c r="U54" s="113">
        <f t="shared" si="5"/>
        <v>7.2063071414999999E-2</v>
      </c>
      <c r="V54" s="113">
        <f t="shared" si="14"/>
        <v>0.25257737325199997</v>
      </c>
      <c r="W54" s="101">
        <f t="shared" si="15"/>
        <v>3.553682496632713</v>
      </c>
      <c r="X54" s="101">
        <f t="shared" si="16"/>
        <v>3.5049487663028716</v>
      </c>
      <c r="Y54" s="101">
        <f t="shared" si="17"/>
        <v>491.85580497783451</v>
      </c>
      <c r="Z54" s="101">
        <f t="shared" si="6"/>
        <v>-2.2204695760016111E-4</v>
      </c>
      <c r="AA54" s="2">
        <f t="shared" si="7"/>
        <v>491.60519748768183</v>
      </c>
      <c r="AB54" s="2">
        <f t="shared" si="8"/>
        <v>-482.86868153034544</v>
      </c>
      <c r="AC54" s="2">
        <f t="shared" si="9"/>
        <v>1710.3238361561571</v>
      </c>
      <c r="AD54" s="2">
        <f t="shared" si="10"/>
        <v>-3.4944807387380146</v>
      </c>
      <c r="AE54" s="2">
        <f t="shared" si="11"/>
        <v>140.98538623249721</v>
      </c>
      <c r="AF54" s="2">
        <f t="shared" si="12"/>
        <v>-1.465802137978635E-3</v>
      </c>
      <c r="AG54">
        <f t="shared" si="13"/>
        <v>247377895.27347374</v>
      </c>
      <c r="AH54"/>
    </row>
    <row r="55" spans="1:34" ht="15">
      <c r="A55">
        <f t="shared" si="18"/>
        <v>30</v>
      </c>
      <c r="C55" s="101">
        <v>2.6153073E-6</v>
      </c>
      <c r="D55" s="101">
        <v>3.0962664999999998E-5</v>
      </c>
      <c r="E55" s="101">
        <v>7.5404960999999994E-5</v>
      </c>
      <c r="F55" s="101">
        <v>9.7168742000000005E-6</v>
      </c>
      <c r="G55" s="101">
        <v>2.0310968000000002E-5</v>
      </c>
      <c r="H55" s="101">
        <v>3.6682406000000003E-5</v>
      </c>
      <c r="I55" s="101">
        <v>0.25559314</v>
      </c>
      <c r="J55" s="101">
        <v>3.6367612999999997E-4</v>
      </c>
      <c r="K55" s="101">
        <v>7.1944042E-2</v>
      </c>
      <c r="L55" s="101">
        <v>1.4203792000000001E-4</v>
      </c>
      <c r="M55" s="101">
        <v>35.379095</v>
      </c>
      <c r="N55" s="101">
        <v>7.1683352000000006E-2</v>
      </c>
      <c r="O55" s="101">
        <v>0.25128441000000001</v>
      </c>
      <c r="P55" s="101">
        <v>35.251627999999997</v>
      </c>
      <c r="Q55" s="106">
        <f t="shared" si="1"/>
        <v>4.0292584501345594</v>
      </c>
      <c r="R55" s="113">
        <f t="shared" si="2"/>
        <v>3.3517944299999998E-4</v>
      </c>
      <c r="S55" s="113">
        <f t="shared" si="3"/>
        <v>0.25557812607890001</v>
      </c>
      <c r="T55" s="113">
        <f t="shared" si="4"/>
        <v>7.1927253013850001E-2</v>
      </c>
      <c r="U55" s="113">
        <f t="shared" si="5"/>
        <v>7.1666563013850007E-2</v>
      </c>
      <c r="V55" s="113">
        <f t="shared" si="14"/>
        <v>0.2511935237065</v>
      </c>
      <c r="W55" s="101">
        <f t="shared" si="15"/>
        <v>3.5532863465491582</v>
      </c>
      <c r="X55" s="101">
        <f t="shared" si="16"/>
        <v>3.5050309815744241</v>
      </c>
      <c r="Y55" s="101">
        <f t="shared" si="17"/>
        <v>491.88389281605987</v>
      </c>
      <c r="Z55" s="101">
        <f t="shared" si="6"/>
        <v>-2.6696191362738021E-4</v>
      </c>
      <c r="AA55" s="2">
        <f t="shared" si="7"/>
        <v>491.56691516543322</v>
      </c>
      <c r="AB55" s="2">
        <f t="shared" si="8"/>
        <v>-482.9179809184651</v>
      </c>
      <c r="AC55" s="2">
        <f t="shared" si="9"/>
        <v>1710.152411951387</v>
      </c>
      <c r="AD55" s="2">
        <f t="shared" si="10"/>
        <v>-3.4944061151958281</v>
      </c>
      <c r="AE55" s="2">
        <f t="shared" si="11"/>
        <v>140.99915654813134</v>
      </c>
      <c r="AF55" s="2">
        <f t="shared" si="12"/>
        <v>-1.4658690770390094E-3</v>
      </c>
      <c r="AG55">
        <f t="shared" si="13"/>
        <v>247344983.38341039</v>
      </c>
      <c r="AH55"/>
    </row>
    <row r="56" spans="1:34" ht="15">
      <c r="A56">
        <f t="shared" si="18"/>
        <v>31</v>
      </c>
      <c r="C56" s="101">
        <v>1.1614303E-5</v>
      </c>
      <c r="D56" s="101">
        <v>2.1684047999999999E-5</v>
      </c>
      <c r="E56" s="101">
        <v>5.5609792999999998E-5</v>
      </c>
      <c r="F56" s="101">
        <v>8.0480071000000006E-6</v>
      </c>
      <c r="G56" s="101">
        <v>1.6007318000000001E-5</v>
      </c>
      <c r="H56" s="101">
        <v>2.4598933E-5</v>
      </c>
      <c r="I56" s="101">
        <v>0.28576697000000001</v>
      </c>
      <c r="J56" s="101">
        <v>4.1294204999999998E-4</v>
      </c>
      <c r="K56" s="101">
        <v>8.0458020000000005E-2</v>
      </c>
      <c r="L56" s="101">
        <v>1.7554851999999999E-4</v>
      </c>
      <c r="M56" s="101">
        <v>39.563651999999998</v>
      </c>
      <c r="N56" s="101">
        <v>8.0604685999999995E-2</v>
      </c>
      <c r="O56" s="101">
        <v>0.28254662000000003</v>
      </c>
      <c r="P56" s="101">
        <v>39.639481000000004</v>
      </c>
      <c r="Q56" s="106">
        <f t="shared" si="1"/>
        <v>4.4286281144801052</v>
      </c>
      <c r="R56" s="113">
        <f t="shared" si="2"/>
        <v>3.926389245E-4</v>
      </c>
      <c r="S56" s="113">
        <f t="shared" si="3"/>
        <v>0.28575494233745002</v>
      </c>
      <c r="T56" s="113">
        <f t="shared" si="4"/>
        <v>8.0441370824500008E-2</v>
      </c>
      <c r="U56" s="113">
        <f t="shared" si="5"/>
        <v>8.0588036824499998E-2</v>
      </c>
      <c r="V56" s="113">
        <f t="shared" si="14"/>
        <v>0.28248016818300004</v>
      </c>
      <c r="W56" s="101">
        <f t="shared" ref="W56" si="19">IF(AND(A56&gt;0,NOT(A56="***")),S56/T56,"")</f>
        <v>3.5523380495452437</v>
      </c>
      <c r="X56" s="101">
        <f t="shared" ref="X56" si="20">IF(AND(A56&gt;0,NOT(A56="***")),V56/U56,"")</f>
        <v>3.5052369968779504</v>
      </c>
      <c r="Y56" s="101">
        <f t="shared" ref="Y56:Y61" si="21">IF(AND(A56&gt;0,NOT(A56="***")),P56/U56,"")</f>
        <v>491.87798291109374</v>
      </c>
      <c r="Z56" s="101">
        <f t="shared" si="6"/>
        <v>-3.7534735614343917E-4</v>
      </c>
      <c r="AA56" s="2">
        <f t="shared" si="7"/>
        <v>491.40083689067387</v>
      </c>
      <c r="AB56" s="2">
        <f t="shared" si="8"/>
        <v>-482.96456741137069</v>
      </c>
      <c r="AC56" s="2">
        <f t="shared" si="9"/>
        <v>1709.4864320058962</v>
      </c>
      <c r="AD56" s="2">
        <f t="shared" si="10"/>
        <v>-3.4942332548977579</v>
      </c>
      <c r="AE56" s="2">
        <f t="shared" si="11"/>
        <v>141.00387411790766</v>
      </c>
      <c r="AF56" s="2">
        <f t="shared" si="12"/>
        <v>-1.4655873736923969E-3</v>
      </c>
      <c r="AG56">
        <f t="shared" si="13"/>
        <v>247266751.45900968</v>
      </c>
      <c r="AH56"/>
    </row>
    <row r="57" spans="1:34" ht="15">
      <c r="A57">
        <f t="shared" si="18"/>
        <v>32</v>
      </c>
      <c r="C57" s="101">
        <v>2.1066458999999999E-6</v>
      </c>
      <c r="D57" s="101">
        <v>2.4955909000000001E-5</v>
      </c>
      <c r="E57" s="101">
        <v>6.6997296000000006E-5</v>
      </c>
      <c r="F57" s="101">
        <v>1.4123931999999999E-6</v>
      </c>
      <c r="G57" s="101">
        <v>-1.8588692E-7</v>
      </c>
      <c r="H57" s="101">
        <v>3.1486894000000002E-5</v>
      </c>
      <c r="I57" s="101">
        <v>0.28495671</v>
      </c>
      <c r="J57" s="101">
        <v>4.0710779000000002E-4</v>
      </c>
      <c r="K57" s="101">
        <v>8.0224176999999994E-2</v>
      </c>
      <c r="L57" s="101">
        <v>1.6854633E-4</v>
      </c>
      <c r="M57" s="101">
        <v>39.446693000000003</v>
      </c>
      <c r="N57" s="101">
        <v>8.0059416999999994E-2</v>
      </c>
      <c r="O57" s="101">
        <v>0.28055286000000002</v>
      </c>
      <c r="P57" s="101">
        <v>39.362836999999999</v>
      </c>
      <c r="Q57" s="106">
        <f t="shared" si="1"/>
        <v>4.2818643889920844</v>
      </c>
      <c r="R57" s="113">
        <f t="shared" si="2"/>
        <v>3.9145728646000004E-4</v>
      </c>
      <c r="S57" s="113">
        <f t="shared" si="3"/>
        <v>0.28495609674686001</v>
      </c>
      <c r="T57" s="113">
        <f t="shared" si="4"/>
        <v>8.0210645722549989E-2</v>
      </c>
      <c r="U57" s="113">
        <f t="shared" si="5"/>
        <v>8.0045885722549989E-2</v>
      </c>
      <c r="V57" s="113">
        <f t="shared" si="14"/>
        <v>0.28047338474950001</v>
      </c>
      <c r="W57" s="101">
        <f t="shared" si="15"/>
        <v>3.5525969673966729</v>
      </c>
      <c r="X57" s="101">
        <f t="shared" si="16"/>
        <v>3.5039075677375751</v>
      </c>
      <c r="Y57" s="101">
        <f t="shared" si="21"/>
        <v>491.75340674518844</v>
      </c>
      <c r="Z57" s="101">
        <f t="shared" si="6"/>
        <v>-2.2440556049906616E-4</v>
      </c>
      <c r="AA57" s="2">
        <f t="shared" si="7"/>
        <v>491.49934483173166</v>
      </c>
      <c r="AB57" s="2">
        <f t="shared" si="8"/>
        <v>-482.76921530318515</v>
      </c>
      <c r="AC57" s="2">
        <f t="shared" si="9"/>
        <v>1709.4401714831763</v>
      </c>
      <c r="AD57" s="2">
        <f t="shared" si="10"/>
        <v>-3.4934308460549395</v>
      </c>
      <c r="AE57" s="2">
        <f t="shared" si="11"/>
        <v>140.98859995986987</v>
      </c>
      <c r="AF57" s="2">
        <f t="shared" si="12"/>
        <v>-1.4656247850949307E-3</v>
      </c>
      <c r="AG57">
        <f t="shared" si="13"/>
        <v>247228132.04763016</v>
      </c>
      <c r="AH57"/>
    </row>
    <row r="58" spans="1:34" ht="15">
      <c r="A58">
        <f t="shared" si="18"/>
        <v>33</v>
      </c>
      <c r="C58" s="101">
        <v>-6.3778186999999998E-6</v>
      </c>
      <c r="D58" s="101">
        <v>8.9057969000000005E-6</v>
      </c>
      <c r="E58" s="101">
        <v>6.5062731000000001E-5</v>
      </c>
      <c r="F58" s="101">
        <v>2.9526365E-5</v>
      </c>
      <c r="G58" s="101">
        <v>1.4703107000000001E-5</v>
      </c>
      <c r="H58" s="101">
        <v>2.6606695E-5</v>
      </c>
      <c r="I58" s="101">
        <v>0.28099386999999998</v>
      </c>
      <c r="J58" s="101">
        <v>4.1279879000000002E-4</v>
      </c>
      <c r="K58" s="101">
        <v>7.9078855000000003E-2</v>
      </c>
      <c r="L58" s="101">
        <v>1.8316225000000001E-4</v>
      </c>
      <c r="M58" s="101">
        <v>38.896827999999999</v>
      </c>
      <c r="N58" s="101">
        <v>7.8818837000000003E-2</v>
      </c>
      <c r="O58" s="101">
        <v>0.27633166999999997</v>
      </c>
      <c r="P58" s="101">
        <v>38.769032000000003</v>
      </c>
      <c r="Q58" s="106">
        <f t="shared" si="1"/>
        <v>4.7244473372458717</v>
      </c>
      <c r="R58" s="113">
        <f t="shared" si="2"/>
        <v>3.9214388899999999E-4</v>
      </c>
      <c r="S58" s="113">
        <f t="shared" si="3"/>
        <v>0.28097175526399998</v>
      </c>
      <c r="T58" s="113">
        <f t="shared" si="4"/>
        <v>7.9077591010900006E-2</v>
      </c>
      <c r="U58" s="113">
        <f t="shared" si="5"/>
        <v>7.8817573010900005E-2</v>
      </c>
      <c r="V58" s="113">
        <f t="shared" si="14"/>
        <v>0.27626215437054996</v>
      </c>
      <c r="W58" s="101">
        <f t="shared" si="15"/>
        <v>3.55311475314506</v>
      </c>
      <c r="X58" s="101">
        <f t="shared" si="16"/>
        <v>3.5050832424432117</v>
      </c>
      <c r="Y58" s="101">
        <f t="shared" si="21"/>
        <v>491.88309813394631</v>
      </c>
      <c r="Z58" s="101">
        <f t="shared" si="6"/>
        <v>-2.8800290343017104E-4</v>
      </c>
      <c r="AA58" s="2">
        <f t="shared" si="7"/>
        <v>491.53503197104817</v>
      </c>
      <c r="AB58" s="2">
        <f t="shared" si="8"/>
        <v>-482.92737162228491</v>
      </c>
      <c r="AC58" s="2">
        <f t="shared" si="9"/>
        <v>1710.0304008073413</v>
      </c>
      <c r="AD58" s="2">
        <f t="shared" si="10"/>
        <v>-3.4943848424990236</v>
      </c>
      <c r="AE58" s="2">
        <f t="shared" si="11"/>
        <v>140.99971173472463</v>
      </c>
      <c r="AF58" s="2">
        <f t="shared" si="12"/>
        <v>-1.4658113605469198E-3</v>
      </c>
      <c r="AG58">
        <f t="shared" si="13"/>
        <v>247331534.18119189</v>
      </c>
      <c r="AH58"/>
    </row>
    <row r="59" spans="1:34" ht="15">
      <c r="A59">
        <f t="shared" si="18"/>
        <v>34</v>
      </c>
      <c r="C59" s="101">
        <v>-1.2472557000000001E-5</v>
      </c>
      <c r="D59" s="101">
        <v>3.2954675000000003E-5</v>
      </c>
      <c r="E59" s="101">
        <v>6.4102777000000003E-5</v>
      </c>
      <c r="F59" s="101">
        <v>-6.6305391999999998E-7</v>
      </c>
      <c r="G59" s="101">
        <v>1.2569632999999999E-5</v>
      </c>
      <c r="H59" s="101">
        <v>3.5326586999999999E-5</v>
      </c>
      <c r="I59" s="101">
        <v>0.27624490000000002</v>
      </c>
      <c r="J59" s="101">
        <v>3.9873048000000001E-4</v>
      </c>
      <c r="K59" s="101">
        <v>7.7737006999999997E-2</v>
      </c>
      <c r="L59" s="101">
        <v>1.5829293000000001E-4</v>
      </c>
      <c r="M59" s="101">
        <v>38.245348</v>
      </c>
      <c r="N59" s="101">
        <v>0.12484507</v>
      </c>
      <c r="O59" s="101">
        <v>0.33422939000000002</v>
      </c>
      <c r="P59" s="101">
        <v>36.275146999999997</v>
      </c>
      <c r="Q59" s="106">
        <f t="shared" si="1"/>
        <v>4.3636743911747624</v>
      </c>
      <c r="R59" s="113">
        <f t="shared" si="2"/>
        <v>3.7478237000000003E-4</v>
      </c>
      <c r="S59" s="113">
        <f t="shared" si="3"/>
        <v>0.27623894671046001</v>
      </c>
      <c r="T59" s="113">
        <f t="shared" si="4"/>
        <v>7.7726765941000003E-2</v>
      </c>
      <c r="U59" s="113">
        <f t="shared" si="5"/>
        <v>0.12483482894100001</v>
      </c>
      <c r="V59" s="113">
        <f t="shared" si="14"/>
        <v>0.3341488098855</v>
      </c>
      <c r="W59" s="101"/>
      <c r="X59" s="101"/>
      <c r="Y59" s="101"/>
      <c r="Z59" s="101"/>
      <c r="AA59" s="2"/>
      <c r="AB59" s="2"/>
      <c r="AC59" s="2"/>
      <c r="AG59"/>
      <c r="AH59"/>
    </row>
    <row r="60" spans="1:34" ht="15">
      <c r="A60">
        <f t="shared" si="18"/>
        <v>35</v>
      </c>
      <c r="C60" s="101">
        <v>-7.9343920999999995E-6</v>
      </c>
      <c r="D60" s="101">
        <v>1.1883605E-5</v>
      </c>
      <c r="E60" s="101">
        <v>6.5722241000000005E-5</v>
      </c>
      <c r="F60" s="101">
        <v>1.6130655000000002E-5</v>
      </c>
      <c r="G60" s="101">
        <v>1.5298672E-5</v>
      </c>
      <c r="H60" s="101">
        <v>3.9671905999999998E-5</v>
      </c>
      <c r="I60" s="101">
        <v>0.27399572999999999</v>
      </c>
      <c r="J60" s="101">
        <v>3.9536751000000001E-4</v>
      </c>
      <c r="K60" s="101">
        <v>7.7133590000000002E-2</v>
      </c>
      <c r="L60" s="101">
        <v>1.6784535999999999E-4</v>
      </c>
      <c r="M60" s="101">
        <v>37.930818000000002</v>
      </c>
      <c r="N60" s="101">
        <v>7.6903213999999998E-2</v>
      </c>
      <c r="O60" s="101">
        <v>0.26954886</v>
      </c>
      <c r="P60" s="101">
        <v>37.814467</v>
      </c>
      <c r="Q60" s="106">
        <f t="shared" si="1"/>
        <v>4.4386546556374835</v>
      </c>
      <c r="R60" s="113">
        <f t="shared" si="2"/>
        <v>3.6788222100000002E-4</v>
      </c>
      <c r="S60" s="113">
        <f t="shared" si="3"/>
        <v>0.27398001533650002</v>
      </c>
      <c r="T60" s="113">
        <f t="shared" si="4"/>
        <v>7.7131615393549999E-2</v>
      </c>
      <c r="U60" s="113">
        <f t="shared" si="5"/>
        <v>7.6901239393549994E-2</v>
      </c>
      <c r="V60" s="113">
        <f t="shared" si="14"/>
        <v>0.26947719595649999</v>
      </c>
      <c r="W60" s="101">
        <f t="shared" si="15"/>
        <v>3.5521104275927189</v>
      </c>
      <c r="X60" s="101">
        <f t="shared" si="16"/>
        <v>3.5041983468877889</v>
      </c>
      <c r="Y60" s="101">
        <f t="shared" si="21"/>
        <v>491.72766652668082</v>
      </c>
      <c r="Z60" s="101">
        <f t="shared" ref="Z60:Z65" si="22">IF(AND(A60&gt;0,NOT(A60="***")),(W60-$X$2*X60+$X$2*$X$7-W60*$X$3*$X$7)/(3*$X$2*X60-2*$X$2*$X$7),"")</f>
        <v>-2.9767773362931272E-4</v>
      </c>
      <c r="AA60" s="2">
        <f t="shared" ref="AA60:AA65" si="23">IF(AND(A60&gt;0,NOT(A60="***")),($X$2*Y60+5*Z60*$X$2*Y60-W60*$X$4)/($X$2+2*Z60*$X$2-W60*$X$3),"")</f>
        <v>491.3653986308928</v>
      </c>
      <c r="AB60" s="2">
        <f t="shared" ref="AB60:AB65" si="24">IF(AND(A60&gt;0,NOT(A60="***")),-(3*W60*$X$8*(5*$X$9*Y60-9*X60*$X$8+4*$X$9*$X$8)*((-3+2*$X$3*X60)*Y60+X60*$X$4))/AG60,"")</f>
        <v>-482.77934480771097</v>
      </c>
      <c r="AC60" s="2">
        <f t="shared" ref="AC60:AC65" si="25">IF(AND(A60&gt;0,NOT(A60="***")),((3*W60*$X$8*(5*$X$9*Y60-9*X60*$X$8+4*$X$9*Y60)*(-5*W60*Y60+2*$X$2*X60*Y60+3*W60*X60*$X$4)))/AG60,"")</f>
        <v>1708.9893196604055</v>
      </c>
      <c r="AD60" s="2">
        <f t="shared" ref="AD60:AD65" si="26">IF(AND(A60&gt;0,NOT(A60="***")),(3*W60*(-$X$2*X60+W60*(-2+3*$X$3*X60))*$X$8*(-5*$X$9*Y60+9*X60*$X$8-4*$X$9*$X$8))/AG60,"")</f>
        <v>-3.4934655747038188</v>
      </c>
      <c r="AE60" s="2">
        <f t="shared" ref="AE60:AE65" si="27">IF(AND(A60&gt;0,NOT(A60="***")),(3*$X$8*(3*$X$2*Y60-5*W60*$X$3*Y60+2*W60*$X$4)*(2*$X$2*X60*(-Y60+$X$8)+W60*(5*Y60+4*$X$8-6*$X$3*X60*$X$8-3*X60*$X$4)))/AG60,"")</f>
        <v>140.97734260005285</v>
      </c>
      <c r="AF60" s="2">
        <f t="shared" ref="AF60:AF65" si="28">IF(AND(A60&gt;0,NOT(A60="***")),-($X$9*(3*$X$2*Y60-5*W60*$X$3*Y60+2*W60*$X$4)*(6*$X$2*(-X60+$X$9)*Y60+W60*(5*(3-2*$X$3*$X$9)*Y60-9*X60*$X$4+4*$X$9*$X$4)))/AG60,"")</f>
        <v>-1.4652410377818778E-3</v>
      </c>
      <c r="AG60">
        <f t="shared" ref="AG60:AG65" si="29">IF(AND(A60&gt;0,NOT(A60="***")),(3*$X$2*($X$9*Y60-X60*$X$8)+W60*(-5*$X$3*$X$9*Y60-6*$X$8+9*$X$3*X60*$X$8+2*$X$9*$X$4))^2,"")</f>
        <v>247196780.04231361</v>
      </c>
      <c r="AH60"/>
    </row>
    <row r="61" spans="1:34" ht="15">
      <c r="A61">
        <f t="shared" si="18"/>
        <v>36</v>
      </c>
      <c r="C61" s="101">
        <v>6.2091318999999997E-6</v>
      </c>
      <c r="D61" s="101">
        <v>4.0105419999999999E-5</v>
      </c>
      <c r="E61" s="101">
        <v>7.6662344E-5</v>
      </c>
      <c r="F61" s="101">
        <v>1.3698042999999999E-5</v>
      </c>
      <c r="G61" s="101">
        <v>2.5928126000000001E-5</v>
      </c>
      <c r="H61" s="101">
        <v>3.8956135E-5</v>
      </c>
      <c r="I61" s="101">
        <v>0.26439589000000002</v>
      </c>
      <c r="J61" s="101">
        <v>4.0240002E-4</v>
      </c>
      <c r="K61" s="101">
        <v>7.4434992000000005E-2</v>
      </c>
      <c r="L61" s="101">
        <v>1.2340073999999999E-4</v>
      </c>
      <c r="M61" s="101">
        <v>36.604515999999997</v>
      </c>
      <c r="N61" s="101">
        <v>7.4059659E-2</v>
      </c>
      <c r="O61" s="101">
        <v>0.25957640999999998</v>
      </c>
      <c r="P61" s="101">
        <v>36.418216999999999</v>
      </c>
      <c r="Q61" s="106">
        <f t="shared" si="1"/>
        <v>3.388434420059609</v>
      </c>
      <c r="R61" s="113">
        <f t="shared" si="2"/>
        <v>3.6995788949999999E-4</v>
      </c>
      <c r="S61" s="113">
        <f t="shared" si="3"/>
        <v>0.26437607691550002</v>
      </c>
      <c r="T61" s="113">
        <f t="shared" si="4"/>
        <v>7.4411834724050011E-2</v>
      </c>
      <c r="U61" s="113">
        <f t="shared" si="5"/>
        <v>7.4036501724050005E-2</v>
      </c>
      <c r="V61" s="113">
        <f t="shared" si="14"/>
        <v>0.25947969494599998</v>
      </c>
      <c r="W61" s="101">
        <f t="shared" si="15"/>
        <v>3.5528767419311231</v>
      </c>
      <c r="X61" s="101">
        <f t="shared" si="16"/>
        <v>3.5047535864557284</v>
      </c>
      <c r="Y61" s="101">
        <f t="shared" si="21"/>
        <v>491.8954320091803</v>
      </c>
      <c r="Z61" s="101">
        <f t="shared" si="22"/>
        <v>-2.7886356585645952E-4</v>
      </c>
      <c r="AA61" s="2">
        <f t="shared" si="23"/>
        <v>491.56085479841204</v>
      </c>
      <c r="AB61" s="2">
        <f t="shared" si="24"/>
        <v>-482.93506010959317</v>
      </c>
      <c r="AC61" s="2">
        <f t="shared" si="25"/>
        <v>1709.9741006828585</v>
      </c>
      <c r="AD61" s="2">
        <f t="shared" si="26"/>
        <v>-3.4940871572776016</v>
      </c>
      <c r="AE61" s="2">
        <f t="shared" si="27"/>
        <v>141.01646370467824</v>
      </c>
      <c r="AF61" s="2">
        <f t="shared" si="28"/>
        <v>-1.4660369359154231E-3</v>
      </c>
      <c r="AG61">
        <f t="shared" si="29"/>
        <v>247293854.89607343</v>
      </c>
      <c r="AH61"/>
    </row>
    <row r="62" spans="1:34" ht="15">
      <c r="A62">
        <f t="shared" si="18"/>
        <v>37</v>
      </c>
      <c r="C62" s="101">
        <v>1.7295751000000001E-5</v>
      </c>
      <c r="D62" s="101">
        <v>3.9652328000000003E-5</v>
      </c>
      <c r="E62" s="101">
        <v>6.0755704999999999E-5</v>
      </c>
      <c r="F62" s="101">
        <v>2.4152505E-5</v>
      </c>
      <c r="G62" s="101">
        <v>2.1521512999999999E-5</v>
      </c>
      <c r="H62" s="101">
        <v>3.8993830000000001E-5</v>
      </c>
      <c r="I62" s="101">
        <v>0.25635481999999998</v>
      </c>
      <c r="J62" s="101">
        <v>3.7286346999999999E-4</v>
      </c>
      <c r="K62" s="101">
        <v>7.2171778000000006E-2</v>
      </c>
      <c r="L62" s="101">
        <v>1.4244695000000001E-4</v>
      </c>
      <c r="M62" s="101">
        <v>35.489693000000003</v>
      </c>
      <c r="N62" s="101">
        <v>7.1604715999999999E-2</v>
      </c>
      <c r="O62" s="101">
        <v>0.25091117000000002</v>
      </c>
      <c r="P62" s="101">
        <v>35.209749000000002</v>
      </c>
      <c r="Q62" s="106">
        <f t="shared" si="1"/>
        <v>4.0456678631818708</v>
      </c>
      <c r="R62" s="113">
        <f t="shared" si="2"/>
        <v>3.4260579850000001E-4</v>
      </c>
      <c r="S62" s="113">
        <f t="shared" si="3"/>
        <v>0.25633198299099996</v>
      </c>
      <c r="T62" s="113">
        <f t="shared" si="4"/>
        <v>7.2143303960500005E-2</v>
      </c>
      <c r="U62" s="113">
        <f t="shared" si="5"/>
        <v>7.1576241960499998E-2</v>
      </c>
      <c r="V62" s="113">
        <f t="shared" si="14"/>
        <v>0.25083058813100001</v>
      </c>
      <c r="W62" s="101">
        <f t="shared" si="15"/>
        <v>3.5530945897812938</v>
      </c>
      <c r="X62" s="101">
        <f t="shared" si="16"/>
        <v>3.504383315757527</v>
      </c>
      <c r="Y62" s="101">
        <f t="shared" si="17"/>
        <v>491.9194978053028</v>
      </c>
      <c r="Z62" s="101">
        <f t="shared" si="22"/>
        <v>-2.2317615719207054E-4</v>
      </c>
      <c r="AA62" s="2">
        <f t="shared" si="23"/>
        <v>491.66717719527924</v>
      </c>
      <c r="AB62" s="2">
        <f t="shared" si="24"/>
        <v>-482.93177107056545</v>
      </c>
      <c r="AC62" s="2">
        <f t="shared" si="25"/>
        <v>1710.2591288472117</v>
      </c>
      <c r="AD62" s="2">
        <f t="shared" si="26"/>
        <v>-3.4939115109455838</v>
      </c>
      <c r="AE62" s="2">
        <f t="shared" si="27"/>
        <v>141.03277764232462</v>
      </c>
      <c r="AF62" s="2">
        <f t="shared" si="28"/>
        <v>-1.4664182858398825E-3</v>
      </c>
      <c r="AG62">
        <f t="shared" si="29"/>
        <v>247296530.98877534</v>
      </c>
      <c r="AH62"/>
    </row>
    <row r="63" spans="1:34" ht="15">
      <c r="A63">
        <f t="shared" si="18"/>
        <v>38</v>
      </c>
      <c r="C63" s="101">
        <v>3.8683881999999996E-6</v>
      </c>
      <c r="D63" s="101">
        <v>2.4393482E-5</v>
      </c>
      <c r="E63" s="101">
        <v>6.9915183999999994E-5</v>
      </c>
      <c r="F63" s="101">
        <v>1.6580724000000001E-5</v>
      </c>
      <c r="G63" s="101">
        <v>2.3606537999999998E-6</v>
      </c>
      <c r="H63" s="101">
        <v>2.5077079999999999E-5</v>
      </c>
      <c r="I63" s="101">
        <v>0.24645358000000001</v>
      </c>
      <c r="J63" s="101">
        <v>3.3702025999999999E-4</v>
      </c>
      <c r="K63" s="101">
        <v>6.938453E-2</v>
      </c>
      <c r="L63" s="101">
        <v>1.5229630999999999E-4</v>
      </c>
      <c r="M63" s="101">
        <v>34.121499</v>
      </c>
      <c r="N63" s="101">
        <v>6.8932950000000007E-2</v>
      </c>
      <c r="O63" s="101">
        <v>0.24158616999999999</v>
      </c>
      <c r="P63" s="101">
        <v>33.898031000000003</v>
      </c>
      <c r="Q63" s="106">
        <f t="shared" si="1"/>
        <v>4.4927774713522437</v>
      </c>
      <c r="R63" s="113">
        <f t="shared" si="2"/>
        <v>3.2330139309999999E-4</v>
      </c>
      <c r="S63" s="113">
        <f t="shared" si="3"/>
        <v>0.2464441093111</v>
      </c>
      <c r="T63" s="113">
        <f t="shared" si="4"/>
        <v>6.9370399064900001E-2</v>
      </c>
      <c r="U63" s="113">
        <f t="shared" si="5"/>
        <v>6.8918819064900008E-2</v>
      </c>
      <c r="V63" s="113">
        <f t="shared" si="14"/>
        <v>0.241504058075</v>
      </c>
      <c r="W63" s="101">
        <f t="shared" si="15"/>
        <v>3.552583128151495</v>
      </c>
      <c r="X63" s="101">
        <f t="shared" si="16"/>
        <v>3.5041816060077666</v>
      </c>
      <c r="Y63" s="101">
        <f t="shared" si="17"/>
        <v>491.85449576665906</v>
      </c>
      <c r="Z63" s="101">
        <f t="shared" si="22"/>
        <v>-2.518279573371664E-4</v>
      </c>
      <c r="AA63" s="2">
        <f t="shared" si="23"/>
        <v>491.55987724733717</v>
      </c>
      <c r="AB63" s="2">
        <f t="shared" si="24"/>
        <v>-482.88176724679818</v>
      </c>
      <c r="AC63" s="2">
        <f t="shared" si="25"/>
        <v>1709.7369860649314</v>
      </c>
      <c r="AD63" s="2">
        <f t="shared" si="26"/>
        <v>-3.493609466408885</v>
      </c>
      <c r="AE63" s="2">
        <f t="shared" si="27"/>
        <v>141.02009415601793</v>
      </c>
      <c r="AF63" s="2">
        <f t="shared" si="28"/>
        <v>-1.4660727315257897E-3</v>
      </c>
      <c r="AG63">
        <f t="shared" si="29"/>
        <v>247239648.34787357</v>
      </c>
      <c r="AH63"/>
    </row>
    <row r="64" spans="1:34" ht="15">
      <c r="C64" s="101">
        <v>-1.9044197E-6</v>
      </c>
      <c r="D64" s="101">
        <v>3.4573328E-5</v>
      </c>
      <c r="E64" s="101">
        <v>6.4977348000000003E-5</v>
      </c>
      <c r="F64" s="101">
        <v>4.9522044999999996E-6</v>
      </c>
      <c r="G64" s="101">
        <v>1.8021083999999999E-5</v>
      </c>
      <c r="H64" s="101">
        <v>3.1341855000000003E-5</v>
      </c>
      <c r="I64" s="101">
        <v>0.23370690999999999</v>
      </c>
      <c r="J64" s="101">
        <v>3.3900095E-4</v>
      </c>
      <c r="K64" s="101">
        <v>6.5754607000000007E-2</v>
      </c>
      <c r="L64" s="101">
        <v>1.4144297000000001E-4</v>
      </c>
      <c r="M64" s="101">
        <v>32.353721999999998</v>
      </c>
      <c r="N64" s="101">
        <v>6.5064466000000001E-2</v>
      </c>
      <c r="O64" s="101">
        <v>0.22810522999999999</v>
      </c>
      <c r="P64" s="101">
        <v>32.005431000000002</v>
      </c>
      <c r="Q64" s="106">
        <f t="shared" si="1"/>
        <v>4.4193427671697343</v>
      </c>
      <c r="R64" s="113">
        <f t="shared" si="2"/>
        <v>3.143194805E-4</v>
      </c>
      <c r="S64" s="113">
        <f t="shared" si="3"/>
        <v>0.23369542335575</v>
      </c>
      <c r="T64" s="113">
        <f t="shared" si="4"/>
        <v>6.5738272545850004E-2</v>
      </c>
      <c r="U64" s="113">
        <f t="shared" si="5"/>
        <v>6.5048131545849999E-2</v>
      </c>
      <c r="V64" s="113">
        <f t="shared" si="14"/>
        <v>0.22802296598799998</v>
      </c>
      <c r="W64" s="101" t="str">
        <f t="shared" si="15"/>
        <v/>
      </c>
      <c r="X64" s="101" t="str">
        <f t="shared" si="16"/>
        <v/>
      </c>
      <c r="Y64" s="101" t="str">
        <f t="shared" si="17"/>
        <v/>
      </c>
      <c r="Z64" s="101" t="str">
        <f t="shared" si="22"/>
        <v/>
      </c>
      <c r="AA64" s="2" t="str">
        <f t="shared" si="23"/>
        <v/>
      </c>
      <c r="AB64" s="2" t="str">
        <f t="shared" si="24"/>
        <v/>
      </c>
      <c r="AC64" s="2" t="str">
        <f t="shared" si="25"/>
        <v/>
      </c>
      <c r="AD64" s="2" t="str">
        <f t="shared" si="26"/>
        <v/>
      </c>
      <c r="AE64" s="2" t="str">
        <f t="shared" si="27"/>
        <v/>
      </c>
      <c r="AF64" s="2" t="str">
        <f t="shared" si="28"/>
        <v/>
      </c>
      <c r="AG64" t="str">
        <f t="shared" si="29"/>
        <v/>
      </c>
      <c r="AH64"/>
    </row>
    <row r="65" spans="1:34" ht="15">
      <c r="A65">
        <f t="shared" si="18"/>
        <v>1</v>
      </c>
      <c r="C65" s="101">
        <v>-1.7040008000000001E-5</v>
      </c>
      <c r="D65" s="101">
        <v>3.2614814000000003E-5</v>
      </c>
      <c r="E65" s="101">
        <v>6.7487725999999999E-5</v>
      </c>
      <c r="F65" s="101">
        <v>2.7544670000000002E-6</v>
      </c>
      <c r="G65" s="101">
        <v>2.1375357000000001E-5</v>
      </c>
      <c r="H65" s="101">
        <v>1.7440288E-5</v>
      </c>
      <c r="I65" s="101">
        <v>0.225824</v>
      </c>
      <c r="J65" s="101">
        <v>3.4306468999999997E-4</v>
      </c>
      <c r="K65" s="101">
        <v>6.3578605999999996E-2</v>
      </c>
      <c r="L65" s="101">
        <v>1.421758E-4</v>
      </c>
      <c r="M65" s="101">
        <v>31.263874999999999</v>
      </c>
      <c r="N65" s="101">
        <v>6.3227512999999999E-2</v>
      </c>
      <c r="O65" s="101">
        <v>0.22164966999999999</v>
      </c>
      <c r="P65" s="101">
        <v>31.095905999999999</v>
      </c>
      <c r="Q65" s="106">
        <f t="shared" si="1"/>
        <v>4.572171011836736</v>
      </c>
      <c r="R65" s="113">
        <f t="shared" si="2"/>
        <v>3.2365686749999997E-4</v>
      </c>
      <c r="S65" s="113">
        <f t="shared" si="3"/>
        <v>0.22581193508799999</v>
      </c>
      <c r="T65" s="113">
        <f t="shared" si="4"/>
        <v>6.3570818596999992E-2</v>
      </c>
      <c r="U65" s="113">
        <f t="shared" si="5"/>
        <v>6.3219725596999995E-2</v>
      </c>
      <c r="V65" s="113">
        <f t="shared" si="14"/>
        <v>0.221565874867</v>
      </c>
      <c r="W65" s="101">
        <f t="shared" si="15"/>
        <v>3.5521319383899899</v>
      </c>
      <c r="X65" s="101">
        <f t="shared" si="16"/>
        <v>3.5046952952531338</v>
      </c>
      <c r="Y65" s="101">
        <f t="shared" si="17"/>
        <v>491.87030956483005</v>
      </c>
      <c r="Z65" s="101">
        <f t="shared" si="22"/>
        <v>-3.4302580183560372E-4</v>
      </c>
      <c r="AA65" s="2">
        <f t="shared" si="23"/>
        <v>491.44093172282385</v>
      </c>
      <c r="AB65" s="2">
        <f t="shared" si="24"/>
        <v>-482.94139246918735</v>
      </c>
      <c r="AC65" s="2">
        <f t="shared" si="25"/>
        <v>1709.4162598803059</v>
      </c>
      <c r="AD65" s="2">
        <f t="shared" si="26"/>
        <v>-3.4938045387844934</v>
      </c>
      <c r="AE65" s="2">
        <f t="shared" si="27"/>
        <v>141.01826387768409</v>
      </c>
      <c r="AF65" s="2">
        <f t="shared" si="28"/>
        <v>-1.4658168027421416E-3</v>
      </c>
      <c r="AG65">
        <f t="shared" si="29"/>
        <v>247222046.02346423</v>
      </c>
      <c r="AH65"/>
    </row>
    <row r="66" spans="1:34" ht="15"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6"/>
      <c r="R66" s="113"/>
      <c r="S66" s="113"/>
      <c r="T66" s="113"/>
      <c r="U66" s="113"/>
      <c r="V66" s="113"/>
      <c r="W66" s="101" t="str">
        <f t="shared" si="15"/>
        <v/>
      </c>
      <c r="X66" s="101" t="str">
        <f t="shared" si="16"/>
        <v/>
      </c>
      <c r="Y66" s="101"/>
      <c r="Z66" s="101"/>
      <c r="AA66" s="2"/>
      <c r="AB66" s="2"/>
      <c r="AC66" s="2"/>
      <c r="AG66"/>
      <c r="AH66"/>
    </row>
    <row r="67" spans="1:34" ht="15"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6"/>
      <c r="R67" s="113"/>
      <c r="S67" s="113"/>
      <c r="T67" s="113"/>
      <c r="U67" s="113"/>
      <c r="V67" s="113"/>
      <c r="W67" s="101"/>
      <c r="X67" s="101"/>
      <c r="Y67" s="101"/>
      <c r="Z67" s="101"/>
      <c r="AA67" s="2"/>
      <c r="AB67" s="2"/>
      <c r="AC67" s="2"/>
      <c r="AG67"/>
      <c r="AH67"/>
    </row>
    <row r="68" spans="1:34" ht="15"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6"/>
      <c r="R68" s="113"/>
      <c r="S68" s="113"/>
      <c r="T68" s="113"/>
      <c r="U68" s="113"/>
      <c r="V68" s="113"/>
      <c r="W68" s="101"/>
      <c r="X68" s="101"/>
      <c r="Y68" s="101"/>
      <c r="Z68" s="101"/>
      <c r="AA68" s="2"/>
      <c r="AB68" s="2"/>
      <c r="AC68" s="2"/>
      <c r="AG68"/>
      <c r="AH68"/>
    </row>
  </sheetData>
  <phoneticPr fontId="1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H100"/>
  <sheetViews>
    <sheetView topLeftCell="T1" zoomScaleNormal="100" workbookViewId="0">
      <selection activeCell="X8" sqref="X8"/>
    </sheetView>
  </sheetViews>
  <sheetFormatPr defaultColWidth="11" defaultRowHeight="12.75"/>
  <cols>
    <col min="1" max="1" width="7.25" customWidth="1"/>
    <col min="2" max="2" width="11" bestFit="1" customWidth="1"/>
    <col min="3" max="7" width="8.25" bestFit="1" customWidth="1"/>
    <col min="8" max="12" width="8.25" customWidth="1"/>
    <col min="13" max="13" width="8.625" bestFit="1" customWidth="1"/>
    <col min="14" max="15" width="8.25" customWidth="1"/>
    <col min="16" max="16" width="8.625" bestFit="1" customWidth="1"/>
    <col min="17" max="22" width="8.25" customWidth="1"/>
    <col min="23" max="23" width="11.125" bestFit="1" customWidth="1"/>
    <col min="24" max="24" width="12" bestFit="1" customWidth="1"/>
    <col min="25" max="25" width="11.375" bestFit="1" customWidth="1"/>
    <col min="29" max="29" width="11.375" bestFit="1" customWidth="1"/>
    <col min="30" max="31" width="11.375" style="2" bestFit="1" customWidth="1"/>
    <col min="32" max="34" width="11" style="2"/>
  </cols>
  <sheetData>
    <row r="1" spans="1:34" ht="15">
      <c r="A1" t="s">
        <v>81</v>
      </c>
      <c r="W1" s="5" t="s">
        <v>93</v>
      </c>
      <c r="X1" t="s">
        <v>94</v>
      </c>
      <c r="Y1" t="s">
        <v>95</v>
      </c>
      <c r="Z1" t="s">
        <v>96</v>
      </c>
    </row>
    <row r="2" spans="1:34">
      <c r="A2" t="s">
        <v>82</v>
      </c>
      <c r="W2" t="s">
        <v>97</v>
      </c>
      <c r="X2">
        <v>1.0190600000000001</v>
      </c>
      <c r="Y2">
        <v>8.0000000000000007E-5</v>
      </c>
      <c r="Z2" s="51">
        <f>Y2/X2*10^6</f>
        <v>78.503719113693009</v>
      </c>
    </row>
    <row r="3" spans="1:34" ht="15">
      <c r="A3" t="s">
        <v>122</v>
      </c>
      <c r="W3" t="s">
        <v>98</v>
      </c>
      <c r="X3" s="2">
        <v>4.5479999999999998E-5</v>
      </c>
      <c r="Y3" s="102">
        <v>3.7E-8</v>
      </c>
      <c r="Z3" s="51">
        <f>Y3/X3*10^6</f>
        <v>813.54441512752862</v>
      </c>
      <c r="AC3" s="7" t="s">
        <v>83</v>
      </c>
      <c r="AD3" s="26">
        <f>AVERAGE(AA16:AA100)</f>
        <v>491.5615373879682</v>
      </c>
      <c r="AE3" s="26"/>
    </row>
    <row r="4" spans="1:34">
      <c r="A4" t="s">
        <v>123</v>
      </c>
      <c r="W4" t="s">
        <v>84</v>
      </c>
      <c r="X4" s="105">
        <v>2.3481000000000001E-4</v>
      </c>
      <c r="Y4">
        <v>1.9000000000000001E-7</v>
      </c>
      <c r="Z4" s="51">
        <f>Y4/X4*10^6</f>
        <v>809.16485669264512</v>
      </c>
    </row>
    <row r="5" spans="1:34">
      <c r="A5" t="s">
        <v>69</v>
      </c>
      <c r="AD5" s="2" t="s">
        <v>85</v>
      </c>
      <c r="AE5" s="2" t="s">
        <v>86</v>
      </c>
    </row>
    <row r="6" spans="1:34" ht="15">
      <c r="A6" t="s">
        <v>70</v>
      </c>
      <c r="W6" s="12" t="s">
        <v>87</v>
      </c>
      <c r="X6" t="s">
        <v>94</v>
      </c>
      <c r="Y6" t="s">
        <v>88</v>
      </c>
      <c r="AC6" t="s">
        <v>25</v>
      </c>
      <c r="AD6" s="26">
        <f>STDEV(AA16:AA100)/SQRT(COUNT(AA16:AA100))</f>
        <v>1.5360984182879138E-2</v>
      </c>
      <c r="AE6" s="27">
        <f>AD6/AD3*10^6</f>
        <v>31.249361503146616</v>
      </c>
    </row>
    <row r="7" spans="1:34" ht="15">
      <c r="A7" t="s">
        <v>133</v>
      </c>
      <c r="W7" t="s">
        <v>40</v>
      </c>
      <c r="X7">
        <f>SampleStats!C3</f>
        <v>1.5407105733458213E-2</v>
      </c>
      <c r="Y7" s="4">
        <f>SampleStats!H20</f>
        <v>2.6372702871587922E-5</v>
      </c>
      <c r="AC7" t="s">
        <v>41</v>
      </c>
      <c r="AD7" s="26">
        <f>SQRT(AC11+AD11+AE11+AF11+AG11)</f>
        <v>3.8800129702388206E-2</v>
      </c>
      <c r="AE7" s="27">
        <f>AD7/AD3*10^6</f>
        <v>78.932395542096586</v>
      </c>
    </row>
    <row r="8" spans="1:34" ht="15">
      <c r="A8" t="s">
        <v>134</v>
      </c>
      <c r="W8" t="s">
        <v>42</v>
      </c>
      <c r="X8" s="114">
        <f>SampleStats!F20</f>
        <v>491.73284752455925</v>
      </c>
      <c r="Y8">
        <v>0</v>
      </c>
      <c r="AC8" t="s">
        <v>43</v>
      </c>
      <c r="AD8" s="26">
        <f>SQRT(AD6^2+AD7^2)</f>
        <v>4.1730203689759417E-2</v>
      </c>
      <c r="AE8" s="27">
        <f>AD8/AD3*10^6</f>
        <v>84.893142599201312</v>
      </c>
    </row>
    <row r="9" spans="1:34">
      <c r="A9" t="s">
        <v>124</v>
      </c>
      <c r="W9" t="s">
        <v>44</v>
      </c>
      <c r="X9" s="4">
        <f>SampleStats!G20</f>
        <v>1.5340254397992973E-2</v>
      </c>
      <c r="Y9" s="4">
        <f>SampleStats!H20</f>
        <v>2.6372702871587922E-5</v>
      </c>
    </row>
    <row r="10" spans="1:34" ht="15">
      <c r="A10" t="s">
        <v>125</v>
      </c>
      <c r="O10" s="18" t="s">
        <v>149</v>
      </c>
      <c r="Q10" s="106">
        <f>(AVERAGE((Q16:Q20)))</f>
        <v>6.8555019277524334</v>
      </c>
      <c r="R10" s="106"/>
      <c r="S10" s="107"/>
      <c r="T10" s="107"/>
      <c r="U10" s="107"/>
      <c r="V10" s="107"/>
    </row>
    <row r="11" spans="1:34" ht="15">
      <c r="A11" t="s">
        <v>137</v>
      </c>
      <c r="C11">
        <v>234.54</v>
      </c>
      <c r="D11">
        <v>235.54</v>
      </c>
      <c r="E11">
        <v>236.54</v>
      </c>
      <c r="F11">
        <v>232.54</v>
      </c>
      <c r="G11">
        <v>233.54</v>
      </c>
      <c r="H11">
        <v>234.54</v>
      </c>
      <c r="I11">
        <v>237.041</v>
      </c>
      <c r="S11" s="107"/>
      <c r="T11" s="107"/>
      <c r="U11" s="107"/>
      <c r="V11" s="107"/>
      <c r="AB11" t="s">
        <v>45</v>
      </c>
      <c r="AC11" s="11">
        <f>AB12^2*Y2^2</f>
        <v>1.4911226450781928E-3</v>
      </c>
      <c r="AD11" s="11">
        <f>AC12^2*Y3^2</f>
        <v>3.8609619119108938E-9</v>
      </c>
      <c r="AE11" s="11">
        <f>AD12^2*Y4^2</f>
        <v>4.2516127369112679E-13</v>
      </c>
      <c r="AF11" s="101">
        <f>AE12^2*Y9^2</f>
        <v>1.4323558456881763E-5</v>
      </c>
      <c r="AG11" s="2">
        <f>AF12^2*Y8^2</f>
        <v>0</v>
      </c>
      <c r="AH11"/>
    </row>
    <row r="12" spans="1:34" ht="15">
      <c r="A12" t="s">
        <v>138</v>
      </c>
      <c r="B12" t="s">
        <v>150</v>
      </c>
      <c r="C12" s="105">
        <f t="shared" ref="C12:H12" si="0">AVERAGE(C16:C100)</f>
        <v>3.691731783614458E-6</v>
      </c>
      <c r="D12" s="105">
        <f t="shared" si="0"/>
        <v>3.0439205372289146E-5</v>
      </c>
      <c r="E12" s="105">
        <f t="shared" si="0"/>
        <v>6.7627317060240985E-5</v>
      </c>
      <c r="F12" s="105">
        <f t="shared" si="0"/>
        <v>-1.2484571162168691E-6</v>
      </c>
      <c r="G12" s="105">
        <f t="shared" si="0"/>
        <v>1.5967168093855429E-5</v>
      </c>
      <c r="H12" s="105">
        <f t="shared" si="0"/>
        <v>2.5938110944819278E-5</v>
      </c>
      <c r="I12" s="105">
        <f>AVERAGE(L16:L100)</f>
        <v>1.4844510813253009E-4</v>
      </c>
      <c r="J12" s="105"/>
      <c r="K12" s="105"/>
      <c r="S12" t="s">
        <v>151</v>
      </c>
      <c r="T12" s="8">
        <f>AVERAGE(T16:T100)</f>
        <v>7.571327937479555E-2</v>
      </c>
      <c r="U12" s="107"/>
      <c r="V12" t="s">
        <v>151</v>
      </c>
      <c r="W12" s="120">
        <f>AVERAGE(W16:W100)</f>
        <v>3.4903637894047206</v>
      </c>
      <c r="X12" s="120">
        <f>AVERAGE(X16:X100)</f>
        <v>3.4420411062899166</v>
      </c>
      <c r="Y12" s="120">
        <f>AVERAGE(Y16:Y100)</f>
        <v>491.70879429392545</v>
      </c>
      <c r="AA12" t="s">
        <v>46</v>
      </c>
      <c r="AB12" s="2">
        <f>AVERAGE(AB16:AB100)</f>
        <v>-482.68821540769727</v>
      </c>
      <c r="AC12" s="2">
        <f>AVERAGE(AC16:AC100)</f>
        <v>1679.3686228600807</v>
      </c>
      <c r="AD12" s="2">
        <f>AVERAGE(AD16:AD100)</f>
        <v>-3.4318101055947481</v>
      </c>
      <c r="AE12" s="2">
        <f>AVERAGE(AE16:AE100)</f>
        <v>143.50625154473477</v>
      </c>
      <c r="AF12" s="2">
        <f>AVERAGE(AF16:AF100)</f>
        <v>-1.4919222999018392E-3</v>
      </c>
      <c r="AG12"/>
      <c r="AH12"/>
    </row>
    <row r="13" spans="1:34" ht="15">
      <c r="A13" t="s">
        <v>5</v>
      </c>
      <c r="S13" s="107"/>
      <c r="T13" s="107"/>
      <c r="U13" s="107"/>
      <c r="V13" s="107"/>
      <c r="AB13" s="2"/>
      <c r="AC13" s="2"/>
      <c r="AG13" s="9" t="s">
        <v>47</v>
      </c>
      <c r="AH13"/>
    </row>
    <row r="14" spans="1:34" ht="15">
      <c r="C14" s="108" t="s">
        <v>12</v>
      </c>
      <c r="D14" s="108" t="s">
        <v>13</v>
      </c>
      <c r="E14" s="108" t="s">
        <v>12</v>
      </c>
      <c r="F14" s="109" t="s">
        <v>13</v>
      </c>
      <c r="G14" s="109" t="s">
        <v>13</v>
      </c>
      <c r="H14" s="109" t="s">
        <v>13</v>
      </c>
      <c r="I14" s="110" t="s">
        <v>14</v>
      </c>
      <c r="J14" s="110" t="s">
        <v>14</v>
      </c>
      <c r="K14" s="110" t="s">
        <v>14</v>
      </c>
      <c r="L14" s="110" t="s">
        <v>14</v>
      </c>
      <c r="M14" s="110" t="s">
        <v>14</v>
      </c>
      <c r="N14" s="111" t="s">
        <v>152</v>
      </c>
      <c r="O14" s="111" t="s">
        <v>152</v>
      </c>
      <c r="P14" s="111" t="s">
        <v>152</v>
      </c>
      <c r="Q14" s="111"/>
      <c r="R14" s="111" t="s">
        <v>14</v>
      </c>
      <c r="S14" s="111" t="s">
        <v>14</v>
      </c>
      <c r="T14" s="111" t="s">
        <v>14</v>
      </c>
      <c r="U14" s="111" t="s">
        <v>152</v>
      </c>
      <c r="V14" s="111" t="s">
        <v>152</v>
      </c>
      <c r="W14" s="119" t="s">
        <v>166</v>
      </c>
      <c r="X14" s="119" t="s">
        <v>165</v>
      </c>
      <c r="Y14" s="119" t="s">
        <v>164</v>
      </c>
      <c r="Z14" s="9" t="s">
        <v>51</v>
      </c>
      <c r="AA14" s="9" t="s">
        <v>52</v>
      </c>
      <c r="AB14" s="25" t="s">
        <v>53</v>
      </c>
      <c r="AC14" s="25" t="s">
        <v>54</v>
      </c>
      <c r="AD14" s="25" t="s">
        <v>55</v>
      </c>
      <c r="AE14" s="25" t="s">
        <v>56</v>
      </c>
      <c r="AF14" s="25" t="s">
        <v>57</v>
      </c>
      <c r="AG14" s="9" t="s">
        <v>58</v>
      </c>
      <c r="AH14"/>
    </row>
    <row r="15" spans="1:34" ht="15">
      <c r="A15" t="s">
        <v>6</v>
      </c>
      <c r="B15" t="s">
        <v>7</v>
      </c>
      <c r="C15" s="112" t="s">
        <v>153</v>
      </c>
      <c r="D15" s="112" t="s">
        <v>154</v>
      </c>
      <c r="E15" s="112" t="s">
        <v>155</v>
      </c>
      <c r="F15" s="112" t="s">
        <v>156</v>
      </c>
      <c r="G15" s="112" t="s">
        <v>157</v>
      </c>
      <c r="H15" s="112" t="s">
        <v>153</v>
      </c>
      <c r="I15" t="s">
        <v>158</v>
      </c>
      <c r="J15" t="s">
        <v>159</v>
      </c>
      <c r="K15" t="s">
        <v>8</v>
      </c>
      <c r="L15" s="112" t="s">
        <v>160</v>
      </c>
      <c r="M15" t="s">
        <v>9</v>
      </c>
      <c r="N15" t="s">
        <v>161</v>
      </c>
      <c r="O15" t="s">
        <v>162</v>
      </c>
      <c r="P15" t="s">
        <v>163</v>
      </c>
      <c r="R15" s="107" t="s">
        <v>159</v>
      </c>
      <c r="S15" s="107" t="s">
        <v>158</v>
      </c>
      <c r="T15" s="107" t="s">
        <v>8</v>
      </c>
      <c r="U15" s="107" t="s">
        <v>161</v>
      </c>
      <c r="V15" s="107" t="s">
        <v>162</v>
      </c>
      <c r="AB15" s="2"/>
      <c r="AC15" s="2"/>
      <c r="AG15"/>
      <c r="AH15"/>
    </row>
    <row r="16" spans="1:34" ht="15">
      <c r="C16" s="101">
        <v>9.1588926000000008E-6</v>
      </c>
      <c r="D16" s="101">
        <v>4.4864684E-5</v>
      </c>
      <c r="E16" s="101">
        <v>8.2993297999999998E-5</v>
      </c>
      <c r="F16" s="101">
        <v>1.7182021E-5</v>
      </c>
      <c r="G16" s="101">
        <v>2.4964394000000001E-5</v>
      </c>
      <c r="H16" s="101">
        <v>4.8762148999999999E-5</v>
      </c>
      <c r="I16" s="101">
        <v>0.18000637999999999</v>
      </c>
      <c r="J16" s="101">
        <v>2.7036947999999999E-4</v>
      </c>
      <c r="K16" s="101">
        <v>5.1560290000000002E-2</v>
      </c>
      <c r="L16" s="101">
        <v>1.8297942999999999E-4</v>
      </c>
      <c r="M16" s="101">
        <v>25.302154000000002</v>
      </c>
      <c r="N16" s="101">
        <v>5.1296209000000002E-2</v>
      </c>
      <c r="O16" s="101">
        <v>0.17652134999999999</v>
      </c>
      <c r="P16" s="101">
        <v>25.179835000000001</v>
      </c>
      <c r="Q16" s="106">
        <f t="shared" ref="Q16:Q65" si="1">(L16/P16)*1000000</f>
        <v>7.266903456674755</v>
      </c>
      <c r="R16" s="113">
        <f t="shared" ref="R16:R65" si="2">J16-((G16+H16)/2)</f>
        <v>2.335062085E-4</v>
      </c>
      <c r="S16" s="113">
        <f t="shared" ref="S16:S65" si="3">I16-((F16+G16)/2)</f>
        <v>0.17998530679249999</v>
      </c>
      <c r="T16" s="113">
        <f t="shared" ref="T16:T65" si="4">K16-((C16+D16)/2)</f>
        <v>5.15332782117E-2</v>
      </c>
      <c r="U16" s="113">
        <f t="shared" ref="U16:U65" si="5">N16-((D16+C16)/2)</f>
        <v>5.12691972117E-2</v>
      </c>
      <c r="V16" s="113">
        <f>O16-((E16+D16/2))</f>
        <v>0.17641592436</v>
      </c>
      <c r="W16" s="101" t="str">
        <f>IF(AND(A16&gt;0,NOT(A16="***")),S16/T16,"")</f>
        <v/>
      </c>
      <c r="X16" s="101" t="str">
        <f>IF(AND(A16&gt;0,NOT(A16="***")),V16/U16,"")</f>
        <v/>
      </c>
      <c r="Y16" s="101" t="str">
        <f>IF(AND(A16&gt;0,NOT(A16="***")),P16/U16,"")</f>
        <v/>
      </c>
      <c r="Z16" s="101" t="str">
        <f t="shared" ref="Z16:Z61" si="6">IF(AND(A16&gt;0,NOT(A16="***")),(W16-$X$2*X16+$X$2*$X$7-W16*$X$3*$X$7)/(3*$X$2*X16-2*$X$2*$X$7),"")</f>
        <v/>
      </c>
      <c r="AA16" s="2" t="str">
        <f t="shared" ref="AA16:AA61" si="7">IF(AND(A16&gt;0,NOT(A16="***")),($X$2*Y16+5*Z16*$X$2*Y16-W16*$X$4)/($X$2+2*Z16*$X$2-W16*$X$3),"")</f>
        <v/>
      </c>
      <c r="AB16" s="2" t="str">
        <f t="shared" ref="AB16:AB61" si="8">IF(AND(A16&gt;0,NOT(A16="***")),-(3*W16*$X$8*(5*$X$9*Y16-9*X16*$X$8+4*$X$9*$X$8)*((-3+2*$X$3*X16)*Y16+X16*$X$4))/AG16,"")</f>
        <v/>
      </c>
      <c r="AC16" s="2" t="str">
        <f t="shared" ref="AC16:AC61" si="9">IF(AND(A16&gt;0,NOT(A16="***")),((3*W16*$X$8*(5*$X$9*Y16-9*X16*$X$8+4*$X$9*Y16)*(-5*W16*Y16+2*$X$2*X16*Y16+3*W16*X16*$X$4)))/AG16,"")</f>
        <v/>
      </c>
      <c r="AD16" s="2" t="str">
        <f t="shared" ref="AD16:AD61" si="10">IF(AND(A16&gt;0,NOT(A16="***")),(3*W16*(-$X$2*X16+W16*(-2+3*$X$3*X16))*$X$8*(-5*$X$9*Y16+9*X16*$X$8-4*$X$9*$X$8))/AG16,"")</f>
        <v/>
      </c>
      <c r="AE16" s="2" t="str">
        <f t="shared" ref="AE16:AE61" si="11">IF(AND(A16&gt;0,NOT(A16="***")),(3*$X$8*(3*$X$2*Y16-5*W16*$X$3*Y16+2*W16*$X$4)*(2*$X$2*X16*(-Y16+$X$8)+W16*(5*Y16+4*$X$8-6*$X$3*X16*$X$8-3*X16*$X$4)))/AG16,"")</f>
        <v/>
      </c>
      <c r="AF16" s="2" t="str">
        <f t="shared" ref="AF16:AF61" si="12">IF(AND(A16&gt;0,NOT(A16="***")),-($X$9*(3*$X$2*Y16-5*W16*$X$3*Y16+2*W16*$X$4)*(6*$X$2*(-X16+$X$9)*Y16+W16*(5*(3-2*$X$3*$X$9)*Y16-9*X16*$X$4+4*$X$9*$X$4)))/AG16,"")</f>
        <v/>
      </c>
      <c r="AG16" t="str">
        <f t="shared" ref="AG16:AG61" si="13">IF(AND(A16&gt;0,NOT(A16="***")),(3*$X$2*($X$9*Y16-X16*$X$8)+W16*(-5*$X$3*$X$9*Y16-6*$X$8+9*$X$3*X16*$X$8+2*$X$9*$X$4))^2,"")</f>
        <v/>
      </c>
      <c r="AH16"/>
    </row>
    <row r="17" spans="1:34" ht="15">
      <c r="C17" s="101">
        <v>1.1261602E-5</v>
      </c>
      <c r="D17" s="101">
        <v>4.3374407000000002E-5</v>
      </c>
      <c r="E17" s="101">
        <v>9.1563553000000003E-5</v>
      </c>
      <c r="F17" s="101">
        <v>-5.7186495999999999E-8</v>
      </c>
      <c r="G17" s="101">
        <v>2.3090293999999998E-5</v>
      </c>
      <c r="H17" s="101">
        <v>4.2265380999999998E-5</v>
      </c>
      <c r="I17" s="101">
        <v>0.17684505</v>
      </c>
      <c r="J17" s="101">
        <v>2.6162263000000001E-4</v>
      </c>
      <c r="K17" s="101">
        <v>5.0650708000000003E-2</v>
      </c>
      <c r="L17" s="101">
        <v>1.7539768000000001E-4</v>
      </c>
      <c r="M17" s="101">
        <v>24.847615999999999</v>
      </c>
      <c r="N17" s="101">
        <v>5.0505539000000002E-2</v>
      </c>
      <c r="O17" s="101">
        <v>0.17380486000000001</v>
      </c>
      <c r="P17" s="101">
        <v>24.786182</v>
      </c>
      <c r="Q17" s="106">
        <f t="shared" si="1"/>
        <v>7.0764299237373471</v>
      </c>
      <c r="R17" s="113">
        <f t="shared" si="2"/>
        <v>2.289447925E-4</v>
      </c>
      <c r="S17" s="113">
        <f t="shared" si="3"/>
        <v>0.176833533446248</v>
      </c>
      <c r="T17" s="113">
        <f t="shared" si="4"/>
        <v>5.06233899955E-2</v>
      </c>
      <c r="U17" s="113">
        <f t="shared" si="5"/>
        <v>5.0478220995499999E-2</v>
      </c>
      <c r="V17" s="113">
        <f t="shared" ref="V17:V65" si="14">O17-((E17+D17/2))</f>
        <v>0.17369160924349999</v>
      </c>
      <c r="W17" s="101" t="str">
        <f t="shared" ref="W17:W65" si="15">IF(AND(A17&gt;0,NOT(A17="***")),S17/T17,"")</f>
        <v/>
      </c>
      <c r="X17" s="101" t="str">
        <f t="shared" ref="X17:X65" si="16">IF(AND(A17&gt;0,NOT(A17="***")),V17/U17,"")</f>
        <v/>
      </c>
      <c r="Y17" s="101" t="str">
        <f t="shared" ref="Y17:Y65" si="17">IF(AND(A17&gt;0,NOT(A17="***")),P17/U17,"")</f>
        <v/>
      </c>
      <c r="Z17" s="101" t="str">
        <f t="shared" si="6"/>
        <v/>
      </c>
      <c r="AA17" s="2" t="str">
        <f t="shared" si="7"/>
        <v/>
      </c>
      <c r="AB17" s="2" t="str">
        <f t="shared" si="8"/>
        <v/>
      </c>
      <c r="AC17" s="2" t="str">
        <f t="shared" si="9"/>
        <v/>
      </c>
      <c r="AD17" s="2" t="str">
        <f t="shared" si="10"/>
        <v/>
      </c>
      <c r="AE17" s="2" t="str">
        <f t="shared" si="11"/>
        <v/>
      </c>
      <c r="AF17" s="2" t="str">
        <f t="shared" si="12"/>
        <v/>
      </c>
      <c r="AG17" t="str">
        <f t="shared" si="13"/>
        <v/>
      </c>
      <c r="AH17"/>
    </row>
    <row r="18" spans="1:34" ht="15">
      <c r="C18" s="101">
        <v>4.6030371000000001E-6</v>
      </c>
      <c r="D18" s="101">
        <v>3.9302499000000003E-5</v>
      </c>
      <c r="E18" s="101">
        <v>8.7056682E-5</v>
      </c>
      <c r="F18" s="101">
        <v>4.6254062000000003E-6</v>
      </c>
      <c r="G18" s="101">
        <v>2.8125533000000001E-5</v>
      </c>
      <c r="H18" s="101">
        <v>6.5278310000000002E-5</v>
      </c>
      <c r="I18" s="101">
        <v>0.17608240999999999</v>
      </c>
      <c r="J18" s="101">
        <v>2.6270656999999997E-4</v>
      </c>
      <c r="K18" s="101">
        <v>5.0426831999999998E-2</v>
      </c>
      <c r="L18" s="101">
        <v>1.6327425000000001E-4</v>
      </c>
      <c r="M18" s="101">
        <v>24.741796000000001</v>
      </c>
      <c r="N18" s="101">
        <v>5.0459051999999997E-2</v>
      </c>
      <c r="O18" s="101">
        <v>0.17362636000000001</v>
      </c>
      <c r="P18" s="101">
        <v>24.765937000000001</v>
      </c>
      <c r="Q18" s="106">
        <f t="shared" si="1"/>
        <v>6.5926942315972132</v>
      </c>
      <c r="R18" s="113">
        <f t="shared" si="2"/>
        <v>2.1600464849999996E-4</v>
      </c>
      <c r="S18" s="113">
        <f t="shared" si="3"/>
        <v>0.17606603453039998</v>
      </c>
      <c r="T18" s="113">
        <f t="shared" si="4"/>
        <v>5.0404879231950001E-2</v>
      </c>
      <c r="U18" s="113">
        <f t="shared" si="5"/>
        <v>5.043709923195E-2</v>
      </c>
      <c r="V18" s="113">
        <f t="shared" si="14"/>
        <v>0.17351965206850001</v>
      </c>
      <c r="W18" s="101" t="str">
        <f t="shared" si="15"/>
        <v/>
      </c>
      <c r="X18" s="101" t="str">
        <f t="shared" si="16"/>
        <v/>
      </c>
      <c r="Y18" s="101" t="str">
        <f t="shared" si="17"/>
        <v/>
      </c>
      <c r="Z18" s="101" t="str">
        <f t="shared" si="6"/>
        <v/>
      </c>
      <c r="AA18" s="2" t="str">
        <f t="shared" si="7"/>
        <v/>
      </c>
      <c r="AB18" s="2" t="str">
        <f t="shared" si="8"/>
        <v/>
      </c>
      <c r="AC18" s="2" t="str">
        <f t="shared" si="9"/>
        <v/>
      </c>
      <c r="AD18" s="2" t="str">
        <f t="shared" si="10"/>
        <v/>
      </c>
      <c r="AE18" s="2" t="str">
        <f t="shared" si="11"/>
        <v/>
      </c>
      <c r="AF18" s="2" t="str">
        <f t="shared" si="12"/>
        <v/>
      </c>
      <c r="AG18" t="str">
        <f t="shared" si="13"/>
        <v/>
      </c>
      <c r="AH18"/>
    </row>
    <row r="19" spans="1:34" ht="15">
      <c r="C19" s="101">
        <v>2.9895381E-5</v>
      </c>
      <c r="D19" s="101">
        <v>2.2262380000000001E-5</v>
      </c>
      <c r="E19" s="101">
        <v>7.9814224000000005E-5</v>
      </c>
      <c r="F19" s="101">
        <v>1.2573934E-5</v>
      </c>
      <c r="G19" s="101">
        <v>6.2160287999999997E-6</v>
      </c>
      <c r="H19" s="101">
        <v>3.9035283000000002E-5</v>
      </c>
      <c r="I19" s="101">
        <v>0.17780890999999999</v>
      </c>
      <c r="J19" s="101">
        <v>2.8352E-4</v>
      </c>
      <c r="K19" s="101">
        <v>5.0919188999999997E-2</v>
      </c>
      <c r="L19" s="101">
        <v>1.7531474999999999E-4</v>
      </c>
      <c r="M19" s="101">
        <v>24.986764999999998</v>
      </c>
      <c r="N19" s="101">
        <v>5.1076758999999999E-2</v>
      </c>
      <c r="O19" s="101">
        <v>0.17565239999999999</v>
      </c>
      <c r="P19" s="101">
        <v>25.054155999999999</v>
      </c>
      <c r="Q19" s="106">
        <f t="shared" si="1"/>
        <v>6.9974318831574296</v>
      </c>
      <c r="R19" s="113">
        <f t="shared" si="2"/>
        <v>2.6089434409999997E-4</v>
      </c>
      <c r="S19" s="113">
        <f t="shared" si="3"/>
        <v>0.17779951501859997</v>
      </c>
      <c r="T19" s="113">
        <f t="shared" si="4"/>
        <v>5.0893110119499999E-2</v>
      </c>
      <c r="U19" s="113">
        <f t="shared" si="5"/>
        <v>5.1050680119500001E-2</v>
      </c>
      <c r="V19" s="113">
        <f t="shared" si="14"/>
        <v>0.17556145458599998</v>
      </c>
      <c r="W19" s="101" t="str">
        <f t="shared" si="15"/>
        <v/>
      </c>
      <c r="X19" s="101" t="str">
        <f t="shared" si="16"/>
        <v/>
      </c>
      <c r="Y19" s="101" t="str">
        <f t="shared" si="17"/>
        <v/>
      </c>
      <c r="Z19" s="101" t="str">
        <f t="shared" si="6"/>
        <v/>
      </c>
      <c r="AA19" s="2" t="str">
        <f t="shared" si="7"/>
        <v/>
      </c>
      <c r="AB19" s="2" t="str">
        <f t="shared" si="8"/>
        <v/>
      </c>
      <c r="AC19" s="2" t="str">
        <f t="shared" si="9"/>
        <v/>
      </c>
      <c r="AD19" s="2" t="str">
        <f t="shared" si="10"/>
        <v/>
      </c>
      <c r="AE19" s="2" t="str">
        <f t="shared" si="11"/>
        <v/>
      </c>
      <c r="AF19" s="2" t="str">
        <f t="shared" si="12"/>
        <v/>
      </c>
      <c r="AG19" t="str">
        <f t="shared" si="13"/>
        <v/>
      </c>
      <c r="AH19"/>
    </row>
    <row r="20" spans="1:34" ht="15">
      <c r="C20" s="101">
        <v>3.5889705999999999E-6</v>
      </c>
      <c r="D20" s="101">
        <v>3.3394120999999997E-5</v>
      </c>
      <c r="E20" s="101">
        <v>7.9514586999999997E-5</v>
      </c>
      <c r="F20" s="101">
        <v>1.0627806E-5</v>
      </c>
      <c r="G20" s="101">
        <v>6.0052904999999998E-6</v>
      </c>
      <c r="H20" s="101">
        <v>3.0587384999999997E-5</v>
      </c>
      <c r="I20" s="101">
        <v>0.17996654000000001</v>
      </c>
      <c r="J20" s="101">
        <v>2.8308340999999999E-4</v>
      </c>
      <c r="K20" s="101">
        <v>5.1538397999999999E-2</v>
      </c>
      <c r="L20" s="101">
        <v>1.6064300999999999E-4</v>
      </c>
      <c r="M20" s="101">
        <v>25.290586999999999</v>
      </c>
      <c r="N20" s="101">
        <v>5.1582596000000001E-2</v>
      </c>
      <c r="O20" s="101">
        <v>0.17753921</v>
      </c>
      <c r="P20" s="101">
        <v>25.321838</v>
      </c>
      <c r="Q20" s="106">
        <f t="shared" si="1"/>
        <v>6.3440501435954211</v>
      </c>
      <c r="R20" s="113">
        <f t="shared" si="2"/>
        <v>2.6478707224999998E-4</v>
      </c>
      <c r="S20" s="113">
        <f t="shared" si="3"/>
        <v>0.17995822345175</v>
      </c>
      <c r="T20" s="113">
        <f t="shared" si="4"/>
        <v>5.1519906454200001E-2</v>
      </c>
      <c r="U20" s="113">
        <f t="shared" si="5"/>
        <v>5.1564104454200003E-2</v>
      </c>
      <c r="V20" s="113">
        <f t="shared" si="14"/>
        <v>0.17744299835249999</v>
      </c>
      <c r="W20" s="101" t="str">
        <f t="shared" si="15"/>
        <v/>
      </c>
      <c r="X20" s="101" t="str">
        <f t="shared" si="16"/>
        <v/>
      </c>
      <c r="Y20" s="101" t="str">
        <f t="shared" si="17"/>
        <v/>
      </c>
      <c r="Z20" s="101" t="str">
        <f t="shared" si="6"/>
        <v/>
      </c>
      <c r="AA20" s="2" t="str">
        <f t="shared" si="7"/>
        <v/>
      </c>
      <c r="AB20" s="2" t="str">
        <f t="shared" si="8"/>
        <v/>
      </c>
      <c r="AC20" s="2" t="str">
        <f t="shared" si="9"/>
        <v/>
      </c>
      <c r="AD20" s="2" t="str">
        <f t="shared" si="10"/>
        <v/>
      </c>
      <c r="AE20" s="2" t="str">
        <f t="shared" si="11"/>
        <v/>
      </c>
      <c r="AF20" s="2" t="str">
        <f t="shared" si="12"/>
        <v/>
      </c>
      <c r="AG20" t="str">
        <f t="shared" si="13"/>
        <v/>
      </c>
      <c r="AH20"/>
    </row>
    <row r="21" spans="1:34" ht="15">
      <c r="C21" s="101">
        <v>1.2891899E-5</v>
      </c>
      <c r="D21" s="101">
        <v>4.2672337000000003E-5</v>
      </c>
      <c r="E21" s="101">
        <v>7.0859055000000004E-5</v>
      </c>
      <c r="F21" s="101">
        <v>1.2598794000000001E-5</v>
      </c>
      <c r="G21" s="101">
        <v>2.3046994000000002E-5</v>
      </c>
      <c r="H21" s="101">
        <v>1.8473502000000001E-5</v>
      </c>
      <c r="I21" s="101">
        <v>0.18558793000000001</v>
      </c>
      <c r="J21" s="101">
        <v>2.8493285000000002E-4</v>
      </c>
      <c r="K21" s="101">
        <v>5.3148107E-2</v>
      </c>
      <c r="L21" s="101">
        <v>1.3472861999999999E-4</v>
      </c>
      <c r="M21" s="101">
        <v>26.081253</v>
      </c>
      <c r="N21" s="101">
        <v>5.3296833000000002E-2</v>
      </c>
      <c r="O21" s="101">
        <v>0.18335294999999999</v>
      </c>
      <c r="P21" s="101">
        <v>26.155894</v>
      </c>
      <c r="Q21" s="106">
        <f t="shared" si="1"/>
        <v>5.1509850896321874</v>
      </c>
      <c r="R21" s="113">
        <f t="shared" si="2"/>
        <v>2.64172602E-4</v>
      </c>
      <c r="S21" s="113">
        <f t="shared" si="3"/>
        <v>0.185570107106</v>
      </c>
      <c r="T21" s="113">
        <f t="shared" si="4"/>
        <v>5.3120324881999997E-2</v>
      </c>
      <c r="U21" s="113">
        <f t="shared" si="5"/>
        <v>5.3269050881999999E-2</v>
      </c>
      <c r="V21" s="113">
        <f t="shared" si="14"/>
        <v>0.18326075477649997</v>
      </c>
      <c r="W21" s="101" t="str">
        <f t="shared" si="15"/>
        <v/>
      </c>
      <c r="X21" s="101" t="str">
        <f t="shared" si="16"/>
        <v/>
      </c>
      <c r="Y21" s="101" t="str">
        <f t="shared" si="17"/>
        <v/>
      </c>
      <c r="Z21" s="101" t="str">
        <f t="shared" si="6"/>
        <v/>
      </c>
      <c r="AA21" s="2" t="str">
        <f t="shared" si="7"/>
        <v/>
      </c>
      <c r="AB21" s="2" t="str">
        <f t="shared" si="8"/>
        <v/>
      </c>
      <c r="AC21" s="2" t="str">
        <f t="shared" si="9"/>
        <v/>
      </c>
      <c r="AD21" s="2" t="str">
        <f t="shared" si="10"/>
        <v/>
      </c>
      <c r="AE21" s="2" t="str">
        <f t="shared" si="11"/>
        <v/>
      </c>
      <c r="AF21" s="2" t="str">
        <f t="shared" si="12"/>
        <v/>
      </c>
      <c r="AG21" t="str">
        <f t="shared" si="13"/>
        <v/>
      </c>
      <c r="AH21"/>
    </row>
    <row r="22" spans="1:34" ht="15">
      <c r="C22" s="101">
        <v>-5.4248156999999999E-6</v>
      </c>
      <c r="D22" s="101">
        <v>4.0368277999999998E-5</v>
      </c>
      <c r="E22" s="101">
        <v>8.6776104999999998E-5</v>
      </c>
      <c r="F22" s="101">
        <v>1.347811E-5</v>
      </c>
      <c r="G22" s="101">
        <v>9.7523856000000003E-6</v>
      </c>
      <c r="H22" s="101">
        <v>3.4256622E-5</v>
      </c>
      <c r="I22" s="101">
        <v>0.18762139999999999</v>
      </c>
      <c r="J22" s="101">
        <v>2.9370281999999999E-4</v>
      </c>
      <c r="K22" s="101">
        <v>5.3719600999999999E-2</v>
      </c>
      <c r="L22" s="101">
        <v>1.3782732999999999E-4</v>
      </c>
      <c r="M22" s="101">
        <v>26.375541999999999</v>
      </c>
      <c r="N22" s="101">
        <v>5.3756466000000003E-2</v>
      </c>
      <c r="O22" s="101">
        <v>0.18492681999999999</v>
      </c>
      <c r="P22" s="101">
        <v>26.380108</v>
      </c>
      <c r="Q22" s="106">
        <f t="shared" si="1"/>
        <v>5.2246689058285884</v>
      </c>
      <c r="R22" s="113">
        <f t="shared" si="2"/>
        <v>2.7169831620000001E-4</v>
      </c>
      <c r="S22" s="113">
        <f t="shared" si="3"/>
        <v>0.1876097847522</v>
      </c>
      <c r="T22" s="113">
        <f t="shared" si="4"/>
        <v>5.3702129268849999E-2</v>
      </c>
      <c r="U22" s="113">
        <f t="shared" si="5"/>
        <v>5.3738994268850003E-2</v>
      </c>
      <c r="V22" s="113">
        <f t="shared" si="14"/>
        <v>0.18481985975599999</v>
      </c>
      <c r="W22" s="101" t="str">
        <f t="shared" si="15"/>
        <v/>
      </c>
      <c r="X22" s="101" t="str">
        <f t="shared" si="16"/>
        <v/>
      </c>
      <c r="Y22" s="101" t="str">
        <f t="shared" si="17"/>
        <v/>
      </c>
      <c r="Z22" s="101" t="str">
        <f t="shared" si="6"/>
        <v/>
      </c>
      <c r="AA22" s="2" t="str">
        <f t="shared" si="7"/>
        <v/>
      </c>
      <c r="AB22" s="2" t="str">
        <f t="shared" si="8"/>
        <v/>
      </c>
      <c r="AC22" s="2" t="str">
        <f t="shared" si="9"/>
        <v/>
      </c>
      <c r="AD22" s="2" t="str">
        <f t="shared" si="10"/>
        <v/>
      </c>
      <c r="AE22" s="2" t="str">
        <f t="shared" si="11"/>
        <v/>
      </c>
      <c r="AF22" s="2" t="str">
        <f t="shared" si="12"/>
        <v/>
      </c>
      <c r="AG22" t="str">
        <f t="shared" si="13"/>
        <v/>
      </c>
      <c r="AH22"/>
    </row>
    <row r="23" spans="1:34" ht="15">
      <c r="C23" s="101">
        <v>1.1990602000000001E-5</v>
      </c>
      <c r="D23" s="101">
        <v>2.0049540000000001E-5</v>
      </c>
      <c r="E23" s="101">
        <v>5.8131223E-5</v>
      </c>
      <c r="F23" s="101">
        <v>1.2305689E-5</v>
      </c>
      <c r="G23" s="101">
        <v>4.0413015999999998E-5</v>
      </c>
      <c r="H23" s="101">
        <v>3.3353431999999999E-5</v>
      </c>
      <c r="I23" s="101">
        <v>0.18838220999999999</v>
      </c>
      <c r="J23" s="101">
        <v>3.0552302000000001E-4</v>
      </c>
      <c r="K23" s="101">
        <v>5.3931464999999998E-2</v>
      </c>
      <c r="L23" s="101">
        <v>1.4876059999999999E-4</v>
      </c>
      <c r="M23" s="101">
        <v>26.480145</v>
      </c>
      <c r="N23" s="101">
        <v>5.4118016999999997E-2</v>
      </c>
      <c r="O23" s="101">
        <v>0.18608253999999999</v>
      </c>
      <c r="P23" s="101">
        <v>26.549092999999999</v>
      </c>
      <c r="Q23" s="106">
        <f t="shared" si="1"/>
        <v>5.6032271987596713</v>
      </c>
      <c r="R23" s="113">
        <f t="shared" si="2"/>
        <v>2.68639796E-4</v>
      </c>
      <c r="S23" s="113">
        <f t="shared" si="3"/>
        <v>0.18835585064749999</v>
      </c>
      <c r="T23" s="113">
        <f t="shared" si="4"/>
        <v>5.3915444928999995E-2</v>
      </c>
      <c r="U23" s="113">
        <f t="shared" si="5"/>
        <v>5.4101996928999994E-2</v>
      </c>
      <c r="V23" s="113">
        <f t="shared" si="14"/>
        <v>0.18601438400699999</v>
      </c>
      <c r="W23" s="101" t="str">
        <f t="shared" si="15"/>
        <v/>
      </c>
      <c r="X23" s="101" t="str">
        <f t="shared" si="16"/>
        <v/>
      </c>
      <c r="Y23" s="101" t="str">
        <f t="shared" si="17"/>
        <v/>
      </c>
      <c r="Z23" s="101" t="str">
        <f t="shared" si="6"/>
        <v/>
      </c>
      <c r="AA23" s="2" t="str">
        <f t="shared" si="7"/>
        <v/>
      </c>
      <c r="AB23" s="2" t="str">
        <f t="shared" si="8"/>
        <v/>
      </c>
      <c r="AC23" s="2" t="str">
        <f t="shared" si="9"/>
        <v/>
      </c>
      <c r="AD23" s="2" t="str">
        <f t="shared" si="10"/>
        <v/>
      </c>
      <c r="AE23" s="2" t="str">
        <f t="shared" si="11"/>
        <v/>
      </c>
      <c r="AF23" s="2" t="str">
        <f t="shared" si="12"/>
        <v/>
      </c>
      <c r="AG23" t="str">
        <f t="shared" si="13"/>
        <v/>
      </c>
      <c r="AH23"/>
    </row>
    <row r="24" spans="1:34" ht="15">
      <c r="C24" s="101">
        <v>-2.9186615000000002E-6</v>
      </c>
      <c r="D24" s="101">
        <v>4.4767617999999997E-5</v>
      </c>
      <c r="E24" s="101">
        <v>7.8399117999999995E-5</v>
      </c>
      <c r="F24" s="101">
        <v>6.0112824E-6</v>
      </c>
      <c r="G24" s="101">
        <v>1.9095128999999999E-5</v>
      </c>
      <c r="H24" s="101">
        <v>3.4113616999999998E-5</v>
      </c>
      <c r="I24" s="101">
        <v>0.19117440999999999</v>
      </c>
      <c r="J24" s="101">
        <v>2.9692447000000002E-4</v>
      </c>
      <c r="K24" s="101">
        <v>5.4751296999999997E-2</v>
      </c>
      <c r="L24" s="101">
        <v>1.4559608000000001E-4</v>
      </c>
      <c r="M24" s="101">
        <v>26.877403000000001</v>
      </c>
      <c r="N24" s="101">
        <v>5.4827331E-2</v>
      </c>
      <c r="O24" s="101">
        <v>0.18857619</v>
      </c>
      <c r="P24" s="101">
        <v>26.902951999999999</v>
      </c>
      <c r="Q24" s="106">
        <f t="shared" si="1"/>
        <v>5.411899779622698</v>
      </c>
      <c r="R24" s="113">
        <f t="shared" si="2"/>
        <v>2.7032009700000005E-4</v>
      </c>
      <c r="S24" s="113">
        <f t="shared" si="3"/>
        <v>0.19116185679429998</v>
      </c>
      <c r="T24" s="113">
        <f t="shared" si="4"/>
        <v>5.4730372521749997E-2</v>
      </c>
      <c r="U24" s="113">
        <f t="shared" si="5"/>
        <v>5.4806406521749999E-2</v>
      </c>
      <c r="V24" s="113">
        <f t="shared" si="14"/>
        <v>0.18847540707300001</v>
      </c>
      <c r="W24" s="101" t="str">
        <f t="shared" si="15"/>
        <v/>
      </c>
      <c r="X24" s="101" t="str">
        <f t="shared" si="16"/>
        <v/>
      </c>
      <c r="Y24" s="101" t="str">
        <f t="shared" si="17"/>
        <v/>
      </c>
      <c r="Z24" s="101" t="str">
        <f t="shared" si="6"/>
        <v/>
      </c>
      <c r="AA24" s="2" t="str">
        <f t="shared" si="7"/>
        <v/>
      </c>
      <c r="AB24" s="2" t="str">
        <f t="shared" si="8"/>
        <v/>
      </c>
      <c r="AC24" s="2" t="str">
        <f t="shared" si="9"/>
        <v/>
      </c>
      <c r="AD24" s="2" t="str">
        <f t="shared" si="10"/>
        <v/>
      </c>
      <c r="AE24" s="2" t="str">
        <f t="shared" si="11"/>
        <v/>
      </c>
      <c r="AF24" s="2" t="str">
        <f t="shared" si="12"/>
        <v/>
      </c>
      <c r="AG24" t="str">
        <f t="shared" si="13"/>
        <v/>
      </c>
      <c r="AH24"/>
    </row>
    <row r="25" spans="1:34" ht="15">
      <c r="C25" s="101">
        <v>-1.1323779000000001E-5</v>
      </c>
      <c r="D25" s="101">
        <v>4.4446987000000001E-5</v>
      </c>
      <c r="E25" s="101">
        <v>8.1868823000000001E-5</v>
      </c>
      <c r="F25" s="101">
        <v>-9.1034279999999999E-6</v>
      </c>
      <c r="G25" s="101">
        <v>2.8564719E-5</v>
      </c>
      <c r="H25" s="101">
        <v>2.2658225000000001E-5</v>
      </c>
      <c r="I25" s="101">
        <v>0.19289149</v>
      </c>
      <c r="J25" s="101">
        <v>3.0799148000000001E-4</v>
      </c>
      <c r="K25" s="101">
        <v>5.5249706000000003E-2</v>
      </c>
      <c r="L25" s="101">
        <v>1.4714544999999999E-4</v>
      </c>
      <c r="M25" s="101">
        <v>27.116913</v>
      </c>
      <c r="N25" s="101">
        <v>5.5583362999999997E-2</v>
      </c>
      <c r="O25" s="101">
        <v>0.19122864000000001</v>
      </c>
      <c r="P25" s="101">
        <v>27.280798000000001</v>
      </c>
      <c r="Q25" s="106">
        <f t="shared" si="1"/>
        <v>5.3937370160506299</v>
      </c>
      <c r="R25" s="113">
        <f t="shared" si="2"/>
        <v>2.8238000800000001E-4</v>
      </c>
      <c r="S25" s="113">
        <f t="shared" si="3"/>
        <v>0.1928817593545</v>
      </c>
      <c r="T25" s="113">
        <f t="shared" si="4"/>
        <v>5.5233144396000002E-2</v>
      </c>
      <c r="U25" s="113">
        <f t="shared" si="5"/>
        <v>5.5566801395999996E-2</v>
      </c>
      <c r="V25" s="113">
        <f t="shared" si="14"/>
        <v>0.19112454768350001</v>
      </c>
      <c r="W25" s="101" t="str">
        <f t="shared" si="15"/>
        <v/>
      </c>
      <c r="X25" s="101" t="str">
        <f t="shared" si="16"/>
        <v/>
      </c>
      <c r="Y25" s="101" t="str">
        <f t="shared" si="17"/>
        <v/>
      </c>
      <c r="Z25" s="101" t="str">
        <f t="shared" si="6"/>
        <v/>
      </c>
      <c r="AA25" s="2" t="str">
        <f t="shared" si="7"/>
        <v/>
      </c>
      <c r="AB25" s="2" t="str">
        <f t="shared" si="8"/>
        <v/>
      </c>
      <c r="AC25" s="2" t="str">
        <f t="shared" si="9"/>
        <v/>
      </c>
      <c r="AD25" s="2" t="str">
        <f t="shared" si="10"/>
        <v/>
      </c>
      <c r="AE25" s="2" t="str">
        <f t="shared" si="11"/>
        <v/>
      </c>
      <c r="AF25" s="2" t="str">
        <f t="shared" si="12"/>
        <v/>
      </c>
      <c r="AG25" t="str">
        <f t="shared" si="13"/>
        <v/>
      </c>
      <c r="AH25"/>
    </row>
    <row r="26" spans="1:34" ht="15">
      <c r="A26">
        <f t="shared" ref="A26:A81" si="18">A25+1</f>
        <v>1</v>
      </c>
      <c r="C26" s="101">
        <v>1.7310476000000001E-5</v>
      </c>
      <c r="D26" s="101">
        <v>2.7975951E-5</v>
      </c>
      <c r="E26" s="101">
        <v>6.5972749E-5</v>
      </c>
      <c r="F26" s="101">
        <v>1.4242150000000001E-5</v>
      </c>
      <c r="G26" s="101">
        <v>3.4641277E-5</v>
      </c>
      <c r="H26" s="101">
        <v>2.1777530000000002E-5</v>
      </c>
      <c r="I26" s="101">
        <v>0.19734066</v>
      </c>
      <c r="J26" s="101">
        <v>3.0475031000000002E-4</v>
      </c>
      <c r="K26" s="101">
        <v>5.6508751000000003E-2</v>
      </c>
      <c r="L26" s="101">
        <v>1.1991314E-4</v>
      </c>
      <c r="M26" s="101">
        <v>27.748545</v>
      </c>
      <c r="N26" s="101">
        <v>5.6636120999999998E-2</v>
      </c>
      <c r="O26" s="101">
        <v>0.19482712999999999</v>
      </c>
      <c r="P26" s="101">
        <v>27.799793000000001</v>
      </c>
      <c r="Q26" s="106">
        <f t="shared" si="1"/>
        <v>4.3134544203260798</v>
      </c>
      <c r="R26" s="113">
        <f t="shared" si="2"/>
        <v>2.7654090649999999E-4</v>
      </c>
      <c r="S26" s="113">
        <f t="shared" si="3"/>
        <v>0.19731621828650001</v>
      </c>
      <c r="T26" s="113">
        <f t="shared" si="4"/>
        <v>5.6486107786500005E-2</v>
      </c>
      <c r="U26" s="113">
        <f t="shared" si="5"/>
        <v>5.6613477786499999E-2</v>
      </c>
      <c r="V26" s="113">
        <f t="shared" si="14"/>
        <v>0.19474716927549998</v>
      </c>
      <c r="W26" s="101">
        <f t="shared" si="15"/>
        <v>3.4931813505772817</v>
      </c>
      <c r="X26" s="101">
        <f t="shared" si="16"/>
        <v>3.4399435768621731</v>
      </c>
      <c r="Y26" s="101">
        <f t="shared" si="17"/>
        <v>491.045491054943</v>
      </c>
      <c r="Z26" s="101">
        <f t="shared" si="6"/>
        <v>3.2148081475082574E-4</v>
      </c>
      <c r="AA26" s="2">
        <f t="shared" si="7"/>
        <v>491.59455708345411</v>
      </c>
      <c r="AB26" s="2">
        <f t="shared" si="8"/>
        <v>-481.80868153846302</v>
      </c>
      <c r="AC26" s="2">
        <f t="shared" si="9"/>
        <v>1679.2633907739848</v>
      </c>
      <c r="AD26" s="2">
        <f t="shared" si="10"/>
        <v>-3.4313283050560299</v>
      </c>
      <c r="AE26" s="2">
        <f t="shared" si="11"/>
        <v>143.26769086463867</v>
      </c>
      <c r="AF26" s="2">
        <f t="shared" si="12"/>
        <v>-1.4895090458871309E-3</v>
      </c>
      <c r="AG26">
        <f t="shared" si="13"/>
        <v>238769002.68516782</v>
      </c>
      <c r="AH26"/>
    </row>
    <row r="27" spans="1:34" ht="15">
      <c r="A27">
        <f t="shared" si="18"/>
        <v>2</v>
      </c>
      <c r="C27" s="101">
        <v>4.6872106000000001E-7</v>
      </c>
      <c r="D27" s="101">
        <v>2.6730191999999998E-5</v>
      </c>
      <c r="E27" s="101">
        <v>8.9581117999999998E-5</v>
      </c>
      <c r="F27" s="101">
        <v>-2.4940116999999998E-6</v>
      </c>
      <c r="G27" s="101">
        <v>2.7953967E-5</v>
      </c>
      <c r="H27" s="101">
        <v>4.3103138999999997E-5</v>
      </c>
      <c r="I27" s="101">
        <v>0.19884826</v>
      </c>
      <c r="J27" s="101">
        <v>2.9706247999999999E-4</v>
      </c>
      <c r="K27" s="101">
        <v>5.6954837000000001E-2</v>
      </c>
      <c r="L27" s="101">
        <v>1.4116153E-4</v>
      </c>
      <c r="M27" s="101">
        <v>27.960574999999999</v>
      </c>
      <c r="N27" s="101">
        <v>5.6962993000000003E-2</v>
      </c>
      <c r="O27" s="101">
        <v>0.19605001</v>
      </c>
      <c r="P27" s="101">
        <v>27.970559999999999</v>
      </c>
      <c r="Q27" s="106">
        <f t="shared" si="1"/>
        <v>5.0467895530157421</v>
      </c>
      <c r="R27" s="113">
        <f t="shared" si="2"/>
        <v>2.6153392699999997E-4</v>
      </c>
      <c r="S27" s="113">
        <f t="shared" si="3"/>
        <v>0.19883553002234999</v>
      </c>
      <c r="T27" s="113">
        <f t="shared" si="4"/>
        <v>5.6941237543470004E-2</v>
      </c>
      <c r="U27" s="113">
        <f t="shared" si="5"/>
        <v>5.6949393543470006E-2</v>
      </c>
      <c r="V27" s="113">
        <f t="shared" si="14"/>
        <v>0.19594706378599999</v>
      </c>
      <c r="W27" s="101">
        <f t="shared" si="15"/>
        <v>3.4919425463936435</v>
      </c>
      <c r="X27" s="101">
        <f t="shared" si="16"/>
        <v>3.4407225712848333</v>
      </c>
      <c r="Y27" s="101">
        <f t="shared" si="17"/>
        <v>491.1476358154685</v>
      </c>
      <c r="Z27" s="101">
        <f t="shared" si="6"/>
        <v>1.275919291407909E-4</v>
      </c>
      <c r="AA27" s="2">
        <f t="shared" si="7"/>
        <v>491.41134644158586</v>
      </c>
      <c r="AB27" s="2">
        <f t="shared" si="8"/>
        <v>-482.00255144363939</v>
      </c>
      <c r="AC27" s="2">
        <f t="shared" si="9"/>
        <v>1678.6880355055052</v>
      </c>
      <c r="AD27" s="2">
        <f t="shared" si="10"/>
        <v>-3.4314443821855694</v>
      </c>
      <c r="AE27" s="2">
        <f t="shared" si="11"/>
        <v>143.3027575213853</v>
      </c>
      <c r="AF27" s="2">
        <f t="shared" si="12"/>
        <v>-1.489502802607197E-3</v>
      </c>
      <c r="AG27">
        <f t="shared" si="13"/>
        <v>238692107.51410216</v>
      </c>
      <c r="AH27"/>
    </row>
    <row r="28" spans="1:34" ht="15">
      <c r="A28">
        <f t="shared" si="18"/>
        <v>3</v>
      </c>
      <c r="C28" s="101">
        <v>3.6123936E-6</v>
      </c>
      <c r="D28" s="101">
        <v>3.1461097999999997E-5</v>
      </c>
      <c r="E28" s="101">
        <v>7.4853785000000004E-5</v>
      </c>
      <c r="F28" s="101">
        <v>1.6337959E-5</v>
      </c>
      <c r="G28" s="101">
        <v>2.3161465999999999E-5</v>
      </c>
      <c r="H28" s="101">
        <v>3.9359939999999998E-5</v>
      </c>
      <c r="I28" s="101">
        <v>0.20010759</v>
      </c>
      <c r="J28" s="101">
        <v>2.9484921E-4</v>
      </c>
      <c r="K28" s="101">
        <v>5.7326304000000002E-2</v>
      </c>
      <c r="L28" s="101">
        <v>1.2713890000000001E-4</v>
      </c>
      <c r="M28" s="101">
        <v>28.140429999999999</v>
      </c>
      <c r="N28" s="101">
        <v>5.7443578000000002E-2</v>
      </c>
      <c r="O28" s="101">
        <v>0.19768369</v>
      </c>
      <c r="P28" s="101">
        <v>28.204889000000001</v>
      </c>
      <c r="Q28" s="106">
        <f t="shared" si="1"/>
        <v>4.5076901384011832</v>
      </c>
      <c r="R28" s="113">
        <f t="shared" si="2"/>
        <v>2.6358850700000002E-4</v>
      </c>
      <c r="S28" s="113">
        <f t="shared" si="3"/>
        <v>0.20008784028750001</v>
      </c>
      <c r="T28" s="113">
        <f t="shared" si="4"/>
        <v>5.7308767254200005E-2</v>
      </c>
      <c r="U28" s="113">
        <f t="shared" si="5"/>
        <v>5.7426041254200005E-2</v>
      </c>
      <c r="V28" s="113">
        <f t="shared" si="14"/>
        <v>0.197593105666</v>
      </c>
      <c r="W28" s="101">
        <f t="shared" si="15"/>
        <v>3.4914001796616225</v>
      </c>
      <c r="X28" s="101">
        <f t="shared" si="16"/>
        <v>3.4408275644727384</v>
      </c>
      <c r="Y28" s="101">
        <f t="shared" si="17"/>
        <v>491.15154699849978</v>
      </c>
      <c r="Z28" s="101">
        <f t="shared" si="6"/>
        <v>6.567237015223405E-5</v>
      </c>
      <c r="AA28" s="2">
        <f t="shared" si="7"/>
        <v>491.32404272499906</v>
      </c>
      <c r="AB28" s="2">
        <f t="shared" si="8"/>
        <v>-482.03627858038647</v>
      </c>
      <c r="AC28" s="2">
        <f t="shared" si="9"/>
        <v>1678.3353093565697</v>
      </c>
      <c r="AD28" s="2">
        <f t="shared" si="10"/>
        <v>-3.4313373428770646</v>
      </c>
      <c r="AE28" s="2">
        <f t="shared" si="11"/>
        <v>143.30878695185291</v>
      </c>
      <c r="AF28" s="2">
        <f t="shared" si="12"/>
        <v>-1.4893887309494697E-3</v>
      </c>
      <c r="AG28">
        <f t="shared" si="13"/>
        <v>238647545.29322043</v>
      </c>
      <c r="AH28"/>
    </row>
    <row r="29" spans="1:34" ht="15">
      <c r="A29">
        <f t="shared" si="18"/>
        <v>4</v>
      </c>
      <c r="C29" s="101">
        <v>1.4000906E-5</v>
      </c>
      <c r="D29" s="101">
        <v>2.6283183999999999E-5</v>
      </c>
      <c r="E29" s="101">
        <v>7.4033535000000004E-5</v>
      </c>
      <c r="F29" s="101">
        <v>1.9579686999999999E-5</v>
      </c>
      <c r="G29" s="101">
        <v>1.8991862E-5</v>
      </c>
      <c r="H29" s="101">
        <v>2.9151964E-5</v>
      </c>
      <c r="I29" s="101">
        <v>0.20121539999999999</v>
      </c>
      <c r="J29" s="101">
        <v>3.1528178000000002E-4</v>
      </c>
      <c r="K29" s="101">
        <v>5.7630850999999997E-2</v>
      </c>
      <c r="L29" s="101">
        <v>1.4053679000000001E-4</v>
      </c>
      <c r="M29" s="101">
        <v>28.300307</v>
      </c>
      <c r="N29" s="101">
        <v>5.7745447999999998E-2</v>
      </c>
      <c r="O29" s="101">
        <v>0.19873831</v>
      </c>
      <c r="P29" s="101">
        <v>28.357872</v>
      </c>
      <c r="Q29" s="106">
        <f t="shared" si="1"/>
        <v>4.9558299014820291</v>
      </c>
      <c r="R29" s="113">
        <f t="shared" si="2"/>
        <v>2.9120986700000002E-4</v>
      </c>
      <c r="S29" s="113">
        <f t="shared" si="3"/>
        <v>0.20119611422549999</v>
      </c>
      <c r="T29" s="113">
        <f t="shared" si="4"/>
        <v>5.7610708954999999E-2</v>
      </c>
      <c r="U29" s="113">
        <f t="shared" si="5"/>
        <v>5.7725305955E-2</v>
      </c>
      <c r="V29" s="113">
        <f t="shared" si="14"/>
        <v>0.19865113487300001</v>
      </c>
      <c r="W29" s="101">
        <f t="shared" si="15"/>
        <v>3.4923388008062051</v>
      </c>
      <c r="X29" s="101">
        <f t="shared" si="16"/>
        <v>3.4413180075279173</v>
      </c>
      <c r="Y29" s="101">
        <f t="shared" si="17"/>
        <v>491.25546466754975</v>
      </c>
      <c r="Z29" s="101">
        <f t="shared" si="6"/>
        <v>1.0749880166382651E-4</v>
      </c>
      <c r="AA29" s="2">
        <f t="shared" si="7"/>
        <v>491.48964174137336</v>
      </c>
      <c r="AB29" s="2">
        <f t="shared" si="8"/>
        <v>-482.1181414732651</v>
      </c>
      <c r="AC29" s="2">
        <f t="shared" si="9"/>
        <v>1679.2132892901261</v>
      </c>
      <c r="AD29" s="2">
        <f t="shared" si="10"/>
        <v>-3.4319716252996115</v>
      </c>
      <c r="AE29" s="2">
        <f t="shared" si="11"/>
        <v>143.3227388910953</v>
      </c>
      <c r="AF29" s="2">
        <f t="shared" si="12"/>
        <v>-1.489868989949195E-3</v>
      </c>
      <c r="AG29">
        <f t="shared" si="13"/>
        <v>238755717.66659608</v>
      </c>
      <c r="AH29"/>
    </row>
    <row r="30" spans="1:34" ht="15">
      <c r="A30">
        <f t="shared" si="18"/>
        <v>5</v>
      </c>
      <c r="C30" s="101">
        <v>1.2417744E-5</v>
      </c>
      <c r="D30" s="101">
        <v>4.0664594000000001E-5</v>
      </c>
      <c r="E30" s="101">
        <v>7.0260392999999997E-5</v>
      </c>
      <c r="F30" s="101">
        <v>-5.9424512999999998E-7</v>
      </c>
      <c r="G30" s="101">
        <v>9.2823961000000001E-6</v>
      </c>
      <c r="H30" s="101">
        <v>3.7465975999999998E-5</v>
      </c>
      <c r="I30" s="101">
        <v>0.20204901</v>
      </c>
      <c r="J30" s="101">
        <v>3.1041545000000002E-4</v>
      </c>
      <c r="K30" s="101">
        <v>5.7860750000000002E-2</v>
      </c>
      <c r="L30" s="101">
        <v>1.4331424000000001E-4</v>
      </c>
      <c r="M30" s="101">
        <v>28.415116999999999</v>
      </c>
      <c r="N30" s="101">
        <v>5.7984487000000001E-2</v>
      </c>
      <c r="O30" s="101">
        <v>0.19954306999999999</v>
      </c>
      <c r="P30" s="101">
        <v>28.475041000000001</v>
      </c>
      <c r="Q30" s="106">
        <f t="shared" si="1"/>
        <v>5.0329774766610527</v>
      </c>
      <c r="R30" s="113">
        <f t="shared" si="2"/>
        <v>2.8704126395000002E-4</v>
      </c>
      <c r="S30" s="113">
        <f t="shared" si="3"/>
        <v>0.202044665924515</v>
      </c>
      <c r="T30" s="113">
        <f t="shared" si="4"/>
        <v>5.7834208831000003E-2</v>
      </c>
      <c r="U30" s="113">
        <f t="shared" si="5"/>
        <v>5.7957945831000002E-2</v>
      </c>
      <c r="V30" s="113">
        <f t="shared" si="14"/>
        <v>0.19945247730999999</v>
      </c>
      <c r="W30" s="101">
        <f t="shared" si="15"/>
        <v>3.4935148246761534</v>
      </c>
      <c r="X30" s="101">
        <f t="shared" si="16"/>
        <v>3.441331028045489</v>
      </c>
      <c r="Y30" s="101">
        <f t="shared" si="17"/>
        <v>491.30521435370713</v>
      </c>
      <c r="Z30" s="101">
        <f t="shared" si="6"/>
        <v>2.183491602649854E-4</v>
      </c>
      <c r="AA30" s="2">
        <f t="shared" si="7"/>
        <v>491.70272705138643</v>
      </c>
      <c r="AB30" s="2">
        <f t="shared" si="8"/>
        <v>-482.11347451033816</v>
      </c>
      <c r="AC30" s="2">
        <f t="shared" si="9"/>
        <v>1680.1374933357995</v>
      </c>
      <c r="AD30" s="2">
        <f t="shared" si="10"/>
        <v>-3.4323644721864377</v>
      </c>
      <c r="AE30" s="2">
        <f t="shared" si="11"/>
        <v>143.32564309162657</v>
      </c>
      <c r="AF30" s="2">
        <f t="shared" si="12"/>
        <v>-1.4903304748630449E-3</v>
      </c>
      <c r="AG30">
        <f t="shared" si="13"/>
        <v>238863464.08078471</v>
      </c>
      <c r="AH30"/>
    </row>
    <row r="31" spans="1:34" ht="15">
      <c r="A31">
        <f t="shared" si="18"/>
        <v>6</v>
      </c>
      <c r="C31" s="101">
        <v>1.1523069E-5</v>
      </c>
      <c r="D31" s="101">
        <v>3.4862625000000002E-5</v>
      </c>
      <c r="E31" s="101">
        <v>5.8573472999999997E-5</v>
      </c>
      <c r="F31" s="101">
        <v>1.5235491E-5</v>
      </c>
      <c r="G31" s="101">
        <v>8.6577046000000007E-6</v>
      </c>
      <c r="H31" s="101">
        <v>2.6412233000000001E-5</v>
      </c>
      <c r="I31" s="101">
        <v>0.20452031000000001</v>
      </c>
      <c r="J31" s="101">
        <v>3.0267948999999997E-4</v>
      </c>
      <c r="K31" s="101">
        <v>5.8558275999999999E-2</v>
      </c>
      <c r="L31" s="101">
        <v>1.2980513999999999E-4</v>
      </c>
      <c r="M31" s="101">
        <v>28.764918999999999</v>
      </c>
      <c r="N31" s="101">
        <v>5.8985545E-2</v>
      </c>
      <c r="O31" s="101">
        <v>0.20292603000000001</v>
      </c>
      <c r="P31" s="101">
        <v>28.966165</v>
      </c>
      <c r="Q31" s="106">
        <f t="shared" si="1"/>
        <v>4.4812677135547627</v>
      </c>
      <c r="R31" s="113">
        <f t="shared" si="2"/>
        <v>2.8514452119999997E-4</v>
      </c>
      <c r="S31" s="113">
        <f t="shared" si="3"/>
        <v>0.20450836340220002</v>
      </c>
      <c r="T31" s="113">
        <f t="shared" si="4"/>
        <v>5.8535083152999996E-2</v>
      </c>
      <c r="U31" s="113">
        <f t="shared" si="5"/>
        <v>5.8962352152999997E-2</v>
      </c>
      <c r="V31" s="113">
        <f t="shared" si="14"/>
        <v>0.20285002521450002</v>
      </c>
      <c r="W31" s="101">
        <f t="shared" si="15"/>
        <v>3.4937742014930189</v>
      </c>
      <c r="X31" s="101">
        <f t="shared" si="16"/>
        <v>3.4403312928922736</v>
      </c>
      <c r="Y31" s="101">
        <f t="shared" si="17"/>
        <v>491.26542517904289</v>
      </c>
      <c r="Z31" s="101">
        <f t="shared" si="6"/>
        <v>3.403018811251971E-4</v>
      </c>
      <c r="AA31" s="2">
        <f t="shared" si="7"/>
        <v>491.84245356310095</v>
      </c>
      <c r="AB31" s="2">
        <f t="shared" si="8"/>
        <v>-482.01551092559384</v>
      </c>
      <c r="AC31" s="2">
        <f t="shared" si="9"/>
        <v>1680.3321283048235</v>
      </c>
      <c r="AD31" s="2">
        <f t="shared" si="10"/>
        <v>-3.4317814248571534</v>
      </c>
      <c r="AE31" s="2">
        <f t="shared" si="11"/>
        <v>143.33444677107141</v>
      </c>
      <c r="AF31" s="2">
        <f t="shared" si="12"/>
        <v>-1.4907047793606164E-3</v>
      </c>
      <c r="AG31">
        <f t="shared" si="13"/>
        <v>238840737.31350467</v>
      </c>
      <c r="AH31"/>
    </row>
    <row r="32" spans="1:34" ht="15">
      <c r="A32">
        <f t="shared" si="18"/>
        <v>7</v>
      </c>
      <c r="C32" s="101">
        <v>3.6158319000000001E-5</v>
      </c>
      <c r="D32" s="101">
        <v>3.5488355000000001E-5</v>
      </c>
      <c r="E32" s="101">
        <v>6.2054189000000003E-5</v>
      </c>
      <c r="F32" s="101">
        <v>2.8559344999999998E-6</v>
      </c>
      <c r="G32" s="101">
        <v>1.4040363000000001E-5</v>
      </c>
      <c r="H32" s="101">
        <v>2.4634368000000002E-5</v>
      </c>
      <c r="I32" s="101">
        <v>0.20627783</v>
      </c>
      <c r="J32" s="101">
        <v>3.0451915E-4</v>
      </c>
      <c r="K32" s="101">
        <v>5.9109014000000001E-2</v>
      </c>
      <c r="L32" s="101">
        <v>1.4398051000000001E-4</v>
      </c>
      <c r="M32" s="101">
        <v>29.017164999999999</v>
      </c>
      <c r="N32" s="101">
        <v>5.9236641E-2</v>
      </c>
      <c r="O32" s="101">
        <v>0.20393043</v>
      </c>
      <c r="P32" s="101">
        <v>29.099865000000001</v>
      </c>
      <c r="Q32" s="106">
        <f t="shared" si="1"/>
        <v>4.9478068025401498</v>
      </c>
      <c r="R32" s="113">
        <f t="shared" si="2"/>
        <v>2.8518178449999997E-4</v>
      </c>
      <c r="S32" s="113">
        <f t="shared" si="3"/>
        <v>0.20626938185124999</v>
      </c>
      <c r="T32" s="113">
        <f t="shared" si="4"/>
        <v>5.9073190663E-2</v>
      </c>
      <c r="U32" s="113">
        <f t="shared" si="5"/>
        <v>5.9200817662999998E-2</v>
      </c>
      <c r="V32" s="113">
        <f t="shared" si="14"/>
        <v>0.20385063163350001</v>
      </c>
      <c r="W32" s="101">
        <f t="shared" si="15"/>
        <v>3.4917596211786321</v>
      </c>
      <c r="X32" s="101">
        <f t="shared" si="16"/>
        <v>3.4433752721781223</v>
      </c>
      <c r="Y32" s="101">
        <f t="shared" si="17"/>
        <v>491.54498449076601</v>
      </c>
      <c r="Z32" s="101">
        <f t="shared" si="6"/>
        <v>-1.4749636190704302E-4</v>
      </c>
      <c r="AA32" s="2">
        <f t="shared" si="7"/>
        <v>491.40321263891201</v>
      </c>
      <c r="AB32" s="2">
        <f t="shared" si="8"/>
        <v>-482.5256416746293</v>
      </c>
      <c r="AC32" s="2">
        <f t="shared" si="9"/>
        <v>1679.490439718008</v>
      </c>
      <c r="AD32" s="2">
        <f t="shared" si="10"/>
        <v>-3.4331562707870065</v>
      </c>
      <c r="AE32" s="2">
        <f t="shared" si="11"/>
        <v>143.38608885314866</v>
      </c>
      <c r="AF32" s="2">
        <f t="shared" si="12"/>
        <v>-1.4903524703255675E-3</v>
      </c>
      <c r="AG32">
        <f t="shared" si="13"/>
        <v>238798035.2753894</v>
      </c>
      <c r="AH32"/>
    </row>
    <row r="33" spans="1:34" ht="15">
      <c r="A33">
        <f t="shared" si="18"/>
        <v>8</v>
      </c>
      <c r="C33" s="101">
        <v>5.3625263E-6</v>
      </c>
      <c r="D33" s="101">
        <v>1.3972514E-5</v>
      </c>
      <c r="E33" s="101">
        <v>6.1834354E-5</v>
      </c>
      <c r="F33" s="101">
        <v>2.0372978999999999E-5</v>
      </c>
      <c r="G33" s="101">
        <v>2.4994236E-5</v>
      </c>
      <c r="H33" s="101">
        <v>3.5373895000000003E-5</v>
      </c>
      <c r="I33" s="101">
        <v>0.20793714999999999</v>
      </c>
      <c r="J33" s="101">
        <v>3.1557222000000001E-4</v>
      </c>
      <c r="K33" s="101">
        <v>5.9556763999999998E-2</v>
      </c>
      <c r="L33" s="101">
        <v>1.7036317999999999E-4</v>
      </c>
      <c r="M33" s="101">
        <v>29.251109</v>
      </c>
      <c r="N33" s="101">
        <v>5.9600484000000002E-2</v>
      </c>
      <c r="O33" s="101">
        <v>0.20508688</v>
      </c>
      <c r="P33" s="101">
        <v>29.267156</v>
      </c>
      <c r="Q33" s="106">
        <f t="shared" si="1"/>
        <v>5.8209680503291814</v>
      </c>
      <c r="R33" s="113">
        <f t="shared" si="2"/>
        <v>2.8538815450000001E-4</v>
      </c>
      <c r="S33" s="113">
        <f t="shared" si="3"/>
        <v>0.2079144663925</v>
      </c>
      <c r="T33" s="113">
        <f t="shared" si="4"/>
        <v>5.9547096479850001E-2</v>
      </c>
      <c r="U33" s="113">
        <f t="shared" si="5"/>
        <v>5.9590816479850005E-2</v>
      </c>
      <c r="V33" s="113">
        <f t="shared" si="14"/>
        <v>0.205018059389</v>
      </c>
      <c r="W33" s="101">
        <f t="shared" si="15"/>
        <v>3.4915970497882407</v>
      </c>
      <c r="X33" s="101">
        <f t="shared" si="16"/>
        <v>3.4404304471700713</v>
      </c>
      <c r="Y33" s="101">
        <f t="shared" si="17"/>
        <v>491.13534146484426</v>
      </c>
      <c r="Z33" s="101">
        <f t="shared" si="6"/>
        <v>1.2304418710147049E-4</v>
      </c>
      <c r="AA33" s="2">
        <f t="shared" si="7"/>
        <v>491.39234030544117</v>
      </c>
      <c r="AB33" s="2">
        <f t="shared" si="8"/>
        <v>-481.99266651622781</v>
      </c>
      <c r="AC33" s="2">
        <f t="shared" si="9"/>
        <v>1678.4717709775528</v>
      </c>
      <c r="AD33" s="2">
        <f t="shared" si="10"/>
        <v>-3.431136513242981</v>
      </c>
      <c r="AE33" s="2">
        <f t="shared" si="11"/>
        <v>143.31084420784853</v>
      </c>
      <c r="AF33" s="2">
        <f t="shared" si="12"/>
        <v>-1.4895483796837714E-3</v>
      </c>
      <c r="AG33">
        <f t="shared" si="13"/>
        <v>238647074.28355539</v>
      </c>
      <c r="AH33"/>
    </row>
    <row r="34" spans="1:34" ht="15">
      <c r="A34">
        <f t="shared" si="18"/>
        <v>9</v>
      </c>
      <c r="C34" s="101">
        <v>-1.0268854999999999E-5</v>
      </c>
      <c r="D34" s="101">
        <v>3.0957475999999997E-5</v>
      </c>
      <c r="E34" s="101">
        <v>6.8019067000000004E-5</v>
      </c>
      <c r="F34" s="101">
        <v>-5.0730381000000001E-6</v>
      </c>
      <c r="G34" s="101">
        <v>8.2129204000000001E-6</v>
      </c>
      <c r="H34" s="101">
        <v>2.4363232000000002E-5</v>
      </c>
      <c r="I34" s="101">
        <v>0.20773981999999999</v>
      </c>
      <c r="J34" s="101">
        <v>2.9725855999999999E-4</v>
      </c>
      <c r="K34" s="101">
        <v>5.9491743999999999E-2</v>
      </c>
      <c r="L34" s="101">
        <v>1.5123605E-4</v>
      </c>
      <c r="M34" s="101">
        <v>29.220597999999999</v>
      </c>
      <c r="N34" s="101">
        <v>5.9563659999999997E-2</v>
      </c>
      <c r="O34" s="101">
        <v>0.20498696999999999</v>
      </c>
      <c r="P34" s="101">
        <v>29.256492000000001</v>
      </c>
      <c r="Q34" s="106">
        <f t="shared" si="1"/>
        <v>5.1693159248210616</v>
      </c>
      <c r="R34" s="113">
        <f t="shared" si="2"/>
        <v>2.8097048379999997E-4</v>
      </c>
      <c r="S34" s="113">
        <f t="shared" si="3"/>
        <v>0.20773825005884999</v>
      </c>
      <c r="T34" s="113">
        <f t="shared" si="4"/>
        <v>5.9481399689499996E-2</v>
      </c>
      <c r="U34" s="113">
        <f t="shared" si="5"/>
        <v>5.9553315689499994E-2</v>
      </c>
      <c r="V34" s="113">
        <f t="shared" si="14"/>
        <v>0.20490347219499999</v>
      </c>
      <c r="W34" s="101">
        <f t="shared" si="15"/>
        <v>3.4924909491583662</v>
      </c>
      <c r="X34" s="101">
        <f t="shared" si="16"/>
        <v>3.4406727790494305</v>
      </c>
      <c r="Y34" s="101">
        <f t="shared" si="17"/>
        <v>491.26554350958315</v>
      </c>
      <c r="Z34" s="101">
        <f t="shared" si="6"/>
        <v>1.8472388551196933E-4</v>
      </c>
      <c r="AA34" s="2">
        <f t="shared" si="7"/>
        <v>491.61348230949545</v>
      </c>
      <c r="AB34" s="2">
        <f t="shared" si="8"/>
        <v>-482.09074004984717</v>
      </c>
      <c r="AC34" s="2">
        <f t="shared" si="9"/>
        <v>1679.4513593286711</v>
      </c>
      <c r="AD34" s="2">
        <f t="shared" si="10"/>
        <v>-3.4315906141380346</v>
      </c>
      <c r="AE34" s="2">
        <f t="shared" si="11"/>
        <v>143.34256481299613</v>
      </c>
      <c r="AF34" s="2">
        <f t="shared" si="12"/>
        <v>-1.4903257861498345E-3</v>
      </c>
      <c r="AG34">
        <f t="shared" si="13"/>
        <v>238739610.80834016</v>
      </c>
      <c r="AH34"/>
    </row>
    <row r="35" spans="1:34" ht="15">
      <c r="A35">
        <f t="shared" si="18"/>
        <v>10</v>
      </c>
      <c r="C35" s="101">
        <v>6.5390918999999996E-6</v>
      </c>
      <c r="D35" s="101">
        <v>3.1108253E-5</v>
      </c>
      <c r="E35" s="101">
        <v>5.6917389000000001E-5</v>
      </c>
      <c r="F35" s="101">
        <v>1.4387771E-5</v>
      </c>
      <c r="G35" s="101">
        <v>3.5087739E-6</v>
      </c>
      <c r="H35" s="101">
        <v>3.6707525999999998E-5</v>
      </c>
      <c r="I35" s="101">
        <v>0.20917018000000001</v>
      </c>
      <c r="J35" s="101">
        <v>3.0148069999999999E-4</v>
      </c>
      <c r="K35" s="101">
        <v>5.9920754999999999E-2</v>
      </c>
      <c r="L35" s="101">
        <v>1.5821573E-4</v>
      </c>
      <c r="M35" s="101">
        <v>29.428436999999999</v>
      </c>
      <c r="N35" s="101">
        <v>5.9820058000000002E-2</v>
      </c>
      <c r="O35" s="101">
        <v>0.20592553999999999</v>
      </c>
      <c r="P35" s="101">
        <v>29.382892999999999</v>
      </c>
      <c r="Q35" s="106">
        <f t="shared" si="1"/>
        <v>5.3846205681652926</v>
      </c>
      <c r="R35" s="113">
        <f t="shared" si="2"/>
        <v>2.8137255005000002E-4</v>
      </c>
      <c r="S35" s="113">
        <f t="shared" si="3"/>
        <v>0.20916123172755002</v>
      </c>
      <c r="T35" s="113">
        <f t="shared" si="4"/>
        <v>5.990193132755E-2</v>
      </c>
      <c r="U35" s="113">
        <f t="shared" si="5"/>
        <v>5.9801234327550003E-2</v>
      </c>
      <c r="V35" s="113">
        <f t="shared" si="14"/>
        <v>0.2058530684845</v>
      </c>
      <c r="W35" s="101">
        <f t="shared" si="15"/>
        <v>3.4917276804287765</v>
      </c>
      <c r="X35" s="101">
        <f t="shared" si="16"/>
        <v>3.4422879527365366</v>
      </c>
      <c r="Y35" s="101">
        <f t="shared" si="17"/>
        <v>491.34258398515215</v>
      </c>
      <c r="Z35" s="101">
        <f t="shared" si="6"/>
        <v>-4.4981802722679372E-5</v>
      </c>
      <c r="AA35" s="2">
        <f t="shared" si="7"/>
        <v>491.35204500457286</v>
      </c>
      <c r="AB35" s="2">
        <f t="shared" si="8"/>
        <v>-482.27732996429296</v>
      </c>
      <c r="AC35" s="2">
        <f t="shared" si="9"/>
        <v>1678.9580971035778</v>
      </c>
      <c r="AD35" s="2">
        <f t="shared" si="10"/>
        <v>-3.4324196313062028</v>
      </c>
      <c r="AE35" s="2">
        <f t="shared" si="11"/>
        <v>143.33800913070189</v>
      </c>
      <c r="AF35" s="2">
        <f t="shared" si="12"/>
        <v>-1.4897491317248629E-3</v>
      </c>
      <c r="AG35">
        <f t="shared" si="13"/>
        <v>238744924.51723689</v>
      </c>
      <c r="AH35"/>
    </row>
    <row r="36" spans="1:34" ht="15">
      <c r="A36">
        <f t="shared" si="18"/>
        <v>11</v>
      </c>
      <c r="C36" s="101">
        <v>4.7881795999999999E-6</v>
      </c>
      <c r="D36" s="101">
        <v>1.4452022E-5</v>
      </c>
      <c r="E36" s="101">
        <v>6.3105040999999999E-5</v>
      </c>
      <c r="F36" s="101">
        <v>1.2931858000000001E-5</v>
      </c>
      <c r="G36" s="101">
        <v>1.1952764E-5</v>
      </c>
      <c r="H36" s="101">
        <v>3.9624289999999999E-5</v>
      </c>
      <c r="I36" s="101">
        <v>0.22711413</v>
      </c>
      <c r="J36" s="101">
        <v>3.3122946E-4</v>
      </c>
      <c r="K36" s="101">
        <v>6.5022038000000004E-2</v>
      </c>
      <c r="L36" s="101">
        <v>1.805194E-4</v>
      </c>
      <c r="M36" s="101">
        <v>31.956499999999998</v>
      </c>
      <c r="N36" s="101">
        <v>6.5055081000000001E-2</v>
      </c>
      <c r="O36" s="101">
        <v>0.22388595</v>
      </c>
      <c r="P36" s="101">
        <v>31.958257</v>
      </c>
      <c r="Q36" s="106">
        <f t="shared" si="1"/>
        <v>5.648599671753062</v>
      </c>
      <c r="R36" s="113">
        <f t="shared" si="2"/>
        <v>3.0544093299999999E-4</v>
      </c>
      <c r="S36" s="113">
        <f t="shared" si="3"/>
        <v>0.22710168768899999</v>
      </c>
      <c r="T36" s="113">
        <f t="shared" si="4"/>
        <v>6.5012417899200009E-2</v>
      </c>
      <c r="U36" s="113">
        <f t="shared" si="5"/>
        <v>6.5045460899200006E-2</v>
      </c>
      <c r="V36" s="113">
        <f t="shared" si="14"/>
        <v>0.22381561894800001</v>
      </c>
      <c r="W36" s="101">
        <f t="shared" si="15"/>
        <v>3.4932047603753946</v>
      </c>
      <c r="X36" s="101">
        <f t="shared" si="16"/>
        <v>3.4409106470141517</v>
      </c>
      <c r="Y36" s="101">
        <f t="shared" si="17"/>
        <v>491.32186255894538</v>
      </c>
      <c r="Z36" s="101">
        <f t="shared" si="6"/>
        <v>2.2965819007454732E-4</v>
      </c>
      <c r="AA36" s="2">
        <f t="shared" si="7"/>
        <v>491.73603709903131</v>
      </c>
      <c r="AB36" s="2">
        <f t="shared" si="8"/>
        <v>-482.1243475100826</v>
      </c>
      <c r="AC36" s="2">
        <f t="shared" si="9"/>
        <v>1680.0637828656877</v>
      </c>
      <c r="AD36" s="2">
        <f t="shared" si="10"/>
        <v>-3.4319826434480247</v>
      </c>
      <c r="AE36" s="2">
        <f t="shared" si="11"/>
        <v>143.34809324281846</v>
      </c>
      <c r="AF36" s="2">
        <f t="shared" si="12"/>
        <v>-1.4906313337755602E-3</v>
      </c>
      <c r="AG36">
        <f t="shared" si="13"/>
        <v>238815646.54433799</v>
      </c>
      <c r="AH36"/>
    </row>
    <row r="37" spans="1:34" ht="15">
      <c r="A37">
        <f t="shared" si="18"/>
        <v>12</v>
      </c>
      <c r="C37" s="101">
        <v>1.3104968E-5</v>
      </c>
      <c r="D37" s="101">
        <v>3.6558306000000002E-5</v>
      </c>
      <c r="E37" s="101">
        <v>7.1314644000000004E-5</v>
      </c>
      <c r="F37" s="101">
        <v>9.8986686999999993E-6</v>
      </c>
      <c r="G37" s="101">
        <v>1.4912411999999999E-5</v>
      </c>
      <c r="H37" s="101">
        <v>2.4101801999999999E-5</v>
      </c>
      <c r="I37" s="101">
        <v>0.22727070999999999</v>
      </c>
      <c r="J37" s="101">
        <v>3.2887602E-4</v>
      </c>
      <c r="K37" s="101">
        <v>6.5073570999999997E-2</v>
      </c>
      <c r="L37" s="101">
        <v>1.7265623000000001E-4</v>
      </c>
      <c r="M37" s="101">
        <v>31.985247999999999</v>
      </c>
      <c r="N37" s="101">
        <v>6.5060962999999999E-2</v>
      </c>
      <c r="O37" s="101">
        <v>0.22391820000000001</v>
      </c>
      <c r="P37" s="101">
        <v>31.962492000000001</v>
      </c>
      <c r="Q37" s="106">
        <f t="shared" si="1"/>
        <v>5.4018388178243431</v>
      </c>
      <c r="R37" s="113">
        <f t="shared" si="2"/>
        <v>3.0936891300000001E-4</v>
      </c>
      <c r="S37" s="113">
        <f t="shared" si="3"/>
        <v>0.22725830445964998</v>
      </c>
      <c r="T37" s="113">
        <f t="shared" si="4"/>
        <v>6.5048739362999999E-2</v>
      </c>
      <c r="U37" s="113">
        <f t="shared" si="5"/>
        <v>6.5036131363000002E-2</v>
      </c>
      <c r="V37" s="113">
        <f t="shared" si="14"/>
        <v>0.22382860620300002</v>
      </c>
      <c r="W37" s="101">
        <f t="shared" si="15"/>
        <v>3.4936619323466163</v>
      </c>
      <c r="X37" s="101">
        <f t="shared" si="16"/>
        <v>3.4416039440245574</v>
      </c>
      <c r="Y37" s="101">
        <f t="shared" si="17"/>
        <v>491.45746110882493</v>
      </c>
      <c r="Z37" s="101">
        <f t="shared" si="6"/>
        <v>2.0584297779128335E-4</v>
      </c>
      <c r="AA37" s="2">
        <f t="shared" si="7"/>
        <v>491.83667632049668</v>
      </c>
      <c r="AB37" s="2">
        <f t="shared" si="8"/>
        <v>-482.26899434918982</v>
      </c>
      <c r="AC37" s="2">
        <f t="shared" si="9"/>
        <v>1680.7072766085769</v>
      </c>
      <c r="AD37" s="2">
        <f t="shared" si="10"/>
        <v>-3.4325952330517322</v>
      </c>
      <c r="AE37" s="2">
        <f t="shared" si="11"/>
        <v>143.3753296620782</v>
      </c>
      <c r="AF37" s="2">
        <f t="shared" si="12"/>
        <v>-1.4911182699422166E-3</v>
      </c>
      <c r="AG37">
        <f t="shared" si="13"/>
        <v>238889332.88030332</v>
      </c>
      <c r="AH37"/>
    </row>
    <row r="38" spans="1:34" ht="15">
      <c r="A38">
        <f t="shared" si="18"/>
        <v>13</v>
      </c>
      <c r="C38" s="101">
        <v>1.4715648E-5</v>
      </c>
      <c r="D38" s="101">
        <v>2.9528088E-5</v>
      </c>
      <c r="E38" s="101">
        <v>7.7390848999999998E-5</v>
      </c>
      <c r="F38" s="101">
        <v>2.8915098000000002E-6</v>
      </c>
      <c r="G38" s="101">
        <v>-1.5957321E-6</v>
      </c>
      <c r="H38" s="101">
        <v>1.9442839999999999E-5</v>
      </c>
      <c r="I38" s="101">
        <v>0.22853072999999999</v>
      </c>
      <c r="J38" s="101">
        <v>3.3273508000000002E-4</v>
      </c>
      <c r="K38" s="101">
        <v>6.5461301999999999E-2</v>
      </c>
      <c r="L38" s="101">
        <v>1.5541314999999999E-4</v>
      </c>
      <c r="M38" s="101">
        <v>32.163497</v>
      </c>
      <c r="N38" s="101">
        <v>6.5547972999999995E-2</v>
      </c>
      <c r="O38" s="101">
        <v>0.2255219</v>
      </c>
      <c r="P38" s="101">
        <v>32.193430999999997</v>
      </c>
      <c r="Q38" s="106">
        <f t="shared" si="1"/>
        <v>4.8274801775554774</v>
      </c>
      <c r="R38" s="113">
        <f t="shared" si="2"/>
        <v>3.2381152605000002E-4</v>
      </c>
      <c r="S38" s="113">
        <f t="shared" si="3"/>
        <v>0.22853008211115</v>
      </c>
      <c r="T38" s="113">
        <f t="shared" si="4"/>
        <v>6.5439180131999994E-2</v>
      </c>
      <c r="U38" s="113">
        <f t="shared" si="5"/>
        <v>6.552585113199999E-2</v>
      </c>
      <c r="V38" s="113">
        <f t="shared" si="14"/>
        <v>0.22542974510700001</v>
      </c>
      <c r="W38" s="101">
        <f t="shared" si="15"/>
        <v>3.4922516090539766</v>
      </c>
      <c r="X38" s="101">
        <f t="shared" si="16"/>
        <v>3.4403176946588316</v>
      </c>
      <c r="Y38" s="101">
        <f t="shared" si="17"/>
        <v>491.30885663960674</v>
      </c>
      <c r="Z38" s="101">
        <f t="shared" si="6"/>
        <v>1.9642613076565916E-4</v>
      </c>
      <c r="AA38" s="2">
        <f t="shared" si="7"/>
        <v>491.67405701297781</v>
      </c>
      <c r="AB38" s="2">
        <f t="shared" si="8"/>
        <v>-482.12760568707893</v>
      </c>
      <c r="AC38" s="2">
        <f t="shared" si="9"/>
        <v>1679.5034529177669</v>
      </c>
      <c r="AD38" s="2">
        <f t="shared" si="10"/>
        <v>-3.431275565668892</v>
      </c>
      <c r="AE38" s="2">
        <f t="shared" si="11"/>
        <v>143.37262152321</v>
      </c>
      <c r="AF38" s="2">
        <f t="shared" si="12"/>
        <v>-1.4907609187984133E-3</v>
      </c>
      <c r="AG38">
        <f t="shared" si="13"/>
        <v>238701244.91135499</v>
      </c>
      <c r="AH38"/>
    </row>
    <row r="39" spans="1:34" ht="15">
      <c r="A39">
        <f t="shared" si="18"/>
        <v>14</v>
      </c>
      <c r="C39" s="101">
        <v>1.1303196E-6</v>
      </c>
      <c r="D39" s="101">
        <v>2.1715982000000001E-5</v>
      </c>
      <c r="E39" s="101">
        <v>6.3059809E-5</v>
      </c>
      <c r="F39" s="101">
        <v>1.4060838999999999E-5</v>
      </c>
      <c r="G39" s="101">
        <v>6.2088804E-6</v>
      </c>
      <c r="H39" s="101">
        <v>2.3023755000000002E-5</v>
      </c>
      <c r="I39" s="101">
        <v>0.22974890000000001</v>
      </c>
      <c r="J39" s="101">
        <v>3.4623461000000001E-4</v>
      </c>
      <c r="K39" s="101">
        <v>6.5812730999999999E-2</v>
      </c>
      <c r="L39" s="101">
        <v>1.5440920000000001E-4</v>
      </c>
      <c r="M39" s="101">
        <v>32.334805000000003</v>
      </c>
      <c r="N39" s="101">
        <v>6.5912749000000007E-2</v>
      </c>
      <c r="O39" s="101">
        <v>0.22686506000000001</v>
      </c>
      <c r="P39" s="101">
        <v>32.381298999999999</v>
      </c>
      <c r="Q39" s="106">
        <f t="shared" si="1"/>
        <v>4.7684683681158067</v>
      </c>
      <c r="R39" s="113">
        <f t="shared" si="2"/>
        <v>3.3161829230000001E-4</v>
      </c>
      <c r="S39" s="113">
        <f t="shared" si="3"/>
        <v>0.22973876514030001</v>
      </c>
      <c r="T39" s="113">
        <f t="shared" si="4"/>
        <v>6.5801307849200005E-2</v>
      </c>
      <c r="U39" s="113">
        <f t="shared" si="5"/>
        <v>6.5901325849200013E-2</v>
      </c>
      <c r="V39" s="113">
        <f t="shared" si="14"/>
        <v>0.22679114220000002</v>
      </c>
      <c r="W39" s="101">
        <f t="shared" si="15"/>
        <v>3.4914011993014378</v>
      </c>
      <c r="X39" s="101">
        <f t="shared" si="16"/>
        <v>3.4413744985792736</v>
      </c>
      <c r="Y39" s="101">
        <f t="shared" si="17"/>
        <v>491.36035706014678</v>
      </c>
      <c r="Z39" s="101">
        <f t="shared" si="6"/>
        <v>1.2624193073077348E-5</v>
      </c>
      <c r="AA39" s="2">
        <f t="shared" si="7"/>
        <v>491.45473727238539</v>
      </c>
      <c r="AB39" s="2">
        <f t="shared" si="8"/>
        <v>-482.26694400373208</v>
      </c>
      <c r="AC39" s="2">
        <f t="shared" si="9"/>
        <v>1678.9586435682008</v>
      </c>
      <c r="AD39" s="2">
        <f t="shared" si="10"/>
        <v>-3.4317034320686854</v>
      </c>
      <c r="AE39" s="2">
        <f t="shared" si="11"/>
        <v>143.37487323088291</v>
      </c>
      <c r="AF39" s="2">
        <f t="shared" si="12"/>
        <v>-1.4903402450361467E-3</v>
      </c>
      <c r="AG39">
        <f t="shared" si="13"/>
        <v>238672728.03444386</v>
      </c>
      <c r="AH39"/>
    </row>
    <row r="40" spans="1:34" ht="15">
      <c r="A40">
        <f t="shared" si="18"/>
        <v>15</v>
      </c>
      <c r="C40" s="101">
        <v>1.3210340000000001E-5</v>
      </c>
      <c r="D40" s="101">
        <v>3.8180670999999999E-5</v>
      </c>
      <c r="E40" s="101">
        <v>6.2924114000000001E-5</v>
      </c>
      <c r="F40" s="101">
        <v>1.0184676E-5</v>
      </c>
      <c r="G40" s="101">
        <v>3.6397531000000003E-5</v>
      </c>
      <c r="H40" s="101">
        <v>4.1923659000000001E-5</v>
      </c>
      <c r="I40" s="101">
        <v>0.23127586999999999</v>
      </c>
      <c r="J40" s="101">
        <v>3.5173825999999998E-4</v>
      </c>
      <c r="K40" s="101">
        <v>6.6244170000000005E-2</v>
      </c>
      <c r="L40" s="101">
        <v>1.5084777E-4</v>
      </c>
      <c r="M40" s="101">
        <v>32.549267999999998</v>
      </c>
      <c r="N40" s="101">
        <v>6.6356461000000005E-2</v>
      </c>
      <c r="O40" s="101">
        <v>0.2284437</v>
      </c>
      <c r="P40" s="101">
        <v>32.608687000000003</v>
      </c>
      <c r="Q40" s="106">
        <f t="shared" si="1"/>
        <v>4.6259995074318683</v>
      </c>
      <c r="R40" s="113">
        <f t="shared" si="2"/>
        <v>3.1257766499999997E-4</v>
      </c>
      <c r="S40" s="113">
        <f t="shared" si="3"/>
        <v>0.2312525788965</v>
      </c>
      <c r="T40" s="113">
        <f t="shared" si="4"/>
        <v>6.621847449450001E-2</v>
      </c>
      <c r="U40" s="113">
        <f t="shared" si="5"/>
        <v>6.633076549450001E-2</v>
      </c>
      <c r="V40" s="113">
        <f t="shared" si="14"/>
        <v>0.22836168555049999</v>
      </c>
      <c r="W40" s="101">
        <f t="shared" si="15"/>
        <v>3.4922667829762135</v>
      </c>
      <c r="X40" s="101">
        <f t="shared" si="16"/>
        <v>3.4427717492486227</v>
      </c>
      <c r="Y40" s="101">
        <f t="shared" si="17"/>
        <v>491.60727690838786</v>
      </c>
      <c r="Z40" s="101">
        <f t="shared" si="6"/>
        <v>-4.0583858003038952E-5</v>
      </c>
      <c r="AA40" s="2">
        <f t="shared" si="7"/>
        <v>491.62324280423053</v>
      </c>
      <c r="AB40" s="2">
        <f t="shared" si="8"/>
        <v>-482.53515778965948</v>
      </c>
      <c r="AC40" s="2">
        <f t="shared" si="9"/>
        <v>1680.1288921648827</v>
      </c>
      <c r="AD40" s="2">
        <f t="shared" si="10"/>
        <v>-3.4329195572741549</v>
      </c>
      <c r="AE40" s="2">
        <f t="shared" si="11"/>
        <v>143.42023987199084</v>
      </c>
      <c r="AF40" s="2">
        <f t="shared" si="12"/>
        <v>-1.4911531275265269E-3</v>
      </c>
      <c r="AG40">
        <f t="shared" si="13"/>
        <v>238816152.70232597</v>
      </c>
      <c r="AH40"/>
    </row>
    <row r="41" spans="1:34" ht="15">
      <c r="A41">
        <f t="shared" si="18"/>
        <v>16</v>
      </c>
      <c r="C41" s="101">
        <v>-7.1044455000000004E-6</v>
      </c>
      <c r="D41" s="101">
        <v>2.7857225E-5</v>
      </c>
      <c r="E41" s="101">
        <v>6.7093428999999996E-5</v>
      </c>
      <c r="F41" s="101">
        <v>2.3161420999999999E-5</v>
      </c>
      <c r="G41" s="101">
        <v>1.0237876999999999E-5</v>
      </c>
      <c r="H41" s="101">
        <v>2.0102745999999999E-5</v>
      </c>
      <c r="I41" s="101">
        <v>0.23564457</v>
      </c>
      <c r="J41" s="101">
        <v>3.5532617000000002E-4</v>
      </c>
      <c r="K41" s="101">
        <v>6.7508158999999998E-2</v>
      </c>
      <c r="L41" s="101">
        <v>1.2023897E-4</v>
      </c>
      <c r="M41" s="101">
        <v>33.169113000000003</v>
      </c>
      <c r="N41" s="101">
        <v>6.7706822999999999E-2</v>
      </c>
      <c r="O41" s="101">
        <v>0.23292911999999999</v>
      </c>
      <c r="P41" s="101">
        <v>33.255423999999998</v>
      </c>
      <c r="Q41" s="106">
        <f t="shared" si="1"/>
        <v>3.6156198158832678</v>
      </c>
      <c r="R41" s="113">
        <f t="shared" si="2"/>
        <v>3.4015585850000001E-4</v>
      </c>
      <c r="S41" s="113">
        <f t="shared" si="3"/>
        <v>0.235627870351</v>
      </c>
      <c r="T41" s="113">
        <f t="shared" si="4"/>
        <v>6.7497782610249996E-2</v>
      </c>
      <c r="U41" s="113">
        <f t="shared" si="5"/>
        <v>6.7696446610249997E-2</v>
      </c>
      <c r="V41" s="113">
        <f t="shared" si="14"/>
        <v>0.23284809795849998</v>
      </c>
      <c r="W41" s="101">
        <f t="shared" si="15"/>
        <v>3.4908979412194543</v>
      </c>
      <c r="X41" s="101">
        <f t="shared" si="16"/>
        <v>3.4395911398286625</v>
      </c>
      <c r="Y41" s="101">
        <f t="shared" si="17"/>
        <v>491.24327295141597</v>
      </c>
      <c r="Z41" s="101">
        <f t="shared" si="6"/>
        <v>1.3797278963193995E-4</v>
      </c>
      <c r="AA41" s="2">
        <f t="shared" si="7"/>
        <v>491.5223036839858</v>
      </c>
      <c r="AB41" s="2">
        <f t="shared" si="8"/>
        <v>-482.0914113671227</v>
      </c>
      <c r="AC41" s="2">
        <f t="shared" si="9"/>
        <v>1678.5279976708532</v>
      </c>
      <c r="AD41" s="2">
        <f t="shared" si="10"/>
        <v>-3.4303483238670696</v>
      </c>
      <c r="AE41" s="2">
        <f t="shared" si="11"/>
        <v>143.38588826379925</v>
      </c>
      <c r="AF41" s="2">
        <f t="shared" si="12"/>
        <v>-1.4905915770343173E-3</v>
      </c>
      <c r="AG41">
        <f t="shared" si="13"/>
        <v>238544250.37020105</v>
      </c>
      <c r="AH41"/>
    </row>
    <row r="42" spans="1:34" ht="15">
      <c r="A42">
        <f t="shared" si="18"/>
        <v>17</v>
      </c>
      <c r="C42" s="101">
        <v>7.0553027000000001E-6</v>
      </c>
      <c r="D42" s="101">
        <v>3.5105257E-5</v>
      </c>
      <c r="E42" s="101">
        <v>7.0206732999999997E-5</v>
      </c>
      <c r="F42" s="101">
        <v>-8.2005314000000001E-6</v>
      </c>
      <c r="G42" s="101">
        <v>2.7654010000000001E-5</v>
      </c>
      <c r="H42" s="101">
        <v>4.6893737000000003E-5</v>
      </c>
      <c r="I42" s="101">
        <v>0.23824722000000001</v>
      </c>
      <c r="J42" s="101">
        <v>3.6161925000000001E-4</v>
      </c>
      <c r="K42" s="101">
        <v>6.8263029000000003E-2</v>
      </c>
      <c r="L42" s="101">
        <v>1.5482127000000001E-4</v>
      </c>
      <c r="M42" s="101">
        <v>33.541412999999999</v>
      </c>
      <c r="N42" s="101">
        <v>6.8399513999999995E-2</v>
      </c>
      <c r="O42" s="101">
        <v>0.23549031000000001</v>
      </c>
      <c r="P42" s="101">
        <v>33.617249999999999</v>
      </c>
      <c r="Q42" s="106">
        <f t="shared" si="1"/>
        <v>4.6054115074849973</v>
      </c>
      <c r="R42" s="113">
        <f t="shared" si="2"/>
        <v>3.2434537649999999E-4</v>
      </c>
      <c r="S42" s="113">
        <f t="shared" si="3"/>
        <v>0.23823749326070001</v>
      </c>
      <c r="T42" s="113">
        <f t="shared" si="4"/>
        <v>6.8241948720150006E-2</v>
      </c>
      <c r="U42" s="113">
        <f t="shared" si="5"/>
        <v>6.8378433720149998E-2</v>
      </c>
      <c r="V42" s="113">
        <f t="shared" si="14"/>
        <v>0.23540255063850002</v>
      </c>
      <c r="W42" s="101">
        <f t="shared" si="15"/>
        <v>3.4910710747384464</v>
      </c>
      <c r="X42" s="101">
        <f t="shared" si="16"/>
        <v>3.4426432111902963</v>
      </c>
      <c r="Y42" s="101">
        <f t="shared" si="17"/>
        <v>491.63527403368334</v>
      </c>
      <c r="Z42" s="101">
        <f t="shared" si="6"/>
        <v>-1.4205121287567783E-4</v>
      </c>
      <c r="AA42" s="2">
        <f t="shared" si="7"/>
        <v>491.50149749846202</v>
      </c>
      <c r="AB42" s="2">
        <f t="shared" si="8"/>
        <v>-482.61166741290026</v>
      </c>
      <c r="AC42" s="2">
        <f t="shared" si="9"/>
        <v>1679.4753697853196</v>
      </c>
      <c r="AD42" s="2">
        <f t="shared" si="10"/>
        <v>-3.4324430820149319</v>
      </c>
      <c r="AE42" s="2">
        <f t="shared" si="11"/>
        <v>143.45110946599223</v>
      </c>
      <c r="AF42" s="2">
        <f t="shared" si="12"/>
        <v>-1.4912274311184995E-3</v>
      </c>
      <c r="AG42">
        <f t="shared" si="13"/>
        <v>238701146.58363125</v>
      </c>
      <c r="AH42"/>
    </row>
    <row r="43" spans="1:34" ht="15">
      <c r="A43">
        <f t="shared" si="18"/>
        <v>18</v>
      </c>
      <c r="C43" s="101">
        <v>5.2210111999999996E-6</v>
      </c>
      <c r="D43" s="101">
        <v>4.9752008999999999E-5</v>
      </c>
      <c r="E43" s="101">
        <v>6.3446637000000005E-5</v>
      </c>
      <c r="F43" s="101">
        <v>3.7520891999999998E-6</v>
      </c>
      <c r="G43" s="101">
        <v>2.9181888E-5</v>
      </c>
      <c r="H43" s="101">
        <v>1.5345339E-5</v>
      </c>
      <c r="I43" s="101">
        <v>0.24094472</v>
      </c>
      <c r="J43" s="101">
        <v>3.6758867E-4</v>
      </c>
      <c r="K43" s="101">
        <v>6.9005489000000003E-2</v>
      </c>
      <c r="L43" s="101">
        <v>1.591187E-4</v>
      </c>
      <c r="M43" s="101">
        <v>33.915740999999997</v>
      </c>
      <c r="N43" s="101">
        <v>6.9219314000000004E-2</v>
      </c>
      <c r="O43" s="101">
        <v>0.23814783</v>
      </c>
      <c r="P43" s="101">
        <v>34.002217999999999</v>
      </c>
      <c r="Q43" s="106">
        <f t="shared" si="1"/>
        <v>4.6796564859386534</v>
      </c>
      <c r="R43" s="113">
        <f t="shared" si="2"/>
        <v>3.453250565E-4</v>
      </c>
      <c r="S43" s="113">
        <f t="shared" si="3"/>
        <v>0.2409282530114</v>
      </c>
      <c r="T43" s="113">
        <f t="shared" si="4"/>
        <v>6.8978002489900006E-2</v>
      </c>
      <c r="U43" s="113">
        <f t="shared" si="5"/>
        <v>6.9191827489900007E-2</v>
      </c>
      <c r="V43" s="113">
        <f t="shared" si="14"/>
        <v>0.23805950735850001</v>
      </c>
      <c r="W43" s="101">
        <f t="shared" si="15"/>
        <v>3.4928273408131458</v>
      </c>
      <c r="X43" s="101">
        <f t="shared" si="16"/>
        <v>3.4405726224422932</v>
      </c>
      <c r="Y43" s="101">
        <f t="shared" si="17"/>
        <v>491.41956837262802</v>
      </c>
      <c r="Z43" s="101">
        <f t="shared" si="6"/>
        <v>2.2653866134815647E-4</v>
      </c>
      <c r="AA43" s="2">
        <f t="shared" si="7"/>
        <v>491.82922219955236</v>
      </c>
      <c r="AB43" s="2">
        <f t="shared" si="8"/>
        <v>-482.2217686497932</v>
      </c>
      <c r="AC43" s="2">
        <f t="shared" si="9"/>
        <v>1680.2099727352934</v>
      </c>
      <c r="AD43" s="2">
        <f t="shared" si="10"/>
        <v>-3.4316340950471802</v>
      </c>
      <c r="AE43" s="2">
        <f t="shared" si="11"/>
        <v>143.40076017422729</v>
      </c>
      <c r="AF43" s="2">
        <f t="shared" si="12"/>
        <v>-1.4913676559382156E-3</v>
      </c>
      <c r="AG43">
        <f t="shared" si="13"/>
        <v>238765400.7459237</v>
      </c>
      <c r="AH43"/>
    </row>
    <row r="44" spans="1:34" ht="15">
      <c r="A44">
        <f t="shared" si="18"/>
        <v>19</v>
      </c>
      <c r="C44" s="101">
        <v>-1.2323890999999999E-5</v>
      </c>
      <c r="D44" s="101">
        <v>3.4149387E-5</v>
      </c>
      <c r="E44" s="101">
        <v>7.8192312999999996E-5</v>
      </c>
      <c r="F44" s="101">
        <v>1.2640219E-5</v>
      </c>
      <c r="G44" s="101">
        <v>2.4778897999999999E-5</v>
      </c>
      <c r="H44" s="101">
        <v>1.8619250999999999E-5</v>
      </c>
      <c r="I44" s="101">
        <v>0.24465967999999999</v>
      </c>
      <c r="J44" s="101">
        <v>3.5784791E-4</v>
      </c>
      <c r="K44" s="101">
        <v>7.0076883000000006E-2</v>
      </c>
      <c r="L44" s="101">
        <v>1.4290921000000001E-4</v>
      </c>
      <c r="M44" s="101">
        <v>34.444042000000003</v>
      </c>
      <c r="N44" s="101">
        <v>7.0219927000000001E-2</v>
      </c>
      <c r="O44" s="101">
        <v>0.24167203000000001</v>
      </c>
      <c r="P44" s="101">
        <v>34.502006999999999</v>
      </c>
      <c r="Q44" s="106">
        <f t="shared" si="1"/>
        <v>4.1420549824826143</v>
      </c>
      <c r="R44" s="113">
        <f t="shared" si="2"/>
        <v>3.361488355E-4</v>
      </c>
      <c r="S44" s="113">
        <f t="shared" si="3"/>
        <v>0.24464097044149999</v>
      </c>
      <c r="T44" s="113">
        <f t="shared" si="4"/>
        <v>7.0065970252000009E-2</v>
      </c>
      <c r="U44" s="113">
        <f t="shared" si="5"/>
        <v>7.0209014252000004E-2</v>
      </c>
      <c r="V44" s="113">
        <f t="shared" si="14"/>
        <v>0.2415767629935</v>
      </c>
      <c r="W44" s="101">
        <f t="shared" si="15"/>
        <v>3.4915804285821159</v>
      </c>
      <c r="X44" s="101">
        <f t="shared" si="16"/>
        <v>3.4408226004486075</v>
      </c>
      <c r="Y44" s="101">
        <f t="shared" si="17"/>
        <v>491.41847905971929</v>
      </c>
      <c r="Z44" s="101">
        <f t="shared" si="6"/>
        <v>8.3341300554104161E-5</v>
      </c>
      <c r="AA44" s="2">
        <f t="shared" si="7"/>
        <v>491.61711501981671</v>
      </c>
      <c r="AB44" s="2">
        <f t="shared" si="8"/>
        <v>-482.28985463609274</v>
      </c>
      <c r="AC44" s="2">
        <f t="shared" si="9"/>
        <v>1679.3629161015099</v>
      </c>
      <c r="AD44" s="2">
        <f t="shared" si="10"/>
        <v>-3.4313938288308279</v>
      </c>
      <c r="AE44" s="2">
        <f t="shared" si="11"/>
        <v>143.41045656841376</v>
      </c>
      <c r="AF44" s="2">
        <f t="shared" si="12"/>
        <v>-1.4910390010902806E-3</v>
      </c>
      <c r="AG44">
        <f t="shared" si="13"/>
        <v>238663355.48270029</v>
      </c>
      <c r="AH44"/>
    </row>
    <row r="45" spans="1:34" ht="15">
      <c r="A45">
        <f t="shared" si="18"/>
        <v>20</v>
      </c>
      <c r="C45" s="101">
        <v>1.1193656000000001E-5</v>
      </c>
      <c r="D45" s="101">
        <v>3.4826775000000002E-5</v>
      </c>
      <c r="E45" s="101">
        <v>6.4681722000000001E-5</v>
      </c>
      <c r="F45" s="101">
        <v>3.1853989999999998E-6</v>
      </c>
      <c r="G45" s="101">
        <v>-2.2708466999999999E-6</v>
      </c>
      <c r="H45" s="101">
        <v>1.5849579000000001E-5</v>
      </c>
      <c r="I45" s="101">
        <v>0.24664716</v>
      </c>
      <c r="J45" s="101">
        <v>3.7056962999999999E-4</v>
      </c>
      <c r="K45" s="101">
        <v>7.0666172999999999E-2</v>
      </c>
      <c r="L45" s="101">
        <v>1.6288838999999999E-4</v>
      </c>
      <c r="M45" s="101">
        <v>34.726517000000001</v>
      </c>
      <c r="N45" s="101">
        <v>7.0854774999999995E-2</v>
      </c>
      <c r="O45" s="101">
        <v>0.24377936</v>
      </c>
      <c r="P45" s="101">
        <v>34.804800999999998</v>
      </c>
      <c r="Q45" s="106">
        <f t="shared" si="1"/>
        <v>4.6800552027290721</v>
      </c>
      <c r="R45" s="113">
        <f t="shared" si="2"/>
        <v>3.6378026384999997E-4</v>
      </c>
      <c r="S45" s="113">
        <f t="shared" si="3"/>
        <v>0.24664670272385</v>
      </c>
      <c r="T45" s="113">
        <f t="shared" si="4"/>
        <v>7.0643162784500002E-2</v>
      </c>
      <c r="U45" s="113">
        <f t="shared" si="5"/>
        <v>7.0831764784499998E-2</v>
      </c>
      <c r="V45" s="113">
        <f t="shared" si="14"/>
        <v>0.2436972648905</v>
      </c>
      <c r="W45" s="101">
        <f t="shared" si="15"/>
        <v>3.4914447910020159</v>
      </c>
      <c r="X45" s="101">
        <f t="shared" si="16"/>
        <v>3.4405081622903158</v>
      </c>
      <c r="Y45" s="101">
        <f t="shared" si="17"/>
        <v>491.3727775368979</v>
      </c>
      <c r="Z45" s="101">
        <f t="shared" si="6"/>
        <v>1.0097042261074907E-4</v>
      </c>
      <c r="AA45" s="2">
        <f t="shared" si="7"/>
        <v>491.59737121584538</v>
      </c>
      <c r="AB45" s="2">
        <f t="shared" si="8"/>
        <v>-482.2364587640933</v>
      </c>
      <c r="AC45" s="2">
        <f t="shared" si="9"/>
        <v>1679.1712828327388</v>
      </c>
      <c r="AD45" s="2">
        <f t="shared" si="10"/>
        <v>-3.4311394879269903</v>
      </c>
      <c r="AE45" s="2">
        <f t="shared" si="11"/>
        <v>143.40327853697039</v>
      </c>
      <c r="AF45" s="2">
        <f t="shared" si="12"/>
        <v>-1.4909243885142078E-3</v>
      </c>
      <c r="AG45">
        <f t="shared" si="13"/>
        <v>238636462.24663332</v>
      </c>
      <c r="AH45"/>
    </row>
    <row r="46" spans="1:34" ht="15">
      <c r="A46">
        <f t="shared" si="18"/>
        <v>21</v>
      </c>
      <c r="C46" s="101">
        <v>1.8434380999999999E-5</v>
      </c>
      <c r="D46" s="101">
        <v>3.1089607E-5</v>
      </c>
      <c r="E46" s="101">
        <v>6.4081227999999996E-5</v>
      </c>
      <c r="F46" s="101">
        <v>1.0886889000000001E-5</v>
      </c>
      <c r="G46" s="101">
        <v>1.0047499000000001E-5</v>
      </c>
      <c r="H46" s="101">
        <v>3.2303554999999997E-5</v>
      </c>
      <c r="I46" s="101">
        <v>0.25219288000000001</v>
      </c>
      <c r="J46" s="101">
        <v>3.9080445000000001E-4</v>
      </c>
      <c r="K46" s="101">
        <v>7.2265733999999998E-2</v>
      </c>
      <c r="L46" s="101">
        <v>1.1651492E-4</v>
      </c>
      <c r="M46" s="101">
        <v>35.507097000000002</v>
      </c>
      <c r="N46" s="101">
        <v>7.2582198000000001E-2</v>
      </c>
      <c r="O46" s="101">
        <v>0.24985041</v>
      </c>
      <c r="P46" s="101">
        <v>35.668669000000001</v>
      </c>
      <c r="Q46" s="106">
        <f t="shared" si="1"/>
        <v>3.2665900709667635</v>
      </c>
      <c r="R46" s="113">
        <f t="shared" si="2"/>
        <v>3.6962892299999999E-4</v>
      </c>
      <c r="S46" s="113">
        <f t="shared" si="3"/>
        <v>0.25218241280600001</v>
      </c>
      <c r="T46" s="113">
        <f t="shared" si="4"/>
        <v>7.2240972005999993E-2</v>
      </c>
      <c r="U46" s="113">
        <f t="shared" si="5"/>
        <v>7.2557436005999995E-2</v>
      </c>
      <c r="V46" s="113">
        <f t="shared" si="14"/>
        <v>0.2497707839685</v>
      </c>
      <c r="W46" s="101">
        <f t="shared" si="15"/>
        <v>3.4908502170354927</v>
      </c>
      <c r="X46" s="101">
        <f t="shared" si="16"/>
        <v>3.4423871310425813</v>
      </c>
      <c r="Y46" s="101">
        <f t="shared" si="17"/>
        <v>491.59219183338354</v>
      </c>
      <c r="Z46" s="101">
        <f t="shared" si="6"/>
        <v>-1.3823973673370406E-4</v>
      </c>
      <c r="AA46" s="2">
        <f t="shared" si="7"/>
        <v>491.46404668192434</v>
      </c>
      <c r="AB46" s="2">
        <f t="shared" si="8"/>
        <v>-482.56750647360468</v>
      </c>
      <c r="AC46" s="2">
        <f t="shared" si="9"/>
        <v>1679.2282838696738</v>
      </c>
      <c r="AD46" s="2">
        <f t="shared" si="10"/>
        <v>-3.4321998822323767</v>
      </c>
      <c r="AE46" s="2">
        <f t="shared" si="11"/>
        <v>143.44449597916562</v>
      </c>
      <c r="AF46" s="2">
        <f t="shared" si="12"/>
        <v>-1.491082805375045E-3</v>
      </c>
      <c r="AG46">
        <f t="shared" si="13"/>
        <v>238669189.8906236</v>
      </c>
      <c r="AH46"/>
    </row>
    <row r="47" spans="1:34" ht="15">
      <c r="A47">
        <f t="shared" si="18"/>
        <v>22</v>
      </c>
      <c r="C47" s="101">
        <v>-5.0701872000000003E-6</v>
      </c>
      <c r="D47" s="101">
        <v>2.5288443000000001E-5</v>
      </c>
      <c r="E47" s="101">
        <v>7.7620207000000005E-5</v>
      </c>
      <c r="F47" s="101">
        <v>-1.237661E-6</v>
      </c>
      <c r="G47" s="101">
        <v>1.1113761E-5</v>
      </c>
      <c r="H47" s="101">
        <v>2.3858780000000001E-5</v>
      </c>
      <c r="I47" s="101">
        <v>0.25451751</v>
      </c>
      <c r="J47" s="101">
        <v>3.7179451000000002E-4</v>
      </c>
      <c r="K47" s="101">
        <v>7.2925662000000002E-2</v>
      </c>
      <c r="L47" s="101">
        <v>1.3705097E-4</v>
      </c>
      <c r="M47" s="101">
        <v>35.837162999999997</v>
      </c>
      <c r="N47" s="101">
        <v>7.3035824999999999E-2</v>
      </c>
      <c r="O47" s="101">
        <v>0.2514287</v>
      </c>
      <c r="P47" s="101">
        <v>35.89866</v>
      </c>
      <c r="Q47" s="106">
        <f t="shared" si="1"/>
        <v>3.8177182658071356</v>
      </c>
      <c r="R47" s="113">
        <f t="shared" si="2"/>
        <v>3.5430823950000003E-4</v>
      </c>
      <c r="S47" s="113">
        <f t="shared" si="3"/>
        <v>0.25451257194999999</v>
      </c>
      <c r="T47" s="113">
        <f t="shared" si="4"/>
        <v>7.2915552872099998E-2</v>
      </c>
      <c r="U47" s="113">
        <f t="shared" si="5"/>
        <v>7.3025715872099994E-2</v>
      </c>
      <c r="V47" s="113">
        <f t="shared" si="14"/>
        <v>0.25133843557149999</v>
      </c>
      <c r="W47" s="101">
        <f t="shared" si="15"/>
        <v>3.490511446802528</v>
      </c>
      <c r="X47" s="101">
        <f t="shared" si="16"/>
        <v>3.4417798246812623</v>
      </c>
      <c r="Y47" s="101">
        <f t="shared" si="17"/>
        <v>491.58929250175748</v>
      </c>
      <c r="Z47" s="101">
        <f t="shared" si="6"/>
        <v>-1.115633543380003E-4</v>
      </c>
      <c r="AA47" s="2">
        <f t="shared" si="7"/>
        <v>491.50050396981874</v>
      </c>
      <c r="AB47" s="2">
        <f t="shared" si="8"/>
        <v>-482.55175557442669</v>
      </c>
      <c r="AC47" s="2">
        <f t="shared" si="9"/>
        <v>1679.1000940034498</v>
      </c>
      <c r="AD47" s="2">
        <f t="shared" si="10"/>
        <v>-3.431683940595871</v>
      </c>
      <c r="AE47" s="2">
        <f t="shared" si="11"/>
        <v>143.46495707154827</v>
      </c>
      <c r="AF47" s="2">
        <f t="shared" si="12"/>
        <v>-1.4913693669970484E-3</v>
      </c>
      <c r="AG47">
        <f t="shared" si="13"/>
        <v>238610126.65528998</v>
      </c>
      <c r="AH47"/>
    </row>
    <row r="48" spans="1:34" ht="15">
      <c r="A48">
        <f t="shared" si="18"/>
        <v>23</v>
      </c>
      <c r="C48" s="101">
        <v>6.0140253000000002E-6</v>
      </c>
      <c r="D48" s="101">
        <v>2.393882E-5</v>
      </c>
      <c r="E48" s="101">
        <v>7.5234322000000006E-5</v>
      </c>
      <c r="F48" s="101">
        <v>-6.7340637000000001E-7</v>
      </c>
      <c r="G48" s="101">
        <v>1.0136976000000001E-5</v>
      </c>
      <c r="H48" s="101">
        <v>3.3959401999999998E-5</v>
      </c>
      <c r="I48" s="101">
        <v>0.25651682999999997</v>
      </c>
      <c r="J48" s="101">
        <v>3.6814767999999998E-4</v>
      </c>
      <c r="K48" s="101">
        <v>7.3511334999999997E-2</v>
      </c>
      <c r="L48" s="101">
        <v>1.4003274999999999E-4</v>
      </c>
      <c r="M48" s="101">
        <v>36.128349999999998</v>
      </c>
      <c r="N48" s="101">
        <v>7.3758380999999998E-2</v>
      </c>
      <c r="O48" s="101">
        <v>0.25391451999999998</v>
      </c>
      <c r="P48" s="101">
        <v>36.250720000000001</v>
      </c>
      <c r="Q48" s="106">
        <f t="shared" si="1"/>
        <v>3.8628956886925279</v>
      </c>
      <c r="R48" s="113">
        <f t="shared" si="2"/>
        <v>3.4609949099999998E-4</v>
      </c>
      <c r="S48" s="113">
        <f t="shared" si="3"/>
        <v>0.25651209821518495</v>
      </c>
      <c r="T48" s="113">
        <f t="shared" si="4"/>
        <v>7.3496358577349999E-2</v>
      </c>
      <c r="U48" s="113">
        <f t="shared" si="5"/>
        <v>7.374340457735E-2</v>
      </c>
      <c r="V48" s="113">
        <f t="shared" si="14"/>
        <v>0.25382731626799998</v>
      </c>
      <c r="W48" s="101">
        <f t="shared" si="15"/>
        <v>3.4901334321920605</v>
      </c>
      <c r="X48" s="101">
        <f t="shared" si="16"/>
        <v>3.4420341415313778</v>
      </c>
      <c r="Y48" s="101">
        <f t="shared" si="17"/>
        <v>491.57914809827304</v>
      </c>
      <c r="Z48" s="101">
        <f t="shared" si="6"/>
        <v>-1.7228782070910644E-4</v>
      </c>
      <c r="AA48" s="2">
        <f t="shared" si="7"/>
        <v>491.40074491142616</v>
      </c>
      <c r="AB48" s="2">
        <f t="shared" si="8"/>
        <v>-482.5711326573811</v>
      </c>
      <c r="AC48" s="2">
        <f t="shared" si="9"/>
        <v>1678.7801517440882</v>
      </c>
      <c r="AD48" s="2">
        <f t="shared" si="10"/>
        <v>-3.4317300030203479</v>
      </c>
      <c r="AE48" s="2">
        <f t="shared" si="11"/>
        <v>143.45908504437031</v>
      </c>
      <c r="AF48" s="2">
        <f t="shared" si="12"/>
        <v>-1.4911061802778611E-3</v>
      </c>
      <c r="AG48">
        <f t="shared" si="13"/>
        <v>238587499.90253404</v>
      </c>
      <c r="AH48"/>
    </row>
    <row r="49" spans="1:34" ht="15">
      <c r="A49">
        <f t="shared" si="18"/>
        <v>24</v>
      </c>
      <c r="C49" s="101">
        <v>6.4563171999999998E-7</v>
      </c>
      <c r="D49" s="101">
        <v>2.2805435999999999E-5</v>
      </c>
      <c r="E49" s="101">
        <v>7.4037619000000003E-5</v>
      </c>
      <c r="F49" s="101">
        <v>4.7463517999999996E-6</v>
      </c>
      <c r="G49" s="101">
        <v>3.4411738E-6</v>
      </c>
      <c r="H49" s="101">
        <v>2.7802677000000001E-5</v>
      </c>
      <c r="I49" s="101">
        <v>0.26025981999999998</v>
      </c>
      <c r="J49" s="101">
        <v>3.7107855999999999E-4</v>
      </c>
      <c r="K49" s="101">
        <v>7.4563997000000007E-2</v>
      </c>
      <c r="L49" s="101">
        <v>1.7254061E-4</v>
      </c>
      <c r="M49" s="101">
        <v>36.651423000000001</v>
      </c>
      <c r="N49" s="101">
        <v>7.4778883000000004E-2</v>
      </c>
      <c r="O49" s="101">
        <v>0.25745098</v>
      </c>
      <c r="P49" s="101">
        <v>36.761381</v>
      </c>
      <c r="Q49" s="106">
        <f t="shared" si="1"/>
        <v>4.6935290597488706</v>
      </c>
      <c r="R49" s="113">
        <f t="shared" si="2"/>
        <v>3.5545663459999997E-4</v>
      </c>
      <c r="S49" s="113">
        <f t="shared" si="3"/>
        <v>0.2602557262372</v>
      </c>
      <c r="T49" s="113">
        <f t="shared" si="4"/>
        <v>7.4552271466140005E-2</v>
      </c>
      <c r="U49" s="113">
        <f t="shared" si="5"/>
        <v>7.4767157466140002E-2</v>
      </c>
      <c r="V49" s="113">
        <f t="shared" si="14"/>
        <v>0.25736553966300002</v>
      </c>
      <c r="W49" s="101">
        <f t="shared" si="15"/>
        <v>3.4909161199119518</v>
      </c>
      <c r="X49" s="101">
        <f t="shared" si="16"/>
        <v>3.442227154075689</v>
      </c>
      <c r="Y49" s="101">
        <f t="shared" si="17"/>
        <v>491.67819462239447</v>
      </c>
      <c r="Z49" s="101">
        <f t="shared" si="6"/>
        <v>-1.1642701985760622E-4</v>
      </c>
      <c r="AA49" s="2">
        <f t="shared" si="7"/>
        <v>491.58222123899623</v>
      </c>
      <c r="AB49" s="2">
        <f t="shared" si="8"/>
        <v>-482.64142927437138</v>
      </c>
      <c r="AC49" s="2">
        <f t="shared" si="9"/>
        <v>1679.5904056996526</v>
      </c>
      <c r="AD49" s="2">
        <f t="shared" si="10"/>
        <v>-3.4321149884044129</v>
      </c>
      <c r="AE49" s="2">
        <f t="shared" si="11"/>
        <v>143.48156722354977</v>
      </c>
      <c r="AF49" s="2">
        <f t="shared" si="12"/>
        <v>-1.4917076256071157E-3</v>
      </c>
      <c r="AG49">
        <f t="shared" si="13"/>
        <v>238667644.33044982</v>
      </c>
      <c r="AH49"/>
    </row>
    <row r="50" spans="1:34" ht="15">
      <c r="A50">
        <f t="shared" si="18"/>
        <v>25</v>
      </c>
      <c r="C50" s="101">
        <v>9.6411925999999995E-6</v>
      </c>
      <c r="D50" s="101">
        <v>3.4303376999999998E-5</v>
      </c>
      <c r="E50" s="101">
        <v>7.0336023000000002E-5</v>
      </c>
      <c r="F50" s="101">
        <v>-8.5949256999999993E-6</v>
      </c>
      <c r="G50" s="101">
        <v>1.8592540000000001E-5</v>
      </c>
      <c r="H50" s="101">
        <v>2.3768462000000001E-5</v>
      </c>
      <c r="I50" s="101">
        <v>0.26277755000000003</v>
      </c>
      <c r="J50" s="101">
        <v>3.9014816E-4</v>
      </c>
      <c r="K50" s="101">
        <v>7.5283045000000007E-2</v>
      </c>
      <c r="L50" s="101">
        <v>1.6094201999999999E-4</v>
      </c>
      <c r="M50" s="101">
        <v>36.997770000000003</v>
      </c>
      <c r="N50" s="101">
        <v>7.5596750000000004E-2</v>
      </c>
      <c r="O50" s="101">
        <v>0.26019076000000002</v>
      </c>
      <c r="P50" s="101">
        <v>37.149880000000003</v>
      </c>
      <c r="Q50" s="106">
        <f t="shared" si="1"/>
        <v>4.3322352589025854</v>
      </c>
      <c r="R50" s="113">
        <f t="shared" si="2"/>
        <v>3.6896765900000002E-4</v>
      </c>
      <c r="S50" s="113">
        <f t="shared" si="3"/>
        <v>0.26277255119285003</v>
      </c>
      <c r="T50" s="113">
        <f t="shared" si="4"/>
        <v>7.5261072715200009E-2</v>
      </c>
      <c r="U50" s="113">
        <f t="shared" si="5"/>
        <v>7.5574777715200006E-2</v>
      </c>
      <c r="V50" s="113">
        <f t="shared" si="14"/>
        <v>0.2601032722885</v>
      </c>
      <c r="W50" s="101">
        <f t="shared" si="15"/>
        <v>3.4914802794164732</v>
      </c>
      <c r="X50" s="101">
        <f t="shared" si="16"/>
        <v>3.4416677117951564</v>
      </c>
      <c r="Y50" s="101">
        <f t="shared" si="17"/>
        <v>491.56452884317542</v>
      </c>
      <c r="Z50" s="101">
        <f t="shared" si="6"/>
        <v>-8.321928798757291E-6</v>
      </c>
      <c r="AA50" s="2">
        <f t="shared" si="7"/>
        <v>491.62805984051903</v>
      </c>
      <c r="AB50" s="2">
        <f t="shared" si="8"/>
        <v>-482.47756292200438</v>
      </c>
      <c r="AC50" s="2">
        <f t="shared" si="9"/>
        <v>1679.6579944453299</v>
      </c>
      <c r="AD50" s="2">
        <f t="shared" si="10"/>
        <v>-3.4319256580136464</v>
      </c>
      <c r="AE50" s="2">
        <f t="shared" si="11"/>
        <v>143.44516044647534</v>
      </c>
      <c r="AF50" s="2">
        <f t="shared" si="12"/>
        <v>-1.4914219832317754E-3</v>
      </c>
      <c r="AG50">
        <f t="shared" si="13"/>
        <v>238693253.33534747</v>
      </c>
      <c r="AH50"/>
    </row>
    <row r="51" spans="1:34" ht="15">
      <c r="A51">
        <f t="shared" si="18"/>
        <v>26</v>
      </c>
      <c r="C51" s="101">
        <v>5.3391074E-6</v>
      </c>
      <c r="D51" s="101">
        <v>4.2413899000000001E-5</v>
      </c>
      <c r="E51" s="101">
        <v>7.3304020999999999E-5</v>
      </c>
      <c r="F51" s="101">
        <v>1.5870942999999998E-5</v>
      </c>
      <c r="G51" s="101">
        <v>2.7585476999999999E-5</v>
      </c>
      <c r="H51" s="101">
        <v>5.2827637999999999E-5</v>
      </c>
      <c r="I51" s="101">
        <v>0.27176679999999998</v>
      </c>
      <c r="J51" s="101">
        <v>4.0870096000000003E-4</v>
      </c>
      <c r="K51" s="101">
        <v>7.7859101999999999E-2</v>
      </c>
      <c r="L51" s="101">
        <v>1.3832749000000001E-4</v>
      </c>
      <c r="M51" s="101">
        <v>38.274380999999998</v>
      </c>
      <c r="N51" s="101">
        <v>7.8220419999999999E-2</v>
      </c>
      <c r="O51" s="101">
        <v>0.26924948999999998</v>
      </c>
      <c r="P51" s="101">
        <v>38.446313000000004</v>
      </c>
      <c r="Q51" s="106">
        <f t="shared" si="1"/>
        <v>3.5979390273392404</v>
      </c>
      <c r="R51" s="113">
        <f t="shared" si="2"/>
        <v>3.6849440250000004E-4</v>
      </c>
      <c r="S51" s="113">
        <f t="shared" si="3"/>
        <v>0.27174507178999996</v>
      </c>
      <c r="T51" s="113">
        <f t="shared" si="4"/>
        <v>7.7835225496799998E-2</v>
      </c>
      <c r="U51" s="113">
        <f t="shared" si="5"/>
        <v>7.8196543496799997E-2</v>
      </c>
      <c r="V51" s="113">
        <f t="shared" si="14"/>
        <v>0.26915497902949997</v>
      </c>
      <c r="W51" s="101">
        <f t="shared" si="15"/>
        <v>3.4912864972835735</v>
      </c>
      <c r="X51" s="101">
        <f t="shared" si="16"/>
        <v>3.4420316678129703</v>
      </c>
      <c r="Y51" s="101">
        <f t="shared" si="17"/>
        <v>491.66256308468832</v>
      </c>
      <c r="Z51" s="101">
        <f t="shared" si="6"/>
        <v>-6.2143144163926068E-5</v>
      </c>
      <c r="AA51" s="2">
        <f t="shared" si="7"/>
        <v>491.64670167321333</v>
      </c>
      <c r="AB51" s="2">
        <f t="shared" si="8"/>
        <v>-482.59984572630225</v>
      </c>
      <c r="AC51" s="2">
        <f t="shared" si="9"/>
        <v>1679.80782919434</v>
      </c>
      <c r="AD51" s="2">
        <f t="shared" si="10"/>
        <v>-3.4321055504692475</v>
      </c>
      <c r="AE51" s="2">
        <f t="shared" si="11"/>
        <v>143.47585810502144</v>
      </c>
      <c r="AF51" s="2">
        <f t="shared" si="12"/>
        <v>-1.4917789169272158E-3</v>
      </c>
      <c r="AG51">
        <f t="shared" si="13"/>
        <v>238692347.62358806</v>
      </c>
      <c r="AH51"/>
    </row>
    <row r="52" spans="1:34" ht="15">
      <c r="A52">
        <f t="shared" si="18"/>
        <v>27</v>
      </c>
      <c r="C52" s="101">
        <v>2.4013024000000001E-5</v>
      </c>
      <c r="D52" s="101">
        <v>2.2426589E-5</v>
      </c>
      <c r="E52" s="101">
        <v>6.5295364E-5</v>
      </c>
      <c r="F52" s="101">
        <v>2.4111031000000002E-5</v>
      </c>
      <c r="G52" s="101">
        <v>4.7590681999999997E-6</v>
      </c>
      <c r="H52" s="101">
        <v>3.4849628999999999E-5</v>
      </c>
      <c r="I52" s="101">
        <v>0.27444286000000001</v>
      </c>
      <c r="J52" s="101">
        <v>3.9702580999999998E-4</v>
      </c>
      <c r="K52" s="101">
        <v>7.8611582999999999E-2</v>
      </c>
      <c r="L52" s="101">
        <v>1.6059966E-4</v>
      </c>
      <c r="M52" s="101">
        <v>38.654974000000003</v>
      </c>
      <c r="N52" s="101">
        <v>7.8877500000000003E-2</v>
      </c>
      <c r="O52" s="101">
        <v>0.27142695</v>
      </c>
      <c r="P52" s="101">
        <v>38.760551</v>
      </c>
      <c r="Q52" s="106">
        <f t="shared" si="1"/>
        <v>4.143379179516824</v>
      </c>
      <c r="R52" s="113">
        <f t="shared" si="2"/>
        <v>3.7722146139999998E-4</v>
      </c>
      <c r="S52" s="113">
        <f t="shared" si="3"/>
        <v>0.27442842495039999</v>
      </c>
      <c r="T52" s="113">
        <f t="shared" si="4"/>
        <v>7.8588363193500002E-2</v>
      </c>
      <c r="U52" s="113">
        <f t="shared" si="5"/>
        <v>7.8854280193500007E-2</v>
      </c>
      <c r="V52" s="113">
        <f t="shared" si="14"/>
        <v>0.27135044134149999</v>
      </c>
      <c r="W52" s="101">
        <f t="shared" si="15"/>
        <v>3.4919727781415073</v>
      </c>
      <c r="X52" s="101">
        <f t="shared" si="16"/>
        <v>3.4411631261566895</v>
      </c>
      <c r="Y52" s="101">
        <f t="shared" si="17"/>
        <v>491.54657052078511</v>
      </c>
      <c r="Z52" s="101">
        <f t="shared" si="6"/>
        <v>8.7655060282177077E-5</v>
      </c>
      <c r="AA52" s="2">
        <f t="shared" si="7"/>
        <v>491.75162638982476</v>
      </c>
      <c r="AB52" s="2">
        <f t="shared" si="8"/>
        <v>-482.41355519263902</v>
      </c>
      <c r="AC52" s="2">
        <f t="shared" si="9"/>
        <v>1679.9966712627436</v>
      </c>
      <c r="AD52" s="2">
        <f t="shared" si="10"/>
        <v>-3.4317497112550446</v>
      </c>
      <c r="AE52" s="2">
        <f t="shared" si="11"/>
        <v>143.44549227889081</v>
      </c>
      <c r="AF52" s="2">
        <f t="shared" si="12"/>
        <v>-1.491675715889718E-3</v>
      </c>
      <c r="AG52">
        <f t="shared" si="13"/>
        <v>238714740.38325524</v>
      </c>
      <c r="AH52"/>
    </row>
    <row r="53" spans="1:34" ht="15">
      <c r="A53">
        <f t="shared" si="18"/>
        <v>28</v>
      </c>
      <c r="C53" s="101">
        <v>1.2191949999999999E-5</v>
      </c>
      <c r="D53" s="101">
        <v>3.1026782999999999E-5</v>
      </c>
      <c r="E53" s="101">
        <v>6.6011218999999994E-5</v>
      </c>
      <c r="F53" s="101">
        <v>7.7590828000000002E-6</v>
      </c>
      <c r="G53" s="101">
        <v>1.5245227999999999E-5</v>
      </c>
      <c r="H53" s="101">
        <v>2.6848736000000001E-5</v>
      </c>
      <c r="I53" s="101">
        <v>0.27765783999999999</v>
      </c>
      <c r="J53" s="101">
        <v>4.1074577000000003E-4</v>
      </c>
      <c r="K53" s="101">
        <v>7.9544615999999999E-2</v>
      </c>
      <c r="L53" s="101">
        <v>1.7252251000000001E-4</v>
      </c>
      <c r="M53" s="101">
        <v>39.107135999999997</v>
      </c>
      <c r="N53" s="101">
        <v>7.9784532000000005E-2</v>
      </c>
      <c r="O53" s="101">
        <v>0.27460510999999999</v>
      </c>
      <c r="P53" s="101">
        <v>39.215018999999998</v>
      </c>
      <c r="Q53" s="106">
        <f t="shared" si="1"/>
        <v>4.3993988629713527</v>
      </c>
      <c r="R53" s="113">
        <f t="shared" si="2"/>
        <v>3.89698788E-4</v>
      </c>
      <c r="S53" s="113">
        <f t="shared" si="3"/>
        <v>0.27764633784459997</v>
      </c>
      <c r="T53" s="113">
        <f t="shared" si="4"/>
        <v>7.9523006633499996E-2</v>
      </c>
      <c r="U53" s="113">
        <f t="shared" si="5"/>
        <v>7.9762922633500002E-2</v>
      </c>
      <c r="V53" s="113">
        <f t="shared" si="14"/>
        <v>0.2745235853895</v>
      </c>
      <c r="W53" s="101">
        <f t="shared" si="15"/>
        <v>3.4913963844978442</v>
      </c>
      <c r="X53" s="101">
        <f t="shared" si="16"/>
        <v>3.4417443133434227</v>
      </c>
      <c r="Y53" s="101">
        <f t="shared" si="17"/>
        <v>491.64471041498547</v>
      </c>
      <c r="Z53" s="101">
        <f t="shared" si="6"/>
        <v>-2.3759941516250489E-5</v>
      </c>
      <c r="AA53" s="2">
        <f t="shared" si="7"/>
        <v>491.68547736381532</v>
      </c>
      <c r="AB53" s="2">
        <f t="shared" si="8"/>
        <v>-482.56376189716491</v>
      </c>
      <c r="AC53" s="2">
        <f t="shared" si="9"/>
        <v>1679.8649423668601</v>
      </c>
      <c r="AD53" s="2">
        <f t="shared" si="10"/>
        <v>-3.4319496437160586</v>
      </c>
      <c r="AE53" s="2">
        <f t="shared" si="11"/>
        <v>143.47541616274114</v>
      </c>
      <c r="AF53" s="2">
        <f t="shared" si="12"/>
        <v>-1.491852880578348E-3</v>
      </c>
      <c r="AG53">
        <f t="shared" si="13"/>
        <v>238689047.25833046</v>
      </c>
      <c r="AH53"/>
    </row>
    <row r="54" spans="1:34" ht="15">
      <c r="A54">
        <f t="shared" si="18"/>
        <v>29</v>
      </c>
      <c r="C54" s="101">
        <v>4.2987459000000001E-6</v>
      </c>
      <c r="D54" s="101">
        <v>3.6830238999999999E-5</v>
      </c>
      <c r="E54" s="101">
        <v>7.1745534000000006E-5</v>
      </c>
      <c r="F54" s="101">
        <v>6.7111799999999997E-6</v>
      </c>
      <c r="G54" s="101">
        <v>8.0126234999999994E-6</v>
      </c>
      <c r="H54" s="101">
        <v>2.2889324E-5</v>
      </c>
      <c r="I54" s="101">
        <v>0.28002481000000001</v>
      </c>
      <c r="J54" s="101">
        <v>4.0052906999999999E-4</v>
      </c>
      <c r="K54" s="101">
        <v>8.0224899000000002E-2</v>
      </c>
      <c r="L54" s="101">
        <v>1.6395671E-4</v>
      </c>
      <c r="M54" s="101">
        <v>39.441128999999997</v>
      </c>
      <c r="N54" s="101">
        <v>8.0362696999999997E-2</v>
      </c>
      <c r="O54" s="101">
        <v>0.27657659000000001</v>
      </c>
      <c r="P54" s="101">
        <v>39.49286</v>
      </c>
      <c r="Q54" s="106">
        <f t="shared" si="1"/>
        <v>4.1515532174676641</v>
      </c>
      <c r="R54" s="113">
        <f t="shared" si="2"/>
        <v>3.8507809625000001E-4</v>
      </c>
      <c r="S54" s="113">
        <f t="shared" si="3"/>
        <v>0.28001744809825002</v>
      </c>
      <c r="T54" s="113">
        <f t="shared" si="4"/>
        <v>8.0204334507550004E-2</v>
      </c>
      <c r="U54" s="113">
        <f t="shared" si="5"/>
        <v>8.0342132507549999E-2</v>
      </c>
      <c r="V54" s="113">
        <f t="shared" si="14"/>
        <v>0.27648642934650003</v>
      </c>
      <c r="W54" s="101">
        <f t="shared" si="15"/>
        <v>3.4913006861479623</v>
      </c>
      <c r="X54" s="101">
        <f t="shared" si="16"/>
        <v>3.4413628406056778</v>
      </c>
      <c r="Y54" s="101">
        <f t="shared" si="17"/>
        <v>491.55852312345252</v>
      </c>
      <c r="Z54" s="101">
        <f t="shared" si="6"/>
        <v>4.1745280057325017E-6</v>
      </c>
      <c r="AA54" s="2">
        <f t="shared" si="7"/>
        <v>491.64047878460258</v>
      </c>
      <c r="AB54" s="2">
        <f t="shared" si="8"/>
        <v>-482.46562054002436</v>
      </c>
      <c r="AC54" s="2">
        <f t="shared" si="9"/>
        <v>1679.5719564990559</v>
      </c>
      <c r="AD54" s="2">
        <f t="shared" si="10"/>
        <v>-3.4316635006956084</v>
      </c>
      <c r="AE54" s="2">
        <f t="shared" si="11"/>
        <v>143.45378902255209</v>
      </c>
      <c r="AF54" s="2">
        <f t="shared" si="12"/>
        <v>-1.4915368524969616E-3</v>
      </c>
      <c r="AG54">
        <f t="shared" si="13"/>
        <v>238662739.01286697</v>
      </c>
      <c r="AH54"/>
    </row>
    <row r="55" spans="1:34" ht="15">
      <c r="A55">
        <f t="shared" si="18"/>
        <v>30</v>
      </c>
      <c r="C55" s="101">
        <v>1.5998421E-6</v>
      </c>
      <c r="D55" s="101">
        <v>2.6903975E-5</v>
      </c>
      <c r="E55" s="101">
        <v>6.0664688999999999E-5</v>
      </c>
      <c r="F55" s="101">
        <v>3.0171427000000002E-6</v>
      </c>
      <c r="G55" s="101">
        <v>1.3215403E-5</v>
      </c>
      <c r="H55" s="101">
        <v>2.4842930000000001E-5</v>
      </c>
      <c r="I55" s="101">
        <v>0.28267405000000001</v>
      </c>
      <c r="J55" s="101">
        <v>4.1725402999999997E-4</v>
      </c>
      <c r="K55" s="101">
        <v>8.1007896999999995E-2</v>
      </c>
      <c r="L55" s="101">
        <v>1.7932703E-4</v>
      </c>
      <c r="M55" s="101">
        <v>39.816355000000001</v>
      </c>
      <c r="N55" s="101">
        <v>8.1053991000000006E-2</v>
      </c>
      <c r="O55" s="101">
        <v>0.27901202000000003</v>
      </c>
      <c r="P55" s="101">
        <v>39.845529999999997</v>
      </c>
      <c r="Q55" s="106">
        <f t="shared" si="1"/>
        <v>4.5005557712496236</v>
      </c>
      <c r="R55" s="113">
        <f t="shared" si="2"/>
        <v>3.9822486349999999E-4</v>
      </c>
      <c r="S55" s="113">
        <f t="shared" si="3"/>
        <v>0.28266593372714999</v>
      </c>
      <c r="T55" s="113">
        <f t="shared" si="4"/>
        <v>8.0993645091449989E-2</v>
      </c>
      <c r="U55" s="113">
        <f t="shared" si="5"/>
        <v>8.103973909145E-2</v>
      </c>
      <c r="V55" s="113">
        <f t="shared" si="14"/>
        <v>0.27893790332350005</v>
      </c>
      <c r="W55" s="101">
        <f t="shared" si="15"/>
        <v>3.4899766939491568</v>
      </c>
      <c r="X55" s="101">
        <f t="shared" si="16"/>
        <v>3.4419891580441804</v>
      </c>
      <c r="Y55" s="101">
        <f t="shared" si="17"/>
        <v>491.67890280391896</v>
      </c>
      <c r="Z55" s="101">
        <f t="shared" si="6"/>
        <v>-1.8286040180751331E-4</v>
      </c>
      <c r="AA55" s="2">
        <f t="shared" si="7"/>
        <v>491.48485331679092</v>
      </c>
      <c r="AB55" s="2">
        <f t="shared" si="8"/>
        <v>-482.6742150487384</v>
      </c>
      <c r="AC55" s="2">
        <f t="shared" si="9"/>
        <v>1679.0267276792717</v>
      </c>
      <c r="AD55" s="2">
        <f t="shared" si="10"/>
        <v>-3.4316490939855679</v>
      </c>
      <c r="AE55" s="2">
        <f t="shared" si="11"/>
        <v>143.50135989834843</v>
      </c>
      <c r="AF55" s="2">
        <f t="shared" si="12"/>
        <v>-1.4917160611710968E-3</v>
      </c>
      <c r="AG55">
        <f t="shared" si="13"/>
        <v>238570984.97867829</v>
      </c>
      <c r="AH55"/>
    </row>
    <row r="56" spans="1:34" ht="15">
      <c r="A56">
        <f t="shared" si="18"/>
        <v>31</v>
      </c>
      <c r="C56" s="101">
        <v>-3.8180268000000004E-6</v>
      </c>
      <c r="D56" s="101">
        <v>3.0546056999999998E-5</v>
      </c>
      <c r="E56" s="101">
        <v>8.7372978999999994E-5</v>
      </c>
      <c r="F56" s="101">
        <v>-3.8332055E-7</v>
      </c>
      <c r="G56" s="101">
        <v>2.1424090999999999E-5</v>
      </c>
      <c r="H56" s="101">
        <v>4.1247668000000001E-5</v>
      </c>
      <c r="I56" s="101">
        <v>0.30551950999999999</v>
      </c>
      <c r="J56" s="101">
        <v>4.4853379000000002E-4</v>
      </c>
      <c r="K56" s="101">
        <v>8.7560073000000002E-2</v>
      </c>
      <c r="L56" s="101">
        <v>2.0836652000000001E-4</v>
      </c>
      <c r="M56" s="101">
        <v>43.040658000000001</v>
      </c>
      <c r="N56" s="101">
        <v>8.7839071000000005E-2</v>
      </c>
      <c r="O56" s="101">
        <v>0.30237373000000001</v>
      </c>
      <c r="P56" s="101">
        <v>43.178807999999997</v>
      </c>
      <c r="Q56" s="106">
        <f t="shared" si="1"/>
        <v>4.8256663315022506</v>
      </c>
      <c r="R56" s="113">
        <f t="shared" si="2"/>
        <v>4.171979105E-4</v>
      </c>
      <c r="S56" s="113">
        <f t="shared" si="3"/>
        <v>0.30550898961477502</v>
      </c>
      <c r="T56" s="113">
        <f t="shared" si="4"/>
        <v>8.7546708984899996E-2</v>
      </c>
      <c r="U56" s="113">
        <f t="shared" si="5"/>
        <v>8.7825706984899998E-2</v>
      </c>
      <c r="V56" s="113">
        <f t="shared" si="14"/>
        <v>0.30227108399250002</v>
      </c>
      <c r="W56" s="101">
        <f t="shared" si="15"/>
        <v>3.4896684656355159</v>
      </c>
      <c r="X56" s="101">
        <f t="shared" si="16"/>
        <v>3.4417153515709238</v>
      </c>
      <c r="Y56" s="101">
        <f t="shared" si="17"/>
        <v>491.64202011404012</v>
      </c>
      <c r="Z56" s="101">
        <f t="shared" si="6"/>
        <v>-1.8565872638926444E-4</v>
      </c>
      <c r="AA56" s="2">
        <f t="shared" si="7"/>
        <v>491.44384784520179</v>
      </c>
      <c r="AB56" s="2">
        <f t="shared" si="8"/>
        <v>-482.63933393967017</v>
      </c>
      <c r="AC56" s="2">
        <f t="shared" si="9"/>
        <v>1678.747451311611</v>
      </c>
      <c r="AD56" s="2">
        <f t="shared" si="10"/>
        <v>-3.4313655255539177</v>
      </c>
      <c r="AE56" s="2">
        <f t="shared" si="11"/>
        <v>143.49885645894119</v>
      </c>
      <c r="AF56" s="2">
        <f t="shared" si="12"/>
        <v>-1.4916069254035163E-3</v>
      </c>
      <c r="AG56">
        <f t="shared" si="13"/>
        <v>238530244.58769077</v>
      </c>
      <c r="AH56"/>
    </row>
    <row r="57" spans="1:34" ht="15">
      <c r="A57">
        <f t="shared" si="18"/>
        <v>32</v>
      </c>
      <c r="C57" s="101">
        <v>1.2310581E-5</v>
      </c>
      <c r="D57" s="101">
        <v>2.0104805000000001E-5</v>
      </c>
      <c r="E57" s="101">
        <v>8.1327468999999999E-5</v>
      </c>
      <c r="F57" s="101">
        <v>1.6403065999999999E-5</v>
      </c>
      <c r="G57" s="101">
        <v>1.7941179999999999E-5</v>
      </c>
      <c r="H57" s="101">
        <v>3.7158647999999998E-5</v>
      </c>
      <c r="I57" s="101">
        <v>0.30886778999999998</v>
      </c>
      <c r="J57" s="101">
        <v>4.5327657000000001E-4</v>
      </c>
      <c r="K57" s="101">
        <v>8.8531443000000001E-2</v>
      </c>
      <c r="L57" s="101">
        <v>2.050629E-4</v>
      </c>
      <c r="M57" s="101">
        <v>43.514203999999999</v>
      </c>
      <c r="N57" s="101">
        <v>8.8650885999999998E-2</v>
      </c>
      <c r="O57" s="101">
        <v>0.30516407000000001</v>
      </c>
      <c r="P57" s="101">
        <v>43.580801000000001</v>
      </c>
      <c r="Q57" s="106">
        <f t="shared" si="1"/>
        <v>4.7053494955267112</v>
      </c>
      <c r="R57" s="113">
        <f t="shared" si="2"/>
        <v>4.25726656E-4</v>
      </c>
      <c r="S57" s="113">
        <f t="shared" si="3"/>
        <v>0.30885061787699997</v>
      </c>
      <c r="T57" s="113">
        <f t="shared" si="4"/>
        <v>8.8515235307000006E-2</v>
      </c>
      <c r="U57" s="113">
        <f t="shared" si="5"/>
        <v>8.8634678307000003E-2</v>
      </c>
      <c r="V57" s="113">
        <f t="shared" si="14"/>
        <v>0.30507269012850002</v>
      </c>
      <c r="W57" s="101">
        <f t="shared" si="15"/>
        <v>3.4892368167559429</v>
      </c>
      <c r="X57" s="101">
        <f t="shared" si="16"/>
        <v>3.4419111791869237</v>
      </c>
      <c r="Y57" s="101">
        <f t="shared" si="17"/>
        <v>491.69018077835307</v>
      </c>
      <c r="Z57" s="101">
        <f t="shared" si="6"/>
        <v>-2.4581400864378687E-4</v>
      </c>
      <c r="AA57" s="2">
        <f t="shared" si="7"/>
        <v>491.40316517724</v>
      </c>
      <c r="AB57" s="2">
        <f t="shared" si="8"/>
        <v>-482.71570623685921</v>
      </c>
      <c r="AC57" s="2">
        <f t="shared" si="9"/>
        <v>1678.6012409561611</v>
      </c>
      <c r="AD57" s="2">
        <f t="shared" si="10"/>
        <v>-3.4313551738881118</v>
      </c>
      <c r="AE57" s="2">
        <f t="shared" si="11"/>
        <v>143.51807161665806</v>
      </c>
      <c r="AF57" s="2">
        <f t="shared" si="12"/>
        <v>-1.4917241818339436E-3</v>
      </c>
      <c r="AG57">
        <f t="shared" si="13"/>
        <v>238499936.11048871</v>
      </c>
      <c r="AH57"/>
    </row>
    <row r="58" spans="1:34" ht="15">
      <c r="A58">
        <f t="shared" si="18"/>
        <v>33</v>
      </c>
      <c r="C58" s="101">
        <v>1.1258231E-5</v>
      </c>
      <c r="D58" s="101">
        <v>4.7553843000000003E-5</v>
      </c>
      <c r="E58" s="101">
        <v>8.5086672999999999E-5</v>
      </c>
      <c r="F58" s="101">
        <v>1.0410505E-5</v>
      </c>
      <c r="G58" s="101">
        <v>2.3338942999999999E-5</v>
      </c>
      <c r="H58" s="101">
        <v>3.9708786999999999E-5</v>
      </c>
      <c r="I58" s="101">
        <v>0.31157942</v>
      </c>
      <c r="J58" s="101">
        <v>4.7749598000000002E-4</v>
      </c>
      <c r="K58" s="101">
        <v>8.9311786000000004E-2</v>
      </c>
      <c r="L58" s="101">
        <v>2.0366091000000001E-4</v>
      </c>
      <c r="M58" s="101">
        <v>43.902012999999997</v>
      </c>
      <c r="N58" s="101">
        <v>8.9475875999999996E-2</v>
      </c>
      <c r="O58" s="101">
        <v>0.30806947000000001</v>
      </c>
      <c r="P58" s="101">
        <v>43.987569000000001</v>
      </c>
      <c r="Q58" s="106">
        <f t="shared" si="1"/>
        <v>4.6299651158262458</v>
      </c>
      <c r="R58" s="113">
        <f t="shared" si="2"/>
        <v>4.4597211500000002E-4</v>
      </c>
      <c r="S58" s="113">
        <f t="shared" si="3"/>
        <v>0.31156254527599997</v>
      </c>
      <c r="T58" s="113">
        <f t="shared" si="4"/>
        <v>8.9282379963000008E-2</v>
      </c>
      <c r="U58" s="113">
        <f t="shared" si="5"/>
        <v>8.9446469963E-2</v>
      </c>
      <c r="V58" s="113">
        <f t="shared" si="14"/>
        <v>0.30796060640549999</v>
      </c>
      <c r="W58" s="101">
        <f t="shared" si="15"/>
        <v>3.4896308253108428</v>
      </c>
      <c r="X58" s="101">
        <f t="shared" si="16"/>
        <v>3.4429598678728128</v>
      </c>
      <c r="Y58" s="101">
        <f t="shared" si="17"/>
        <v>491.77534919148502</v>
      </c>
      <c r="Z58" s="101">
        <f t="shared" si="6"/>
        <v>-3.1002766169360431E-4</v>
      </c>
      <c r="AA58" s="2">
        <f t="shared" si="7"/>
        <v>491.39344604904693</v>
      </c>
      <c r="AB58" s="2">
        <f t="shared" si="8"/>
        <v>-482.8304220865781</v>
      </c>
      <c r="AC58" s="2">
        <f t="shared" si="9"/>
        <v>1678.9726991291745</v>
      </c>
      <c r="AD58" s="2">
        <f t="shared" si="10"/>
        <v>-3.4321838118767189</v>
      </c>
      <c r="AE58" s="2">
        <f t="shared" si="11"/>
        <v>143.5165725470616</v>
      </c>
      <c r="AF58" s="2">
        <f t="shared" si="12"/>
        <v>-1.4916888971857349E-3</v>
      </c>
      <c r="AG58">
        <f t="shared" si="13"/>
        <v>238584388.02166486</v>
      </c>
      <c r="AH58"/>
    </row>
    <row r="59" spans="1:34" ht="15">
      <c r="A59">
        <f t="shared" si="18"/>
        <v>34</v>
      </c>
      <c r="C59" s="101">
        <v>5.9891876000000001E-6</v>
      </c>
      <c r="D59" s="101">
        <v>4.2351963000000003E-5</v>
      </c>
      <c r="E59" s="101">
        <v>8.72997E-5</v>
      </c>
      <c r="F59" s="101">
        <v>2.4237298E-5</v>
      </c>
      <c r="G59" s="101">
        <v>1.4616594E-5</v>
      </c>
      <c r="H59" s="101">
        <v>4.0199763E-5</v>
      </c>
      <c r="I59" s="101">
        <v>0.31252260999999998</v>
      </c>
      <c r="J59" s="101">
        <v>4.6659265E-4</v>
      </c>
      <c r="K59" s="101">
        <v>8.9592649999999996E-2</v>
      </c>
      <c r="L59" s="101">
        <v>1.8506244E-4</v>
      </c>
      <c r="M59" s="101">
        <v>44.035131</v>
      </c>
      <c r="N59" s="101">
        <v>8.9896593999999996E-2</v>
      </c>
      <c r="O59" s="101">
        <v>0.30949575000000001</v>
      </c>
      <c r="P59" s="101">
        <v>44.197507999999999</v>
      </c>
      <c r="Q59" s="106">
        <f t="shared" si="1"/>
        <v>4.1871691046472579</v>
      </c>
      <c r="R59" s="113">
        <f t="shared" si="2"/>
        <v>4.3918447149999997E-4</v>
      </c>
      <c r="S59" s="113">
        <f t="shared" si="3"/>
        <v>0.31250318305399999</v>
      </c>
      <c r="T59" s="113">
        <f t="shared" si="4"/>
        <v>8.956847942469999E-2</v>
      </c>
      <c r="U59" s="113">
        <f t="shared" si="5"/>
        <v>8.987242342469999E-2</v>
      </c>
      <c r="V59" s="113">
        <f t="shared" si="14"/>
        <v>0.30938727431849999</v>
      </c>
      <c r="W59" s="101">
        <f t="shared" ref="W59" si="19">IF(AND(A59&gt;0,NOT(A59="***")),S59/T59,"")</f>
        <v>3.4889861373243551</v>
      </c>
      <c r="X59" s="101">
        <f t="shared" ref="X59" si="20">IF(AND(A59&gt;0,NOT(A59="***")),V59/U59,"")</f>
        <v>3.4425162082974374</v>
      </c>
      <c r="Y59" s="101">
        <f t="shared" ref="Y59" si="21">IF(AND(A59&gt;0,NOT(A59="***")),P59/U59,"")</f>
        <v>491.7805297309144</v>
      </c>
      <c r="Z59" s="101">
        <f t="shared" si="6"/>
        <v>-3.2842016086266564E-4</v>
      </c>
      <c r="AA59" s="2">
        <f t="shared" si="7"/>
        <v>491.37143722696356</v>
      </c>
      <c r="AB59" s="2">
        <f t="shared" si="8"/>
        <v>-482.84438651064676</v>
      </c>
      <c r="AC59" s="2">
        <f t="shared" si="9"/>
        <v>1678.6478899782567</v>
      </c>
      <c r="AD59" s="2">
        <f t="shared" si="10"/>
        <v>-3.4316770339733438</v>
      </c>
      <c r="AE59" s="2">
        <f t="shared" si="11"/>
        <v>143.5398153121881</v>
      </c>
      <c r="AF59" s="2">
        <f t="shared" si="12"/>
        <v>-1.491885848932991E-3</v>
      </c>
      <c r="AG59">
        <f t="shared" si="13"/>
        <v>238505046.62801099</v>
      </c>
      <c r="AH59"/>
    </row>
    <row r="60" spans="1:34" ht="15">
      <c r="A60">
        <f t="shared" si="18"/>
        <v>35</v>
      </c>
      <c r="C60" s="101">
        <v>-9.7526014000000004E-7</v>
      </c>
      <c r="D60" s="101">
        <v>2.5035173E-5</v>
      </c>
      <c r="E60" s="101">
        <v>7.9971813999999997E-5</v>
      </c>
      <c r="F60" s="101">
        <v>1.4269125E-5</v>
      </c>
      <c r="G60" s="101">
        <v>7.2362044000000001E-6</v>
      </c>
      <c r="H60" s="101">
        <v>4.3611652000000003E-5</v>
      </c>
      <c r="I60" s="101">
        <v>0.31591756999999998</v>
      </c>
      <c r="J60" s="101">
        <v>4.5716731999999999E-4</v>
      </c>
      <c r="K60" s="101">
        <v>9.0518316000000001E-2</v>
      </c>
      <c r="L60" s="101">
        <v>1.7365296000000001E-4</v>
      </c>
      <c r="M60" s="101">
        <v>44.512714000000003</v>
      </c>
      <c r="N60" s="101">
        <v>9.0654447999999999E-2</v>
      </c>
      <c r="O60" s="101">
        <v>0.31203537999999997</v>
      </c>
      <c r="P60" s="101">
        <v>44.560152000000002</v>
      </c>
      <c r="Q60" s="106">
        <f t="shared" si="1"/>
        <v>3.8970459526260139</v>
      </c>
      <c r="R60" s="113">
        <f t="shared" si="2"/>
        <v>4.317433918E-4</v>
      </c>
      <c r="S60" s="113">
        <f t="shared" si="3"/>
        <v>0.31590681733529996</v>
      </c>
      <c r="T60" s="113">
        <f t="shared" si="4"/>
        <v>9.050628604357E-2</v>
      </c>
      <c r="U60" s="113">
        <f t="shared" si="5"/>
        <v>9.0642418043569997E-2</v>
      </c>
      <c r="V60" s="113">
        <f t="shared" si="14"/>
        <v>0.31194289059949998</v>
      </c>
      <c r="W60" s="101">
        <f t="shared" si="15"/>
        <v>3.4904406218063291</v>
      </c>
      <c r="X60" s="101">
        <f t="shared" si="16"/>
        <v>3.4414670011291544</v>
      </c>
      <c r="Y60" s="101">
        <f t="shared" si="17"/>
        <v>491.60374316780502</v>
      </c>
      <c r="Z60" s="101">
        <f t="shared" si="6"/>
        <v>-8.7935187918237697E-5</v>
      </c>
      <c r="AA60" s="2">
        <f t="shared" si="7"/>
        <v>491.54981335495086</v>
      </c>
      <c r="AB60" s="2">
        <f t="shared" si="8"/>
        <v>-482.55452470942987</v>
      </c>
      <c r="AC60" s="2">
        <f t="shared" si="9"/>
        <v>1679.1552134837705</v>
      </c>
      <c r="AD60" s="2">
        <f t="shared" si="10"/>
        <v>-3.4314521162141842</v>
      </c>
      <c r="AE60" s="2">
        <f t="shared" si="11"/>
        <v>143.48029140362075</v>
      </c>
      <c r="AF60" s="2">
        <f t="shared" si="12"/>
        <v>-1.4916286929156379E-3</v>
      </c>
      <c r="AG60">
        <f t="shared" si="13"/>
        <v>238589130.20389873</v>
      </c>
      <c r="AH60"/>
    </row>
    <row r="61" spans="1:34" ht="15">
      <c r="A61">
        <f t="shared" si="18"/>
        <v>36</v>
      </c>
      <c r="C61" s="101">
        <v>2.6229301999999999E-5</v>
      </c>
      <c r="D61" s="101">
        <v>3.5956881000000003E-5</v>
      </c>
      <c r="E61" s="101">
        <v>9.8536551999999996E-5</v>
      </c>
      <c r="F61" s="101">
        <v>4.6730357000000003E-6</v>
      </c>
      <c r="G61" s="101">
        <v>1.8359452000000001E-5</v>
      </c>
      <c r="H61" s="101">
        <v>3.0893557999999997E-5</v>
      </c>
      <c r="I61" s="101">
        <v>0.32236823999999997</v>
      </c>
      <c r="J61" s="101">
        <v>4.7495571999999999E-4</v>
      </c>
      <c r="K61" s="101">
        <v>9.2352327999999997E-2</v>
      </c>
      <c r="L61" s="101">
        <v>1.4909830000000001E-4</v>
      </c>
      <c r="M61" s="101">
        <v>45.418736000000003</v>
      </c>
      <c r="N61" s="101">
        <v>9.2221289999999997E-2</v>
      </c>
      <c r="O61" s="101">
        <v>0.31741929000000002</v>
      </c>
      <c r="P61" s="101">
        <v>45.334117999999997</v>
      </c>
      <c r="Q61" s="106">
        <f t="shared" si="1"/>
        <v>3.2888761616582025</v>
      </c>
      <c r="R61" s="113">
        <f t="shared" si="2"/>
        <v>4.5032921499999997E-4</v>
      </c>
      <c r="S61" s="113">
        <f t="shared" si="3"/>
        <v>0.32235672375614999</v>
      </c>
      <c r="T61" s="113">
        <f t="shared" si="4"/>
        <v>9.2321234908499999E-2</v>
      </c>
      <c r="U61" s="113">
        <f t="shared" si="5"/>
        <v>9.2190196908499999E-2</v>
      </c>
      <c r="V61" s="113">
        <f t="shared" si="14"/>
        <v>0.31730277500750004</v>
      </c>
      <c r="W61" s="101">
        <f t="shared" si="15"/>
        <v>3.4916855702335354</v>
      </c>
      <c r="X61" s="101">
        <f t="shared" si="16"/>
        <v>3.4418277175655376</v>
      </c>
      <c r="Y61" s="101">
        <f t="shared" si="17"/>
        <v>491.74553824843997</v>
      </c>
      <c r="Z61" s="101">
        <f t="shared" si="6"/>
        <v>-4.29564671468734E-6</v>
      </c>
      <c r="AA61" s="2">
        <f t="shared" si="7"/>
        <v>491.81503757923457</v>
      </c>
      <c r="AB61" s="2">
        <f t="shared" si="8"/>
        <v>-482.65337364188969</v>
      </c>
      <c r="AC61" s="2">
        <f t="shared" si="9"/>
        <v>1680.3815115041643</v>
      </c>
      <c r="AD61" s="2">
        <f t="shared" si="10"/>
        <v>-3.4321001414039838</v>
      </c>
      <c r="AE61" s="2">
        <f t="shared" si="11"/>
        <v>143.50841624803829</v>
      </c>
      <c r="AF61" s="2">
        <f t="shared" si="12"/>
        <v>-1.4924585263447533E-3</v>
      </c>
      <c r="AG61">
        <f t="shared" si="13"/>
        <v>238719131.90126097</v>
      </c>
      <c r="AH61"/>
    </row>
    <row r="62" spans="1:34" ht="15"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6"/>
      <c r="R62" s="113"/>
      <c r="S62" s="113"/>
      <c r="T62" s="113"/>
      <c r="U62" s="113"/>
      <c r="V62" s="113"/>
      <c r="W62" s="101"/>
      <c r="X62" s="101"/>
      <c r="Y62" s="101"/>
      <c r="Z62" s="101"/>
      <c r="AA62" s="2"/>
      <c r="AB62" s="2"/>
      <c r="AC62" s="2"/>
      <c r="AG62"/>
      <c r="AH62"/>
    </row>
    <row r="63" spans="1:34" ht="15">
      <c r="A63">
        <v>50</v>
      </c>
      <c r="C63" s="101">
        <v>2.2276811999999999E-5</v>
      </c>
      <c r="D63" s="101">
        <v>5.1859284000000003E-6</v>
      </c>
      <c r="E63" s="101">
        <v>4.6405834999999998E-5</v>
      </c>
      <c r="F63" s="101">
        <v>5.9092607999999996E-6</v>
      </c>
      <c r="G63" s="101">
        <v>6.7364425E-6</v>
      </c>
      <c r="H63" s="101">
        <v>1.0777377E-5</v>
      </c>
      <c r="I63" s="101">
        <v>0.17306081000000001</v>
      </c>
      <c r="J63" s="101">
        <v>2.4861465999999999E-4</v>
      </c>
      <c r="K63" s="101">
        <v>4.9585742000000002E-2</v>
      </c>
      <c r="L63" s="101">
        <v>9.6640189E-5</v>
      </c>
      <c r="M63" s="101">
        <v>24.387654999999999</v>
      </c>
      <c r="N63" s="101">
        <v>4.9829664000000003E-2</v>
      </c>
      <c r="O63" s="101">
        <v>0.1715363</v>
      </c>
      <c r="P63" s="101">
        <v>24.503672000000002</v>
      </c>
      <c r="Q63" s="106">
        <f t="shared" si="1"/>
        <v>3.9439064071703211</v>
      </c>
      <c r="R63" s="113">
        <f t="shared" si="2"/>
        <v>2.3985775024999999E-4</v>
      </c>
      <c r="S63" s="113">
        <f t="shared" si="3"/>
        <v>0.17305448714835001</v>
      </c>
      <c r="T63" s="113">
        <f t="shared" si="4"/>
        <v>4.9572010629800004E-2</v>
      </c>
      <c r="U63" s="113">
        <f t="shared" si="5"/>
        <v>4.9815932629800004E-2</v>
      </c>
      <c r="V63" s="113">
        <f t="shared" si="14"/>
        <v>0.1714873012008</v>
      </c>
      <c r="W63" s="101">
        <f t="shared" si="15"/>
        <v>3.4909717187125557</v>
      </c>
      <c r="X63" s="101">
        <f t="shared" si="16"/>
        <v>3.4424187633941012</v>
      </c>
      <c r="Y63" s="101">
        <f t="shared" si="17"/>
        <v>491.8842367580578</v>
      </c>
      <c r="Z63" s="101">
        <f t="shared" ref="Z63:Z99" si="22">IF(AND(A63&gt;0,NOT(A63="***")),(W63-$X$2*X63+$X$2*$X$7-W63*$X$3*$X$7)/(3*$X$2*X63-2*$X$2*$X$7),"")</f>
        <v>-1.2973098663259273E-4</v>
      </c>
      <c r="AA63" s="2">
        <f t="shared" ref="AA63:AA99" si="23">IF(AND(A63&gt;0,NOT(A63="***")),($X$2*Y63+5*Z63*$X$2*Y63-W63*$X$4)/($X$2+2*Z63*$X$2-W63*$X$3),"")</f>
        <v>491.76858195512438</v>
      </c>
      <c r="AB63" s="2">
        <f t="shared" ref="AB63:AB99" si="24">IF(AND(A63&gt;0,NOT(A63="***")),-(3*W63*$X$8*(5*$X$9*Y63-9*X63*$X$8+4*$X$9*$X$8)*((-3+2*$X$3*X63)*Y63+X63*$X$4))/AG63,"")</f>
        <v>-482.85022116266077</v>
      </c>
      <c r="AC63" s="2">
        <f t="shared" ref="AC63:AC99" si="25">IF(AND(A63&gt;0,NOT(A63="***")),((3*W63*$X$8*(5*$X$9*Y63-9*X63*$X$8+4*$X$9*Y63)*(-5*W63*Y63+2*$X$2*X63*Y63+3*W63*X63*$X$4)))/AG63,"")</f>
        <v>1680.2974969743523</v>
      </c>
      <c r="AD63" s="2">
        <f t="shared" ref="AD63:AD99" si="26">IF(AND(A63&gt;0,NOT(A63="***")),(3*W63*(-$X$2*X63+W63*(-2+3*$X$3*X63))*$X$8*(-5*$X$9*Y63+9*X63*$X$8-4*$X$9*$X$8))/AG63,"")</f>
        <v>-3.4322617202466366</v>
      </c>
      <c r="AE63" s="2">
        <f t="shared" ref="AE63:AE99" si="27">IF(AND(A63&gt;0,NOT(A63="***")),(3*$X$8*(3*$X$2*Y63-5*W63*$X$3*Y63+2*W63*$X$4)*(2*$X$2*X63*(-Y63+$X$8)+W63*(5*Y63+4*$X$8-6*$X$3*X63*$X$8-3*X63*$X$4)))/AG63,"")</f>
        <v>143.55574641750763</v>
      </c>
      <c r="AF63" s="2">
        <f t="shared" ref="AF63:AF99" si="28">IF(AND(A63&gt;0,NOT(A63="***")),-($X$9*(3*$X$2*Y63-5*W63*$X$3*Y63+2*W63*$X$4)*(6*$X$2*(-X63+$X$9)*Y63+W63*(5*(3-2*$X$3*$X$9)*Y63-9*X63*$X$4+4*$X$9*$X$4)))/AG63,"")</f>
        <v>-1.4928565895258072E-3</v>
      </c>
      <c r="AG63">
        <f t="shared" ref="AG63:AG99" si="29">IF(AND(A63&gt;0,NOT(A63="***")),(3*$X$2*($X$9*Y63-X63*$X$8)+W63*(-5*$X$3*$X$9*Y63-6*$X$8+9*$X$3*X63*$X$8+2*$X$9*$X$4))^2,"")</f>
        <v>238681309.18804294</v>
      </c>
      <c r="AH63"/>
    </row>
    <row r="64" spans="1:34" ht="15">
      <c r="A64">
        <f t="shared" si="18"/>
        <v>51</v>
      </c>
      <c r="C64" s="101">
        <v>1.4111645E-5</v>
      </c>
      <c r="D64" s="101">
        <v>2.1391176E-5</v>
      </c>
      <c r="E64" s="101">
        <v>3.0919173E-5</v>
      </c>
      <c r="F64" s="101">
        <v>1.6049277999999999E-6</v>
      </c>
      <c r="G64" s="101">
        <v>5.0429336000000004E-7</v>
      </c>
      <c r="H64" s="101">
        <v>1.6835950999999999E-5</v>
      </c>
      <c r="I64" s="101">
        <v>0.20644303</v>
      </c>
      <c r="J64" s="101">
        <v>3.0799472999999998E-4</v>
      </c>
      <c r="K64" s="101">
        <v>5.9163659E-2</v>
      </c>
      <c r="L64" s="101">
        <v>8.8196113999999999E-5</v>
      </c>
      <c r="M64" s="101">
        <v>29.103325000000002</v>
      </c>
      <c r="N64" s="101">
        <v>6.5123527E-2</v>
      </c>
      <c r="O64" s="101">
        <v>0.22417159</v>
      </c>
      <c r="P64" s="101">
        <v>32.01446</v>
      </c>
      <c r="Q64" s="106">
        <f t="shared" si="1"/>
        <v>2.7548836994283206</v>
      </c>
      <c r="R64" s="113">
        <f t="shared" si="2"/>
        <v>2.9932460781999996E-4</v>
      </c>
      <c r="S64" s="113">
        <f t="shared" si="3"/>
        <v>0.20644197538942</v>
      </c>
      <c r="T64" s="113">
        <f t="shared" si="4"/>
        <v>5.9145907589500002E-2</v>
      </c>
      <c r="U64" s="113">
        <f t="shared" si="5"/>
        <v>6.5105775589499995E-2</v>
      </c>
      <c r="V64" s="113">
        <f t="shared" si="14"/>
        <v>0.224129975239</v>
      </c>
      <c r="W64" s="101">
        <f t="shared" si="15"/>
        <v>3.490384775599741</v>
      </c>
      <c r="X64" s="101">
        <f t="shared" si="16"/>
        <v>3.4425513437113064</v>
      </c>
      <c r="Y64" s="101">
        <f t="shared" si="17"/>
        <v>491.72995345075293</v>
      </c>
      <c r="Z64" s="101">
        <f t="shared" si="22"/>
        <v>-1.9853787714475181E-4</v>
      </c>
      <c r="AA64" s="2">
        <f t="shared" si="23"/>
        <v>491.5127466280619</v>
      </c>
      <c r="AB64" s="2">
        <f t="shared" si="24"/>
        <v>-482.73194690733203</v>
      </c>
      <c r="AC64" s="2">
        <f t="shared" si="25"/>
        <v>1679.3712013956151</v>
      </c>
      <c r="AD64" s="2">
        <f t="shared" si="26"/>
        <v>-3.4321577413808533</v>
      </c>
      <c r="AE64" s="2">
        <f t="shared" si="27"/>
        <v>143.49996413334193</v>
      </c>
      <c r="AF64" s="2">
        <f t="shared" si="28"/>
        <v>-1.4917580859470786E-3</v>
      </c>
      <c r="AG64">
        <f t="shared" si="29"/>
        <v>238634195.46355522</v>
      </c>
      <c r="AH64"/>
    </row>
    <row r="65" spans="1:34" ht="15">
      <c r="A65">
        <f t="shared" si="18"/>
        <v>52</v>
      </c>
      <c r="C65" s="101">
        <v>2.0299822999999998E-6</v>
      </c>
      <c r="D65" s="101">
        <v>5.0912041000000002E-5</v>
      </c>
      <c r="E65" s="101">
        <v>5.7127514000000003E-5</v>
      </c>
      <c r="F65" s="101">
        <v>1.4447198000000001E-5</v>
      </c>
      <c r="G65" s="101">
        <v>8.9116823000000003E-6</v>
      </c>
      <c r="H65" s="101">
        <v>9.2134090000000002E-6</v>
      </c>
      <c r="I65" s="101">
        <v>0.29070699999999999</v>
      </c>
      <c r="J65" s="101">
        <v>4.4095624000000001E-4</v>
      </c>
      <c r="K65" s="101">
        <v>8.3274772999999996E-2</v>
      </c>
      <c r="L65" s="101">
        <v>1.3149536E-4</v>
      </c>
      <c r="M65" s="101">
        <v>40.970610999999998</v>
      </c>
      <c r="N65" s="101">
        <v>8.3829192999999996E-2</v>
      </c>
      <c r="O65" s="101">
        <v>0.28850874999999998</v>
      </c>
      <c r="P65" s="101">
        <v>41.214655</v>
      </c>
      <c r="Q65" s="106">
        <f t="shared" si="1"/>
        <v>3.1905000781882076</v>
      </c>
      <c r="R65" s="113">
        <f t="shared" si="2"/>
        <v>4.3189369435E-4</v>
      </c>
      <c r="S65" s="113">
        <f t="shared" si="3"/>
        <v>0.29069532055984998</v>
      </c>
      <c r="T65" s="113">
        <f t="shared" si="4"/>
        <v>8.3248301988349996E-2</v>
      </c>
      <c r="U65" s="113">
        <f t="shared" si="5"/>
        <v>8.3802721988349996E-2</v>
      </c>
      <c r="V65" s="113">
        <f t="shared" si="14"/>
        <v>0.28842616646549996</v>
      </c>
      <c r="W65" s="101">
        <f t="shared" si="15"/>
        <v>3.4919069052066756</v>
      </c>
      <c r="X65" s="101">
        <f t="shared" si="16"/>
        <v>3.4417279012201547</v>
      </c>
      <c r="Y65" s="101">
        <f t="shared" si="17"/>
        <v>491.80568389806643</v>
      </c>
      <c r="Z65" s="101">
        <f t="shared" si="22"/>
        <v>2.6498870533034252E-5</v>
      </c>
      <c r="AA65" s="2">
        <f t="shared" si="23"/>
        <v>491.92063178368295</v>
      </c>
      <c r="AB65" s="2">
        <f t="shared" si="24"/>
        <v>-482.69755168639784</v>
      </c>
      <c r="AC65" s="2">
        <f t="shared" si="25"/>
        <v>1680.7457236404862</v>
      </c>
      <c r="AD65" s="2">
        <f t="shared" si="26"/>
        <v>-3.4321060462402997</v>
      </c>
      <c r="AE65" s="2">
        <f t="shared" si="27"/>
        <v>143.53160924082354</v>
      </c>
      <c r="AF65" s="2">
        <f t="shared" si="28"/>
        <v>-1.4929136823080469E-3</v>
      </c>
      <c r="AG65">
        <f t="shared" si="29"/>
        <v>238734584.78453466</v>
      </c>
      <c r="AH65"/>
    </row>
    <row r="66" spans="1:34" ht="15">
      <c r="A66">
        <f t="shared" si="18"/>
        <v>53</v>
      </c>
      <c r="C66" s="101">
        <v>2.0405155999999999E-5</v>
      </c>
      <c r="D66" s="101">
        <v>1.0529943E-5</v>
      </c>
      <c r="E66" s="101">
        <v>5.6097000000000002E-5</v>
      </c>
      <c r="F66" s="101">
        <v>4.1478004000000001E-6</v>
      </c>
      <c r="G66" s="101">
        <v>1.126757E-5</v>
      </c>
      <c r="H66" s="101">
        <v>3.6283567000000002E-5</v>
      </c>
      <c r="I66" s="101">
        <v>0.29533007999999999</v>
      </c>
      <c r="J66" s="101">
        <v>4.3598048999999998E-4</v>
      </c>
      <c r="K66" s="101">
        <v>8.4643697000000004E-2</v>
      </c>
      <c r="L66" s="101">
        <v>1.5057083999999999E-4</v>
      </c>
      <c r="M66" s="101">
        <v>41.632610999999997</v>
      </c>
      <c r="N66" s="101">
        <v>8.5419931000000004E-2</v>
      </c>
      <c r="O66" s="101">
        <v>0.29396878999999998</v>
      </c>
      <c r="P66" s="101">
        <v>41.995355000000004</v>
      </c>
      <c r="Q66" s="106">
        <f t="shared" ref="Q66:Q95" si="30">(L66/P66)*1000000</f>
        <v>3.5854165299948049</v>
      </c>
      <c r="R66" s="113">
        <f t="shared" ref="R66:R95" si="31">J66-((G66+H66)/2)</f>
        <v>4.122049215E-4</v>
      </c>
      <c r="S66" s="113">
        <f t="shared" ref="S66:S95" si="32">I66-((F66+G66)/2)</f>
        <v>0.29532237231480002</v>
      </c>
      <c r="T66" s="113">
        <f t="shared" ref="T66:T95" si="33">K66-((C66+D66)/2)</f>
        <v>8.4628229450499998E-2</v>
      </c>
      <c r="U66" s="113">
        <f t="shared" ref="U66:U95" si="34">N66-((D66+C66)/2)</f>
        <v>8.5404463450499998E-2</v>
      </c>
      <c r="V66" s="113">
        <f t="shared" ref="V66:V95" si="35">O66-((E66+D66/2))</f>
        <v>0.29390742802850001</v>
      </c>
      <c r="W66" s="101">
        <f t="shared" ref="W66:W95" si="36">IF(AND(A66&gt;0,NOT(A66="***")),S66/T66,"")</f>
        <v>3.4896437540092622</v>
      </c>
      <c r="X66" s="101">
        <f t="shared" ref="X66:X95" si="37">IF(AND(A66&gt;0,NOT(A66="***")),V66/U66,"")</f>
        <v>3.4413591064692688</v>
      </c>
      <c r="Y66" s="101">
        <f t="shared" ref="Y66:Y95" si="38">IF(AND(A66&gt;0,NOT(A66="***")),P66/U66,"")</f>
        <v>491.72318756314536</v>
      </c>
      <c r="Z66" s="101">
        <f t="shared" si="22"/>
        <v>-1.5342431607122427E-4</v>
      </c>
      <c r="AA66" s="2">
        <f t="shared" si="23"/>
        <v>491.57256818509472</v>
      </c>
      <c r="AB66" s="2">
        <f t="shared" si="24"/>
        <v>-482.70346945743631</v>
      </c>
      <c r="AC66" s="2">
        <f t="shared" si="25"/>
        <v>1679.0669176346562</v>
      </c>
      <c r="AD66" s="2">
        <f t="shared" si="26"/>
        <v>-3.4311200641368393</v>
      </c>
      <c r="AE66" s="2">
        <f t="shared" si="27"/>
        <v>143.54077977150112</v>
      </c>
      <c r="AF66" s="2">
        <f t="shared" si="28"/>
        <v>-1.4923036531382392E-3</v>
      </c>
      <c r="AG66">
        <f t="shared" si="29"/>
        <v>238511341.10077849</v>
      </c>
      <c r="AH66"/>
    </row>
    <row r="67" spans="1:34" ht="15">
      <c r="A67">
        <f t="shared" si="18"/>
        <v>54</v>
      </c>
      <c r="C67" s="101">
        <v>1.0085010999999999E-5</v>
      </c>
      <c r="D67" s="101">
        <v>3.9011762000000001E-5</v>
      </c>
      <c r="E67" s="101">
        <v>6.3697979999999998E-5</v>
      </c>
      <c r="F67" s="101">
        <v>1.045039E-5</v>
      </c>
      <c r="G67" s="101">
        <v>2.0412681999999999E-5</v>
      </c>
      <c r="H67" s="101">
        <v>2.5108997000000001E-5</v>
      </c>
      <c r="I67" s="101">
        <v>0.30097372</v>
      </c>
      <c r="J67" s="101">
        <v>4.2857235000000001E-4</v>
      </c>
      <c r="K67" s="101">
        <v>8.6257391000000003E-2</v>
      </c>
      <c r="L67" s="101">
        <v>1.4333267000000001E-4</v>
      </c>
      <c r="M67" s="101">
        <v>42.423940000000002</v>
      </c>
      <c r="N67" s="101">
        <v>8.6533135999999997E-2</v>
      </c>
      <c r="O67" s="101">
        <v>0.29794134999999999</v>
      </c>
      <c r="P67" s="101">
        <v>42.559089</v>
      </c>
      <c r="Q67" s="106">
        <f t="shared" si="30"/>
        <v>3.3678509894795918</v>
      </c>
      <c r="R67" s="113">
        <f t="shared" si="31"/>
        <v>4.0581151050000003E-4</v>
      </c>
      <c r="S67" s="113">
        <f t="shared" si="32"/>
        <v>0.30095828846400002</v>
      </c>
      <c r="T67" s="113">
        <f t="shared" si="33"/>
        <v>8.6232842613500005E-2</v>
      </c>
      <c r="U67" s="113">
        <f t="shared" si="34"/>
        <v>8.6508587613499999E-2</v>
      </c>
      <c r="V67" s="113">
        <f t="shared" si="35"/>
        <v>0.29785814613899997</v>
      </c>
      <c r="W67" s="101">
        <f t="shared" si="36"/>
        <v>3.4900657260356174</v>
      </c>
      <c r="X67" s="101">
        <f t="shared" si="37"/>
        <v>3.4431049489532768</v>
      </c>
      <c r="Y67" s="101">
        <f t="shared" si="38"/>
        <v>491.96374804018291</v>
      </c>
      <c r="Z67" s="101">
        <f t="shared" si="22"/>
        <v>-2.8266250222361636E-4</v>
      </c>
      <c r="AA67" s="2">
        <f t="shared" si="23"/>
        <v>491.62214641522343</v>
      </c>
      <c r="AB67" s="2">
        <f t="shared" si="24"/>
        <v>-483.00226160749094</v>
      </c>
      <c r="AC67" s="2">
        <f t="shared" si="25"/>
        <v>1679.8714953192443</v>
      </c>
      <c r="AD67" s="2">
        <f t="shared" si="26"/>
        <v>-3.4324234922564956</v>
      </c>
      <c r="AE67" s="2">
        <f t="shared" si="27"/>
        <v>143.57997628252576</v>
      </c>
      <c r="AF67" s="2">
        <f t="shared" si="28"/>
        <v>-1.4928116763464219E-3</v>
      </c>
      <c r="AG67">
        <f t="shared" si="29"/>
        <v>238630481.53967634</v>
      </c>
      <c r="AH67"/>
    </row>
    <row r="68" spans="1:34" ht="15">
      <c r="A68">
        <f t="shared" si="18"/>
        <v>55</v>
      </c>
      <c r="C68" s="101">
        <v>-1.9763474E-6</v>
      </c>
      <c r="D68" s="101">
        <v>2.1112844999999999E-5</v>
      </c>
      <c r="E68" s="101">
        <v>6.8250398000000001E-5</v>
      </c>
      <c r="F68" s="101">
        <v>-9.8369853999999996E-6</v>
      </c>
      <c r="G68" s="101">
        <v>1.8338915999999999E-5</v>
      </c>
      <c r="H68" s="101">
        <v>5.7159255000000004E-6</v>
      </c>
      <c r="I68" s="101">
        <v>0.31998333000000001</v>
      </c>
      <c r="J68" s="101">
        <v>4.6924403E-4</v>
      </c>
      <c r="K68" s="101">
        <v>9.1691445999999996E-2</v>
      </c>
      <c r="L68" s="101">
        <v>1.1134415999999999E-4</v>
      </c>
      <c r="M68" s="101">
        <v>45.106285999999997</v>
      </c>
      <c r="N68" s="101">
        <v>9.2054213999999995E-2</v>
      </c>
      <c r="O68" s="101">
        <v>0.31688870000000002</v>
      </c>
      <c r="P68" s="101">
        <v>45.267135000000003</v>
      </c>
      <c r="Q68" s="106">
        <f t="shared" si="30"/>
        <v>2.4597129904510191</v>
      </c>
      <c r="R68" s="113">
        <f t="shared" si="31"/>
        <v>4.5721660924999999E-4</v>
      </c>
      <c r="S68" s="113">
        <f t="shared" si="32"/>
        <v>0.31997907903470002</v>
      </c>
      <c r="T68" s="113">
        <f t="shared" si="33"/>
        <v>9.16818777512E-2</v>
      </c>
      <c r="U68" s="113">
        <f t="shared" si="34"/>
        <v>9.2044645751199999E-2</v>
      </c>
      <c r="V68" s="113">
        <f t="shared" si="35"/>
        <v>0.31680989317950004</v>
      </c>
      <c r="W68" s="101">
        <f t="shared" si="36"/>
        <v>3.4901017178447993</v>
      </c>
      <c r="X68" s="101">
        <f t="shared" si="37"/>
        <v>3.4419155030032775</v>
      </c>
      <c r="Y68" s="101">
        <f t="shared" si="38"/>
        <v>491.79541765371886</v>
      </c>
      <c r="Z68" s="101">
        <f t="shared" si="22"/>
        <v>-1.6379276218482833E-4</v>
      </c>
      <c r="AA68" s="2">
        <f t="shared" si="23"/>
        <v>491.62947823116423</v>
      </c>
      <c r="AB68" s="2">
        <f t="shared" si="24"/>
        <v>-482.77943636587958</v>
      </c>
      <c r="AC68" s="2">
        <f t="shared" si="25"/>
        <v>1679.5167238650126</v>
      </c>
      <c r="AD68" s="2">
        <f t="shared" si="26"/>
        <v>-3.4316412377546612</v>
      </c>
      <c r="AE68" s="2">
        <f t="shared" si="27"/>
        <v>143.54711166649008</v>
      </c>
      <c r="AF68" s="2">
        <f t="shared" si="28"/>
        <v>-1.4924848473538786E-3</v>
      </c>
      <c r="AG68">
        <f t="shared" si="29"/>
        <v>238578789.64689997</v>
      </c>
      <c r="AH68"/>
    </row>
    <row r="69" spans="1:34" ht="15">
      <c r="A69">
        <f t="shared" si="18"/>
        <v>56</v>
      </c>
      <c r="C69" s="101">
        <v>8.7430543000000004E-7</v>
      </c>
      <c r="D69" s="101">
        <v>3.4863290999999997E-5</v>
      </c>
      <c r="E69" s="101">
        <v>6.8099853000000007E-5</v>
      </c>
      <c r="F69" s="101">
        <v>-6.8396144000000003E-6</v>
      </c>
      <c r="G69" s="101">
        <v>1.5363662999999999E-5</v>
      </c>
      <c r="H69" s="101">
        <v>1.150404E-5</v>
      </c>
      <c r="I69" s="101">
        <v>0.32458241999999998</v>
      </c>
      <c r="J69" s="101">
        <v>4.7684459E-4</v>
      </c>
      <c r="K69" s="101">
        <v>9.3054362000000002E-2</v>
      </c>
      <c r="L69" s="101">
        <v>1.3090215000000001E-4</v>
      </c>
      <c r="M69" s="101">
        <v>45.760232000000002</v>
      </c>
      <c r="N69" s="101">
        <v>9.2952061000000002E-2</v>
      </c>
      <c r="O69" s="101">
        <v>0.32003608</v>
      </c>
      <c r="P69" s="101">
        <v>45.712739999999997</v>
      </c>
      <c r="Q69" s="106">
        <f t="shared" si="30"/>
        <v>2.8635813560946035</v>
      </c>
      <c r="R69" s="113">
        <f t="shared" si="31"/>
        <v>4.6341073850000001E-4</v>
      </c>
      <c r="S69" s="113">
        <f t="shared" si="32"/>
        <v>0.3245781579757</v>
      </c>
      <c r="T69" s="113">
        <f t="shared" si="33"/>
        <v>9.3036493201785003E-2</v>
      </c>
      <c r="U69" s="113">
        <f t="shared" si="34"/>
        <v>9.2934192201785004E-2</v>
      </c>
      <c r="V69" s="113">
        <f t="shared" si="35"/>
        <v>0.31995054850150001</v>
      </c>
      <c r="W69" s="101">
        <f t="shared" si="36"/>
        <v>3.4887187468655863</v>
      </c>
      <c r="X69" s="101">
        <f t="shared" si="37"/>
        <v>3.4427646157057215</v>
      </c>
      <c r="Y69" s="101">
        <f t="shared" si="38"/>
        <v>491.88290032957303</v>
      </c>
      <c r="Z69" s="101">
        <f t="shared" si="22"/>
        <v>-3.7800042854433107E-4</v>
      </c>
      <c r="AA69" s="2">
        <f t="shared" si="23"/>
        <v>491.40044659391714</v>
      </c>
      <c r="AB69" s="2">
        <f t="shared" si="24"/>
        <v>-482.96891860234501</v>
      </c>
      <c r="AC69" s="2">
        <f t="shared" si="25"/>
        <v>1678.7833808170303</v>
      </c>
      <c r="AD69" s="2">
        <f t="shared" si="26"/>
        <v>-3.4317555655244316</v>
      </c>
      <c r="AE69" s="2">
        <f t="shared" si="27"/>
        <v>143.57643288738799</v>
      </c>
      <c r="AF69" s="2">
        <f t="shared" si="28"/>
        <v>-1.4923252658423972E-3</v>
      </c>
      <c r="AG69">
        <f t="shared" si="29"/>
        <v>238492066.0631173</v>
      </c>
      <c r="AH69"/>
    </row>
    <row r="70" spans="1:34" ht="15">
      <c r="A70">
        <f t="shared" si="18"/>
        <v>57</v>
      </c>
      <c r="C70" s="101">
        <v>-4.6263908999999999E-6</v>
      </c>
      <c r="D70" s="101">
        <v>2.9434675999999999E-5</v>
      </c>
      <c r="E70" s="101">
        <v>5.8517707999999999E-5</v>
      </c>
      <c r="F70" s="101">
        <v>-2.8224081000000001E-5</v>
      </c>
      <c r="G70" s="101">
        <v>2.617603E-5</v>
      </c>
      <c r="H70" s="101">
        <v>6.8051831999999995E-7</v>
      </c>
      <c r="I70" s="101">
        <v>0.32930034000000002</v>
      </c>
      <c r="J70" s="101">
        <v>4.8367228000000001E-4</v>
      </c>
      <c r="K70" s="101">
        <v>9.4382148999999999E-2</v>
      </c>
      <c r="L70" s="101">
        <v>1.3354792000000001E-4</v>
      </c>
      <c r="M70" s="101">
        <v>46.425288000000002</v>
      </c>
      <c r="N70" s="101">
        <v>9.4297117E-2</v>
      </c>
      <c r="O70" s="101">
        <v>0.32472129</v>
      </c>
      <c r="P70" s="101">
        <v>46.386975999999997</v>
      </c>
      <c r="Q70" s="106">
        <f t="shared" si="30"/>
        <v>2.8789960354389135</v>
      </c>
      <c r="R70" s="113">
        <f t="shared" si="31"/>
        <v>4.7024400584000001E-4</v>
      </c>
      <c r="S70" s="113">
        <f t="shared" si="32"/>
        <v>0.32930136402550003</v>
      </c>
      <c r="T70" s="113">
        <f t="shared" si="33"/>
        <v>9.4369744857450005E-2</v>
      </c>
      <c r="U70" s="113">
        <f t="shared" si="34"/>
        <v>9.4284712857450007E-2</v>
      </c>
      <c r="V70" s="113">
        <f t="shared" si="35"/>
        <v>0.32464805495400001</v>
      </c>
      <c r="W70" s="101">
        <f t="shared" si="36"/>
        <v>3.4894802833569747</v>
      </c>
      <c r="X70" s="101">
        <f t="shared" si="37"/>
        <v>3.4432735182090295</v>
      </c>
      <c r="Y70" s="101">
        <f t="shared" si="38"/>
        <v>491.98830429841712</v>
      </c>
      <c r="Z70" s="101">
        <f t="shared" si="22"/>
        <v>-3.5479749552652553E-4</v>
      </c>
      <c r="AA70" s="2">
        <f t="shared" si="23"/>
        <v>491.54006268354186</v>
      </c>
      <c r="AB70" s="2">
        <f t="shared" si="24"/>
        <v>-483.06126105302377</v>
      </c>
      <c r="AC70" s="2">
        <f t="shared" si="25"/>
        <v>1679.5498196402596</v>
      </c>
      <c r="AD70" s="2">
        <f t="shared" si="26"/>
        <v>-3.4323444823239786</v>
      </c>
      <c r="AE70" s="2">
        <f t="shared" si="27"/>
        <v>143.59285535352265</v>
      </c>
      <c r="AF70" s="2">
        <f t="shared" si="28"/>
        <v>-1.492779123928413E-3</v>
      </c>
      <c r="AG70">
        <f t="shared" si="29"/>
        <v>238584921.1062277</v>
      </c>
      <c r="AH70"/>
    </row>
    <row r="71" spans="1:34" ht="15">
      <c r="A71">
        <f t="shared" si="18"/>
        <v>58</v>
      </c>
      <c r="C71" s="101">
        <v>2.0394847000000001E-6</v>
      </c>
      <c r="D71" s="101">
        <v>4.4646805000000001E-5</v>
      </c>
      <c r="E71" s="101">
        <v>6.1114588000000007E-5</v>
      </c>
      <c r="F71" s="101">
        <v>-1.4732428E-5</v>
      </c>
      <c r="G71" s="101">
        <v>1.5207070999999999E-5</v>
      </c>
      <c r="H71" s="101">
        <v>2.5910493999999999E-5</v>
      </c>
      <c r="I71" s="101">
        <v>0.33170250000000001</v>
      </c>
      <c r="J71" s="101">
        <v>5.0174431999999995E-4</v>
      </c>
      <c r="K71" s="101">
        <v>9.5078151E-2</v>
      </c>
      <c r="L71" s="101">
        <v>1.4376560999999999E-4</v>
      </c>
      <c r="M71" s="101">
        <v>46.762377999999998</v>
      </c>
      <c r="N71" s="101">
        <v>9.5139581000000001E-2</v>
      </c>
      <c r="O71" s="101">
        <v>0.32752708000000003</v>
      </c>
      <c r="P71" s="101">
        <v>46.788015000000001</v>
      </c>
      <c r="Q71" s="106">
        <f t="shared" si="30"/>
        <v>3.0727016309625439</v>
      </c>
      <c r="R71" s="113">
        <f t="shared" si="31"/>
        <v>4.8118553749999993E-4</v>
      </c>
      <c r="S71" s="113">
        <f t="shared" si="32"/>
        <v>0.3317022626785</v>
      </c>
      <c r="T71" s="113">
        <f t="shared" si="33"/>
        <v>9.5054807855149998E-2</v>
      </c>
      <c r="U71" s="113">
        <f t="shared" si="34"/>
        <v>9.5116237855149999E-2</v>
      </c>
      <c r="V71" s="113">
        <f t="shared" si="35"/>
        <v>0.32744364200950005</v>
      </c>
      <c r="W71" s="101">
        <f t="shared" si="36"/>
        <v>3.4895895343238932</v>
      </c>
      <c r="X71" s="101">
        <f t="shared" si="37"/>
        <v>3.4425630091483992</v>
      </c>
      <c r="Y71" s="101">
        <f t="shared" si="38"/>
        <v>491.90354933142152</v>
      </c>
      <c r="Z71" s="101">
        <f t="shared" si="22"/>
        <v>-2.7545688686114321E-4</v>
      </c>
      <c r="AA71" s="2">
        <f t="shared" si="23"/>
        <v>491.57262491196599</v>
      </c>
      <c r="AB71" s="2">
        <f t="shared" si="24"/>
        <v>-482.93963170649107</v>
      </c>
      <c r="AC71" s="2">
        <f t="shared" si="25"/>
        <v>1679.4485521323345</v>
      </c>
      <c r="AD71" s="2">
        <f t="shared" si="26"/>
        <v>-3.4319060577972271</v>
      </c>
      <c r="AE71" s="2">
        <f t="shared" si="27"/>
        <v>143.5781832037255</v>
      </c>
      <c r="AF71" s="2">
        <f t="shared" si="28"/>
        <v>-1.492692623049324E-3</v>
      </c>
      <c r="AG71">
        <f t="shared" si="29"/>
        <v>238562018.39502317</v>
      </c>
      <c r="AH71"/>
    </row>
    <row r="72" spans="1:34" ht="15">
      <c r="A72">
        <f t="shared" si="18"/>
        <v>59</v>
      </c>
      <c r="C72" s="101">
        <v>-1.6535234E-5</v>
      </c>
      <c r="D72" s="101">
        <v>4.1112200999999999E-5</v>
      </c>
      <c r="E72" s="101">
        <v>7.5136242000000002E-5</v>
      </c>
      <c r="F72" s="101">
        <v>-1.6051554000000001E-5</v>
      </c>
      <c r="G72" s="101">
        <v>1.2858192999999999E-5</v>
      </c>
      <c r="H72" s="101">
        <v>2.1431977000000001E-5</v>
      </c>
      <c r="I72" s="101">
        <v>0.33667799999999998</v>
      </c>
      <c r="J72" s="101">
        <v>5.1008308000000005E-4</v>
      </c>
      <c r="K72" s="101">
        <v>9.6503496999999994E-2</v>
      </c>
      <c r="L72" s="101">
        <v>1.6071493999999999E-4</v>
      </c>
      <c r="M72" s="101">
        <v>47.467070999999997</v>
      </c>
      <c r="N72" s="101">
        <v>9.6586103000000006E-2</v>
      </c>
      <c r="O72" s="101">
        <v>0.33254845999999999</v>
      </c>
      <c r="P72" s="101">
        <v>47.503900999999999</v>
      </c>
      <c r="Q72" s="106">
        <f t="shared" si="30"/>
        <v>3.3831945717468548</v>
      </c>
      <c r="R72" s="113">
        <f t="shared" si="31"/>
        <v>4.9293799500000008E-4</v>
      </c>
      <c r="S72" s="113">
        <f t="shared" si="32"/>
        <v>0.33667959668049996</v>
      </c>
      <c r="T72" s="113">
        <f t="shared" si="33"/>
        <v>9.6491208516499991E-2</v>
      </c>
      <c r="U72" s="113">
        <f t="shared" si="34"/>
        <v>9.6573814516500003E-2</v>
      </c>
      <c r="V72" s="113">
        <f t="shared" si="35"/>
        <v>0.33245276765749998</v>
      </c>
      <c r="W72" s="101">
        <f t="shared" si="36"/>
        <v>3.4892256181341925</v>
      </c>
      <c r="X72" s="101">
        <f t="shared" si="37"/>
        <v>3.4424731934006725</v>
      </c>
      <c r="Y72" s="101">
        <f t="shared" si="38"/>
        <v>491.89214734687505</v>
      </c>
      <c r="Z72" s="101">
        <f t="shared" si="22"/>
        <v>-3.0142349359995918E-4</v>
      </c>
      <c r="AA72" s="2">
        <f t="shared" si="23"/>
        <v>491.5228580760006</v>
      </c>
      <c r="AB72" s="2">
        <f t="shared" si="24"/>
        <v>-482.94098048493692</v>
      </c>
      <c r="AC72" s="2">
        <f t="shared" si="25"/>
        <v>1679.1898398294536</v>
      </c>
      <c r="AD72" s="2">
        <f t="shared" si="26"/>
        <v>-3.4317270764024568</v>
      </c>
      <c r="AE72" s="2">
        <f t="shared" si="27"/>
        <v>143.58123597262372</v>
      </c>
      <c r="AF72" s="2">
        <f t="shared" si="28"/>
        <v>-1.4926234431819202E-3</v>
      </c>
      <c r="AG72">
        <f t="shared" si="29"/>
        <v>238524707.67094949</v>
      </c>
      <c r="AH72"/>
    </row>
    <row r="73" spans="1:34" ht="15">
      <c r="A73">
        <f t="shared" si="18"/>
        <v>60</v>
      </c>
      <c r="C73" s="101">
        <v>-1.6131885999999999E-5</v>
      </c>
      <c r="D73" s="101">
        <v>2.3455466E-5</v>
      </c>
      <c r="E73" s="101">
        <v>7.0113511000000002E-5</v>
      </c>
      <c r="F73" s="101">
        <v>-1.9675383000000002E-5</v>
      </c>
      <c r="G73" s="101">
        <v>8.5200564999999993E-6</v>
      </c>
      <c r="H73" s="101">
        <v>2.3895057999999999E-5</v>
      </c>
      <c r="I73" s="101">
        <v>0.34115809000000002</v>
      </c>
      <c r="J73" s="101">
        <v>4.9900967000000005E-4</v>
      </c>
      <c r="K73" s="101">
        <v>9.7787578E-2</v>
      </c>
      <c r="L73" s="101">
        <v>1.2630498E-4</v>
      </c>
      <c r="M73" s="101">
        <v>48.095742000000001</v>
      </c>
      <c r="N73" s="101">
        <v>9.8114906000000002E-2</v>
      </c>
      <c r="O73" s="101">
        <v>0.33777761000000001</v>
      </c>
      <c r="P73" s="101">
        <v>48.248123</v>
      </c>
      <c r="Q73" s="106">
        <f t="shared" si="30"/>
        <v>2.6178216300766768</v>
      </c>
      <c r="R73" s="113">
        <f t="shared" si="31"/>
        <v>4.8280211275000004E-4</v>
      </c>
      <c r="S73" s="113">
        <f t="shared" si="32"/>
        <v>0.34116366766325001</v>
      </c>
      <c r="T73" s="113">
        <f t="shared" si="33"/>
        <v>9.7783916210000002E-2</v>
      </c>
      <c r="U73" s="113">
        <f t="shared" si="34"/>
        <v>9.8111244210000004E-2</v>
      </c>
      <c r="V73" s="113">
        <f t="shared" si="35"/>
        <v>0.33769576875599999</v>
      </c>
      <c r="W73" s="101">
        <f t="shared" si="36"/>
        <v>3.488954839265892</v>
      </c>
      <c r="X73" s="101">
        <f t="shared" si="37"/>
        <v>3.4419680585559256</v>
      </c>
      <c r="Y73" s="101">
        <f t="shared" si="38"/>
        <v>491.76955596168358</v>
      </c>
      <c r="Z73" s="101">
        <f t="shared" si="22"/>
        <v>-2.7821205003788428E-4</v>
      </c>
      <c r="AA73" s="2">
        <f t="shared" si="23"/>
        <v>491.43463824489254</v>
      </c>
      <c r="AB73" s="2">
        <f t="shared" si="24"/>
        <v>-482.80932900759063</v>
      </c>
      <c r="AC73" s="2">
        <f t="shared" si="25"/>
        <v>1678.6806851566371</v>
      </c>
      <c r="AD73" s="2">
        <f t="shared" si="26"/>
        <v>-3.4313011645843177</v>
      </c>
      <c r="AE73" s="2">
        <f t="shared" si="27"/>
        <v>143.55128219685676</v>
      </c>
      <c r="AF73" s="2">
        <f t="shared" si="28"/>
        <v>-1.4921331861872905E-3</v>
      </c>
      <c r="AG73">
        <f t="shared" si="29"/>
        <v>238476771.36768663</v>
      </c>
      <c r="AH73"/>
    </row>
    <row r="74" spans="1:34" ht="15">
      <c r="A74">
        <f t="shared" si="18"/>
        <v>61</v>
      </c>
      <c r="C74" s="101">
        <v>1.3820483E-7</v>
      </c>
      <c r="D74" s="101">
        <v>1.5701922999999999E-5</v>
      </c>
      <c r="E74" s="101">
        <v>8.3402270000000004E-5</v>
      </c>
      <c r="F74" s="101">
        <v>-2.4628720000000002E-5</v>
      </c>
      <c r="G74" s="101">
        <v>2.4869871000000001E-5</v>
      </c>
      <c r="H74" s="101">
        <v>3.6892384000000002E-5</v>
      </c>
      <c r="I74" s="101">
        <v>0.34508907999999999</v>
      </c>
      <c r="J74" s="101">
        <v>5.0406585999999997E-4</v>
      </c>
      <c r="K74" s="101">
        <v>9.8934707999999996E-2</v>
      </c>
      <c r="L74" s="101">
        <v>1.4770517000000001E-4</v>
      </c>
      <c r="M74" s="101">
        <v>48.649118000000001</v>
      </c>
      <c r="N74" s="101">
        <v>9.9517335999999998E-2</v>
      </c>
      <c r="O74" s="101">
        <v>0.34264661000000002</v>
      </c>
      <c r="P74" s="101">
        <v>48.945853999999997</v>
      </c>
      <c r="Q74" s="106">
        <f t="shared" si="30"/>
        <v>3.0177258731658867</v>
      </c>
      <c r="R74" s="113">
        <f t="shared" si="31"/>
        <v>4.7318473249999997E-4</v>
      </c>
      <c r="S74" s="113">
        <f t="shared" si="32"/>
        <v>0.34508895942450002</v>
      </c>
      <c r="T74" s="113">
        <f t="shared" si="33"/>
        <v>9.8926787936084989E-2</v>
      </c>
      <c r="U74" s="113">
        <f t="shared" si="34"/>
        <v>9.9509415936084991E-2</v>
      </c>
      <c r="V74" s="113">
        <f t="shared" si="35"/>
        <v>0.34255535676850002</v>
      </c>
      <c r="W74" s="101">
        <f t="shared" si="36"/>
        <v>3.4883267376219318</v>
      </c>
      <c r="X74" s="101">
        <f t="shared" si="37"/>
        <v>3.442441637769472</v>
      </c>
      <c r="Y74" s="101">
        <f t="shared" si="38"/>
        <v>491.87158360408802</v>
      </c>
      <c r="Z74" s="101">
        <f t="shared" si="22"/>
        <v>-3.8402823231361931E-4</v>
      </c>
      <c r="AA74" s="2">
        <f t="shared" si="23"/>
        <v>491.38022367359684</v>
      </c>
      <c r="AB74" s="2">
        <f t="shared" si="24"/>
        <v>-482.96070575049816</v>
      </c>
      <c r="AC74" s="2">
        <f t="shared" si="25"/>
        <v>1678.5453028420882</v>
      </c>
      <c r="AD74" s="2">
        <f t="shared" si="26"/>
        <v>-3.4314118733503398</v>
      </c>
      <c r="AE74" s="2">
        <f t="shared" si="27"/>
        <v>143.58642055375446</v>
      </c>
      <c r="AF74" s="2">
        <f t="shared" si="28"/>
        <v>-1.4923880573605866E-3</v>
      </c>
      <c r="AG74">
        <f t="shared" si="29"/>
        <v>238441381.35703126</v>
      </c>
      <c r="AH74"/>
    </row>
    <row r="75" spans="1:34" ht="15">
      <c r="A75">
        <f t="shared" si="18"/>
        <v>62</v>
      </c>
      <c r="C75" s="101">
        <v>1.5254721000000001E-6</v>
      </c>
      <c r="D75" s="101">
        <v>1.3884465999999999E-5</v>
      </c>
      <c r="E75" s="101">
        <v>6.7771963E-5</v>
      </c>
      <c r="F75" s="101">
        <v>-3.2680666999999997E-5</v>
      </c>
      <c r="G75" s="101">
        <v>4.6140227E-6</v>
      </c>
      <c r="H75" s="101">
        <v>3.1493589000000003E-5</v>
      </c>
      <c r="I75" s="101">
        <v>0.34858699999999998</v>
      </c>
      <c r="J75" s="101">
        <v>4.9359258000000001E-4</v>
      </c>
      <c r="K75" s="101">
        <v>9.9913576000000004E-2</v>
      </c>
      <c r="L75" s="101">
        <v>1.4358015999999999E-4</v>
      </c>
      <c r="M75" s="101">
        <v>49.143844999999999</v>
      </c>
      <c r="N75" s="101">
        <v>0.10016678</v>
      </c>
      <c r="O75" s="101">
        <v>0.34490825000000003</v>
      </c>
      <c r="P75" s="101">
        <v>49.269950000000001</v>
      </c>
      <c r="Q75" s="106">
        <f t="shared" si="30"/>
        <v>2.9141527442183319</v>
      </c>
      <c r="R75" s="113">
        <f t="shared" si="31"/>
        <v>4.7553877415000003E-4</v>
      </c>
      <c r="S75" s="113">
        <f t="shared" si="32"/>
        <v>0.34860103332214998</v>
      </c>
      <c r="T75" s="113">
        <f t="shared" si="33"/>
        <v>9.990587103095E-2</v>
      </c>
      <c r="U75" s="113">
        <f t="shared" si="34"/>
        <v>0.10015907503094999</v>
      </c>
      <c r="V75" s="113">
        <f t="shared" si="35"/>
        <v>0.344833535804</v>
      </c>
      <c r="W75" s="101">
        <f t="shared" si="36"/>
        <v>3.489294770416008</v>
      </c>
      <c r="X75" s="101">
        <f t="shared" si="37"/>
        <v>3.4428586296093844</v>
      </c>
      <c r="Y75" s="101">
        <f t="shared" si="38"/>
        <v>491.91698290719211</v>
      </c>
      <c r="Z75" s="101">
        <f t="shared" si="22"/>
        <v>-3.3222910323328061E-4</v>
      </c>
      <c r="AA75" s="2">
        <f t="shared" si="23"/>
        <v>491.50215503678697</v>
      </c>
      <c r="AB75" s="2">
        <f t="shared" si="24"/>
        <v>-482.98027797225222</v>
      </c>
      <c r="AC75" s="2">
        <f t="shared" si="25"/>
        <v>1679.2555154844822</v>
      </c>
      <c r="AD75" s="2">
        <f t="shared" si="26"/>
        <v>-3.4320068481531694</v>
      </c>
      <c r="AE75" s="2">
        <f t="shared" si="27"/>
        <v>143.57919645260955</v>
      </c>
      <c r="AF75" s="2">
        <f t="shared" si="28"/>
        <v>-1.4925602582550766E-3</v>
      </c>
      <c r="AG75">
        <f t="shared" si="29"/>
        <v>238548862.34410411</v>
      </c>
      <c r="AH75"/>
    </row>
    <row r="76" spans="1:34" ht="15">
      <c r="A76">
        <f t="shared" si="18"/>
        <v>63</v>
      </c>
      <c r="C76" s="101">
        <v>-6.8659579000000002E-6</v>
      </c>
      <c r="D76" s="101">
        <v>1.9446774E-5</v>
      </c>
      <c r="E76" s="101">
        <v>8.7272597999999996E-5</v>
      </c>
      <c r="F76" s="101">
        <v>-3.6804626000000001E-5</v>
      </c>
      <c r="G76" s="101">
        <v>2.4994455999999999E-5</v>
      </c>
      <c r="H76" s="101">
        <v>2.8674893E-5</v>
      </c>
      <c r="I76" s="101">
        <v>0.34952390999999999</v>
      </c>
      <c r="J76" s="101">
        <v>5.1738439999999999E-4</v>
      </c>
      <c r="K76" s="101">
        <v>0.1002046</v>
      </c>
      <c r="L76" s="101">
        <v>1.6620017999999999E-4</v>
      </c>
      <c r="M76" s="101">
        <v>49.279134999999997</v>
      </c>
      <c r="N76" s="101">
        <v>0.10016279</v>
      </c>
      <c r="O76" s="101">
        <v>0.3448696</v>
      </c>
      <c r="P76" s="101">
        <v>49.262690999999997</v>
      </c>
      <c r="Q76" s="106">
        <f t="shared" si="30"/>
        <v>3.3737535775298997</v>
      </c>
      <c r="R76" s="113">
        <f t="shared" si="31"/>
        <v>4.9054972549999998E-4</v>
      </c>
      <c r="S76" s="113">
        <f t="shared" si="32"/>
        <v>0.34952981508499997</v>
      </c>
      <c r="T76" s="113">
        <f t="shared" si="33"/>
        <v>0.10019830959195</v>
      </c>
      <c r="U76" s="113">
        <f t="shared" si="34"/>
        <v>0.10015649959195</v>
      </c>
      <c r="V76" s="113">
        <f t="shared" si="35"/>
        <v>0.34477260401499998</v>
      </c>
      <c r="W76" s="101">
        <f t="shared" si="36"/>
        <v>3.4883803579963932</v>
      </c>
      <c r="X76" s="101">
        <f t="shared" si="37"/>
        <v>3.4423387939838785</v>
      </c>
      <c r="Y76" s="101">
        <f t="shared" si="38"/>
        <v>491.85715555857394</v>
      </c>
      <c r="Z76" s="101">
        <f t="shared" si="22"/>
        <v>-3.6894084896646977E-4</v>
      </c>
      <c r="AA76" s="2">
        <f t="shared" si="23"/>
        <v>491.3881084447508</v>
      </c>
      <c r="AB76" s="2">
        <f t="shared" si="24"/>
        <v>-482.93923705897652</v>
      </c>
      <c r="AC76" s="2">
        <f t="shared" si="25"/>
        <v>1678.5476900359267</v>
      </c>
      <c r="AD76" s="2">
        <f t="shared" si="26"/>
        <v>-3.4313607859658783</v>
      </c>
      <c r="AE76" s="2">
        <f t="shared" si="27"/>
        <v>143.58293692728631</v>
      </c>
      <c r="AF76" s="2">
        <f t="shared" si="28"/>
        <v>-1.49236784272195E-3</v>
      </c>
      <c r="AG76">
        <f t="shared" si="29"/>
        <v>238441514.34966719</v>
      </c>
      <c r="AH76"/>
    </row>
    <row r="77" spans="1:34" ht="15">
      <c r="A77">
        <f t="shared" si="18"/>
        <v>64</v>
      </c>
      <c r="C77" s="101">
        <v>-2.2804206000000001E-5</v>
      </c>
      <c r="D77" s="101">
        <v>3.1250183999999997E-5</v>
      </c>
      <c r="E77" s="101">
        <v>8.2783317000000004E-5</v>
      </c>
      <c r="F77" s="101">
        <v>-3.5711438999999998E-5</v>
      </c>
      <c r="G77" s="101">
        <v>1.0462087E-5</v>
      </c>
      <c r="H77" s="101">
        <v>3.6855099000000003E-5</v>
      </c>
      <c r="I77" s="101">
        <v>0.34923783000000003</v>
      </c>
      <c r="J77" s="101">
        <v>5.0201347999999997E-4</v>
      </c>
      <c r="K77" s="101">
        <v>0.1000974</v>
      </c>
      <c r="L77" s="101">
        <v>1.4830736E-4</v>
      </c>
      <c r="M77" s="101">
        <v>49.239438</v>
      </c>
      <c r="N77" s="101">
        <v>0.10003341</v>
      </c>
      <c r="O77" s="101">
        <v>0.34431998000000003</v>
      </c>
      <c r="P77" s="101">
        <v>49.190446999999999</v>
      </c>
      <c r="Q77" s="106">
        <f t="shared" si="30"/>
        <v>3.0149626410184887</v>
      </c>
      <c r="R77" s="113">
        <f t="shared" si="31"/>
        <v>4.7835488699999999E-4</v>
      </c>
      <c r="S77" s="113">
        <f t="shared" si="32"/>
        <v>0.34925045467600002</v>
      </c>
      <c r="T77" s="113">
        <f t="shared" si="33"/>
        <v>0.100093177011</v>
      </c>
      <c r="U77" s="113">
        <f t="shared" si="34"/>
        <v>0.100029187011</v>
      </c>
      <c r="V77" s="113">
        <f t="shared" si="35"/>
        <v>0.34422157159100003</v>
      </c>
      <c r="W77" s="101">
        <f t="shared" si="36"/>
        <v>3.489253364768492</v>
      </c>
      <c r="X77" s="101">
        <f t="shared" si="37"/>
        <v>3.4412113291808191</v>
      </c>
      <c r="Y77" s="101">
        <f t="shared" si="38"/>
        <v>491.76093968044177</v>
      </c>
      <c r="Z77" s="101">
        <f t="shared" si="22"/>
        <v>-1.7629249577359564E-4</v>
      </c>
      <c r="AA77" s="2">
        <f t="shared" si="23"/>
        <v>491.57653923777224</v>
      </c>
      <c r="AB77" s="2">
        <f t="shared" si="24"/>
        <v>-482.75159390969947</v>
      </c>
      <c r="AC77" s="2">
        <f t="shared" si="25"/>
        <v>1678.9683900347832</v>
      </c>
      <c r="AD77" s="2">
        <f t="shared" si="26"/>
        <v>-3.4308939740728128</v>
      </c>
      <c r="AE77" s="2">
        <f t="shared" si="27"/>
        <v>143.56497640592102</v>
      </c>
      <c r="AF77" s="2">
        <f t="shared" si="28"/>
        <v>-1.4925632583386765E-3</v>
      </c>
      <c r="AG77">
        <f t="shared" si="29"/>
        <v>238468861.52081585</v>
      </c>
      <c r="AH77"/>
    </row>
    <row r="78" spans="1:34" ht="15">
      <c r="A78">
        <f t="shared" si="18"/>
        <v>65</v>
      </c>
      <c r="C78" s="101">
        <v>6.9126480000000002E-6</v>
      </c>
      <c r="D78" s="101">
        <v>2.9457725999999999E-5</v>
      </c>
      <c r="E78" s="101">
        <v>6.7869565000000002E-5</v>
      </c>
      <c r="F78" s="101">
        <v>-1.1731137E-5</v>
      </c>
      <c r="G78" s="101">
        <v>8.3551240999999996E-6</v>
      </c>
      <c r="H78" s="101">
        <v>1.7072315E-5</v>
      </c>
      <c r="I78" s="101">
        <v>0.34987431000000002</v>
      </c>
      <c r="J78" s="101">
        <v>5.1883658000000002E-4</v>
      </c>
      <c r="K78" s="101">
        <v>0.10027672</v>
      </c>
      <c r="L78" s="101">
        <v>1.2750395E-4</v>
      </c>
      <c r="M78" s="101">
        <v>49.329056000000001</v>
      </c>
      <c r="N78" s="101">
        <v>0.10035629</v>
      </c>
      <c r="O78" s="101">
        <v>0.34550491</v>
      </c>
      <c r="P78" s="101">
        <v>49.361725</v>
      </c>
      <c r="Q78" s="106">
        <f t="shared" si="30"/>
        <v>2.5830529625939938</v>
      </c>
      <c r="R78" s="113">
        <f t="shared" si="31"/>
        <v>5.0612286045000001E-4</v>
      </c>
      <c r="S78" s="113">
        <f t="shared" si="32"/>
        <v>0.34987599800645003</v>
      </c>
      <c r="T78" s="113">
        <f t="shared" si="33"/>
        <v>0.100258534813</v>
      </c>
      <c r="U78" s="113">
        <f t="shared" si="34"/>
        <v>0.100338104813</v>
      </c>
      <c r="V78" s="113">
        <f t="shared" si="35"/>
        <v>0.34542231157199998</v>
      </c>
      <c r="W78" s="101">
        <f t="shared" si="36"/>
        <v>3.4897377929872104</v>
      </c>
      <c r="X78" s="101">
        <f t="shared" si="37"/>
        <v>3.4425835749615077</v>
      </c>
      <c r="Y78" s="101">
        <f t="shared" si="38"/>
        <v>491.95393008464117</v>
      </c>
      <c r="Z78" s="101">
        <f t="shared" si="22"/>
        <v>-2.6332349305662655E-4</v>
      </c>
      <c r="AA78" s="2">
        <f t="shared" si="23"/>
        <v>491.64090255243406</v>
      </c>
      <c r="AB78" s="2">
        <f t="shared" si="24"/>
        <v>-482.98325417293063</v>
      </c>
      <c r="AC78" s="2">
        <f t="shared" si="25"/>
        <v>1679.7125180134806</v>
      </c>
      <c r="AD78" s="2">
        <f t="shared" si="26"/>
        <v>-3.4319684421204171</v>
      </c>
      <c r="AE78" s="2">
        <f t="shared" si="27"/>
        <v>143.59521245453072</v>
      </c>
      <c r="AF78" s="2">
        <f t="shared" si="28"/>
        <v>-1.4930081189232797E-3</v>
      </c>
      <c r="AG78">
        <f t="shared" si="29"/>
        <v>238576409.44271904</v>
      </c>
      <c r="AH78"/>
    </row>
    <row r="79" spans="1:34" ht="15">
      <c r="A79">
        <f t="shared" si="18"/>
        <v>66</v>
      </c>
      <c r="C79" s="101">
        <v>1.0267251E-5</v>
      </c>
      <c r="D79" s="101">
        <v>3.7743576000000003E-5</v>
      </c>
      <c r="E79" s="101">
        <v>5.5638538999999999E-5</v>
      </c>
      <c r="F79" s="101">
        <v>-6.7249022000000001E-6</v>
      </c>
      <c r="G79" s="101">
        <v>1.5449590000000001E-5</v>
      </c>
      <c r="H79" s="101">
        <v>1.4009023E-5</v>
      </c>
      <c r="I79" s="101">
        <v>0.34848466</v>
      </c>
      <c r="J79" s="101">
        <v>5.1385182000000004E-4</v>
      </c>
      <c r="K79" s="101">
        <v>9.9868169000000007E-2</v>
      </c>
      <c r="L79" s="101">
        <v>1.4005450999999999E-4</v>
      </c>
      <c r="M79" s="101">
        <v>49.131785000000001</v>
      </c>
      <c r="N79" s="101">
        <v>9.9574955000000007E-2</v>
      </c>
      <c r="O79" s="101">
        <v>0.34279409</v>
      </c>
      <c r="P79" s="101">
        <v>48.971725999999997</v>
      </c>
      <c r="Q79" s="106">
        <f t="shared" si="30"/>
        <v>2.8599055299786658</v>
      </c>
      <c r="R79" s="113">
        <f t="shared" si="31"/>
        <v>4.9912251350000007E-4</v>
      </c>
      <c r="S79" s="113">
        <f t="shared" si="32"/>
        <v>0.3484802976561</v>
      </c>
      <c r="T79" s="113">
        <f t="shared" si="33"/>
        <v>9.9844163586500001E-2</v>
      </c>
      <c r="U79" s="113">
        <f t="shared" si="34"/>
        <v>9.9550949586500001E-2</v>
      </c>
      <c r="V79" s="113">
        <f t="shared" si="35"/>
        <v>0.34271957967299999</v>
      </c>
      <c r="W79" s="101">
        <f t="shared" si="36"/>
        <v>3.4902420445857514</v>
      </c>
      <c r="X79" s="101">
        <f t="shared" si="37"/>
        <v>3.442655053483044</v>
      </c>
      <c r="Y79" s="101">
        <f t="shared" si="38"/>
        <v>491.92625689068262</v>
      </c>
      <c r="Z79" s="101">
        <f t="shared" si="22"/>
        <v>-2.2220552528708857E-4</v>
      </c>
      <c r="AA79" s="2">
        <f t="shared" si="23"/>
        <v>491.67400109673224</v>
      </c>
      <c r="AB79" s="2">
        <f t="shared" si="24"/>
        <v>-482.93619804210027</v>
      </c>
      <c r="AC79" s="2">
        <f t="shared" si="25"/>
        <v>1679.9315150807158</v>
      </c>
      <c r="AD79" s="2">
        <f t="shared" si="26"/>
        <v>-3.4321809346099443</v>
      </c>
      <c r="AE79" s="2">
        <f t="shared" si="27"/>
        <v>143.57552013858913</v>
      </c>
      <c r="AF79" s="2">
        <f t="shared" si="28"/>
        <v>-1.492870478468648E-3</v>
      </c>
      <c r="AG79">
        <f t="shared" si="29"/>
        <v>238625718.32776499</v>
      </c>
      <c r="AH79"/>
    </row>
    <row r="80" spans="1:34" ht="15">
      <c r="A80">
        <f t="shared" si="18"/>
        <v>67</v>
      </c>
      <c r="C80" s="101">
        <v>4.2231269E-6</v>
      </c>
      <c r="D80" s="101">
        <v>2.1744933999999999E-5</v>
      </c>
      <c r="E80" s="101">
        <v>8.2533805999999995E-5</v>
      </c>
      <c r="F80" s="101">
        <v>-1.3046639E-5</v>
      </c>
      <c r="G80" s="101">
        <v>6.0479712999999998E-7</v>
      </c>
      <c r="H80" s="101">
        <v>1.7519351E-5</v>
      </c>
      <c r="I80" s="101">
        <v>0.34577407999999998</v>
      </c>
      <c r="J80" s="101">
        <v>5.1189864000000004E-4</v>
      </c>
      <c r="K80" s="101">
        <v>9.9128164000000005E-2</v>
      </c>
      <c r="L80" s="101">
        <v>1.5465600999999999E-4</v>
      </c>
      <c r="M80" s="101">
        <v>48.753101999999998</v>
      </c>
      <c r="N80" s="101">
        <v>9.9008691999999995E-2</v>
      </c>
      <c r="O80" s="101">
        <v>0.34095024000000002</v>
      </c>
      <c r="P80" s="101">
        <v>48.702199</v>
      </c>
      <c r="Q80" s="106">
        <f t="shared" si="30"/>
        <v>3.17554470179057</v>
      </c>
      <c r="R80" s="113">
        <f t="shared" si="31"/>
        <v>5.0283656593500003E-4</v>
      </c>
      <c r="S80" s="113">
        <f t="shared" si="32"/>
        <v>0.34578030092093498</v>
      </c>
      <c r="T80" s="113">
        <f t="shared" si="33"/>
        <v>9.9115179969550007E-2</v>
      </c>
      <c r="U80" s="113">
        <f t="shared" si="34"/>
        <v>9.8995707969549998E-2</v>
      </c>
      <c r="V80" s="113">
        <f t="shared" si="35"/>
        <v>0.34085683372700004</v>
      </c>
      <c r="W80" s="101">
        <f t="shared" si="36"/>
        <v>3.4886714732008257</v>
      </c>
      <c r="X80" s="101">
        <f t="shared" si="37"/>
        <v>3.4431475941547274</v>
      </c>
      <c r="Y80" s="101">
        <f t="shared" si="38"/>
        <v>491.96273251543658</v>
      </c>
      <c r="Z80" s="101">
        <f t="shared" si="22"/>
        <v>-4.1965001292708766E-4</v>
      </c>
      <c r="AA80" s="2">
        <f t="shared" si="23"/>
        <v>491.41862799338628</v>
      </c>
      <c r="AB80" s="2">
        <f t="shared" si="24"/>
        <v>-483.06748849148892</v>
      </c>
      <c r="AC80" s="2">
        <f t="shared" si="25"/>
        <v>1678.9617191716516</v>
      </c>
      <c r="AD80" s="2">
        <f t="shared" si="26"/>
        <v>-3.4319957556154415</v>
      </c>
      <c r="AE80" s="2">
        <f t="shared" si="27"/>
        <v>143.59748890068008</v>
      </c>
      <c r="AF80" s="2">
        <f t="shared" si="28"/>
        <v>-1.4925809971931994E-3</v>
      </c>
      <c r="AG80">
        <f t="shared" si="29"/>
        <v>238505417.88221446</v>
      </c>
      <c r="AH80"/>
    </row>
    <row r="81" spans="1:34" ht="15">
      <c r="A81">
        <f t="shared" si="18"/>
        <v>68</v>
      </c>
      <c r="C81" s="101">
        <v>5.1878455999999999E-6</v>
      </c>
      <c r="D81" s="101">
        <v>3.0942991E-5</v>
      </c>
      <c r="E81" s="101">
        <v>7.3065415000000001E-5</v>
      </c>
      <c r="F81" s="101">
        <v>-2.2795920000000001E-5</v>
      </c>
      <c r="G81" s="101">
        <v>1.2750521E-5</v>
      </c>
      <c r="H81" s="101">
        <v>1.2433411E-5</v>
      </c>
      <c r="I81" s="101">
        <v>0.34066475000000002</v>
      </c>
      <c r="J81" s="101">
        <v>4.8636443E-4</v>
      </c>
      <c r="K81" s="101">
        <v>9.7659380000000004E-2</v>
      </c>
      <c r="L81" s="101">
        <v>1.5702001E-4</v>
      </c>
      <c r="M81" s="101">
        <v>48.034193000000002</v>
      </c>
      <c r="N81" s="101">
        <v>9.7464097E-2</v>
      </c>
      <c r="O81" s="101">
        <v>0.33560015999999998</v>
      </c>
      <c r="P81" s="101">
        <v>47.944071999999998</v>
      </c>
      <c r="Q81" s="106">
        <f t="shared" si="30"/>
        <v>3.27506620630805</v>
      </c>
      <c r="R81" s="113">
        <f t="shared" si="31"/>
        <v>4.7377246400000001E-4</v>
      </c>
      <c r="S81" s="113">
        <f t="shared" si="32"/>
        <v>0.3406697726995</v>
      </c>
      <c r="T81" s="113">
        <f t="shared" si="33"/>
        <v>9.7641314581700001E-2</v>
      </c>
      <c r="U81" s="113">
        <f t="shared" si="34"/>
        <v>9.7446031581699996E-2</v>
      </c>
      <c r="V81" s="113">
        <f t="shared" si="35"/>
        <v>0.3355116230895</v>
      </c>
      <c r="W81" s="101">
        <f t="shared" si="36"/>
        <v>3.4889920742970881</v>
      </c>
      <c r="X81" s="101">
        <f t="shared" si="37"/>
        <v>3.4430506573087358</v>
      </c>
      <c r="Y81" s="101">
        <f t="shared" si="38"/>
        <v>492.00640828357467</v>
      </c>
      <c r="Z81" s="101">
        <f t="shared" si="22"/>
        <v>-3.7969994267562663E-4</v>
      </c>
      <c r="AA81" s="2">
        <f t="shared" si="23"/>
        <v>491.52132709286417</v>
      </c>
      <c r="AB81" s="2">
        <f t="shared" si="24"/>
        <v>-483.09107869401385</v>
      </c>
      <c r="AC81" s="2">
        <f t="shared" si="25"/>
        <v>1679.3333854849341</v>
      </c>
      <c r="AD81" s="2">
        <f t="shared" si="26"/>
        <v>-3.432036182424127</v>
      </c>
      <c r="AE81" s="2">
        <f t="shared" si="27"/>
        <v>143.61282821188667</v>
      </c>
      <c r="AF81" s="2">
        <f t="shared" si="28"/>
        <v>-1.4929487560036436E-3</v>
      </c>
      <c r="AG81">
        <f t="shared" si="29"/>
        <v>238530065.688454</v>
      </c>
      <c r="AH81"/>
    </row>
    <row r="82" spans="1:34" ht="15">
      <c r="A82">
        <f t="shared" ref="A82:A99" si="39">A81+1</f>
        <v>69</v>
      </c>
      <c r="C82" s="101">
        <v>-3.0195416000000002E-6</v>
      </c>
      <c r="D82" s="101">
        <v>4.3941045000000001E-5</v>
      </c>
      <c r="E82" s="101">
        <v>7.5674343000000006E-5</v>
      </c>
      <c r="F82" s="101">
        <v>-1.9244094000000001E-5</v>
      </c>
      <c r="G82" s="101">
        <v>1.6768969999999999E-5</v>
      </c>
      <c r="H82" s="101">
        <v>2.0619296E-5</v>
      </c>
      <c r="I82" s="101">
        <v>0.34014053</v>
      </c>
      <c r="J82" s="101">
        <v>4.9569271000000003E-4</v>
      </c>
      <c r="K82" s="101">
        <v>9.7483859000000006E-2</v>
      </c>
      <c r="L82" s="101">
        <v>1.7048076000000001E-4</v>
      </c>
      <c r="M82" s="101">
        <v>47.958311000000002</v>
      </c>
      <c r="N82" s="101">
        <v>9.6660934000000004E-2</v>
      </c>
      <c r="O82" s="101">
        <v>0.33281166000000001</v>
      </c>
      <c r="P82" s="101">
        <v>47.54363</v>
      </c>
      <c r="Q82" s="106">
        <f t="shared" si="30"/>
        <v>3.5857750028763054</v>
      </c>
      <c r="R82" s="113">
        <f t="shared" si="31"/>
        <v>4.7699857700000004E-4</v>
      </c>
      <c r="S82" s="113">
        <f t="shared" si="32"/>
        <v>0.34014176756199999</v>
      </c>
      <c r="T82" s="113">
        <f t="shared" si="33"/>
        <v>9.7463398248300012E-2</v>
      </c>
      <c r="U82" s="113">
        <f t="shared" si="34"/>
        <v>9.664047324830001E-2</v>
      </c>
      <c r="V82" s="113">
        <f t="shared" si="35"/>
        <v>0.3327140151345</v>
      </c>
      <c r="W82" s="101">
        <f t="shared" si="36"/>
        <v>3.4899436473110339</v>
      </c>
      <c r="X82" s="101">
        <f t="shared" si="37"/>
        <v>3.4428020057357567</v>
      </c>
      <c r="Y82" s="101">
        <f t="shared" si="38"/>
        <v>491.9639608742948</v>
      </c>
      <c r="Z82" s="101">
        <f t="shared" si="22"/>
        <v>-2.6490194334309798E-4</v>
      </c>
      <c r="AA82" s="2">
        <f t="shared" si="23"/>
        <v>491.64859923941594</v>
      </c>
      <c r="AB82" s="2">
        <f t="shared" si="24"/>
        <v>-482.99387619677594</v>
      </c>
      <c r="AC82" s="2">
        <f t="shared" si="25"/>
        <v>1679.8434479907128</v>
      </c>
      <c r="AD82" s="2">
        <f t="shared" si="26"/>
        <v>-3.4321815009161045</v>
      </c>
      <c r="AE82" s="2">
        <f t="shared" si="27"/>
        <v>143.590196886115</v>
      </c>
      <c r="AF82" s="2">
        <f t="shared" si="28"/>
        <v>-1.4929715773020849E-3</v>
      </c>
      <c r="AG82">
        <f t="shared" si="29"/>
        <v>238605292.83868739</v>
      </c>
      <c r="AH82"/>
    </row>
    <row r="83" spans="1:34" ht="15">
      <c r="A83">
        <f t="shared" si="39"/>
        <v>70</v>
      </c>
      <c r="C83" s="101">
        <v>-7.5501905E-6</v>
      </c>
      <c r="D83" s="101">
        <v>3.0098588000000001E-5</v>
      </c>
      <c r="E83" s="101">
        <v>5.1992259999999997E-5</v>
      </c>
      <c r="F83" s="101">
        <v>-2.7232859999999999E-5</v>
      </c>
      <c r="G83" s="101">
        <v>3.3730852999999997E-5</v>
      </c>
      <c r="H83" s="101">
        <v>2.7826134000000002E-6</v>
      </c>
      <c r="I83" s="101">
        <v>0.34794971000000002</v>
      </c>
      <c r="J83" s="101">
        <v>5.1223995000000005E-4</v>
      </c>
      <c r="K83" s="101">
        <v>9.9714880000000006E-2</v>
      </c>
      <c r="L83" s="101">
        <v>2.0007567999999999E-4</v>
      </c>
      <c r="M83" s="101">
        <v>49.065612000000002</v>
      </c>
      <c r="N83" s="101">
        <v>9.9893325000000005E-2</v>
      </c>
      <c r="O83" s="101">
        <v>0.34398247999999998</v>
      </c>
      <c r="P83" s="101">
        <v>49.144013000000001</v>
      </c>
      <c r="Q83" s="106">
        <f t="shared" si="30"/>
        <v>4.0712116855414315</v>
      </c>
      <c r="R83" s="113">
        <f t="shared" si="31"/>
        <v>4.9398321680000008E-4</v>
      </c>
      <c r="S83" s="113">
        <f t="shared" si="32"/>
        <v>0.34794646100350002</v>
      </c>
      <c r="T83" s="113">
        <f t="shared" si="33"/>
        <v>9.9703605801250011E-2</v>
      </c>
      <c r="U83" s="113">
        <f t="shared" si="34"/>
        <v>9.9882050801250011E-2</v>
      </c>
      <c r="V83" s="113">
        <f t="shared" si="35"/>
        <v>0.34391543844599998</v>
      </c>
      <c r="W83" s="101">
        <f t="shared" si="36"/>
        <v>3.4898081990845884</v>
      </c>
      <c r="X83" s="101">
        <f t="shared" si="37"/>
        <v>3.4432156297064731</v>
      </c>
      <c r="Y83" s="101">
        <f t="shared" si="38"/>
        <v>492.02046419520423</v>
      </c>
      <c r="Z83" s="101">
        <f t="shared" si="22"/>
        <v>-3.1793805474890873E-4</v>
      </c>
      <c r="AA83" s="2">
        <f t="shared" si="23"/>
        <v>491.6266834302549</v>
      </c>
      <c r="AB83" s="2">
        <f t="shared" si="24"/>
        <v>-483.07503068139846</v>
      </c>
      <c r="AC83" s="2">
        <f t="shared" si="25"/>
        <v>1679.8805143954605</v>
      </c>
      <c r="AD83" s="2">
        <f t="shared" si="26"/>
        <v>-3.432413269001513</v>
      </c>
      <c r="AE83" s="2">
        <f t="shared" si="27"/>
        <v>143.60251408483168</v>
      </c>
      <c r="AF83" s="2">
        <f t="shared" si="28"/>
        <v>-1.4930552010108107E-3</v>
      </c>
      <c r="AG83">
        <f t="shared" si="29"/>
        <v>238612068.96745637</v>
      </c>
      <c r="AH83"/>
    </row>
    <row r="84" spans="1:34" ht="15">
      <c r="A84">
        <f t="shared" si="39"/>
        <v>71</v>
      </c>
      <c r="C84" s="101">
        <v>-9.4770768E-6</v>
      </c>
      <c r="D84" s="101">
        <v>4.3304896999999998E-5</v>
      </c>
      <c r="E84" s="101">
        <v>6.3908837999999998E-5</v>
      </c>
      <c r="F84" s="101">
        <v>-4.2082384000000002E-6</v>
      </c>
      <c r="G84" s="101">
        <v>3.5389860000000002E-5</v>
      </c>
      <c r="H84" s="101">
        <v>1.5048988999999999E-5</v>
      </c>
      <c r="I84" s="101">
        <v>0.34058724000000001</v>
      </c>
      <c r="J84" s="101">
        <v>5.0163287999999996E-4</v>
      </c>
      <c r="K84" s="101">
        <v>9.7651655000000004E-2</v>
      </c>
      <c r="L84" s="101">
        <v>1.6669273000000001E-4</v>
      </c>
      <c r="M84" s="101">
        <v>48.033462999999998</v>
      </c>
      <c r="N84" s="101">
        <v>9.6973535999999999E-2</v>
      </c>
      <c r="O84" s="101">
        <v>0.33381184000000003</v>
      </c>
      <c r="P84" s="101">
        <v>47.689503000000002</v>
      </c>
      <c r="Q84" s="106">
        <f t="shared" si="30"/>
        <v>3.4953757014410485</v>
      </c>
      <c r="R84" s="113">
        <f t="shared" si="31"/>
        <v>4.7641345549999999E-4</v>
      </c>
      <c r="S84" s="113">
        <f t="shared" si="32"/>
        <v>0.34057164918920002</v>
      </c>
      <c r="T84" s="113">
        <f t="shared" si="33"/>
        <v>9.7634741089900001E-2</v>
      </c>
      <c r="U84" s="113">
        <f t="shared" si="34"/>
        <v>9.6956622089899996E-2</v>
      </c>
      <c r="V84" s="113">
        <f t="shared" si="35"/>
        <v>0.33372627871350002</v>
      </c>
      <c r="W84" s="101">
        <f t="shared" si="36"/>
        <v>3.4882219729103277</v>
      </c>
      <c r="X84" s="101">
        <f t="shared" si="37"/>
        <v>3.4420163524680425</v>
      </c>
      <c r="Y84" s="101">
        <f t="shared" si="38"/>
        <v>491.86432006450679</v>
      </c>
      <c r="Z84" s="101">
        <f t="shared" si="22"/>
        <v>-3.5275258198240819E-4</v>
      </c>
      <c r="AA84" s="2">
        <f t="shared" si="23"/>
        <v>491.41918577146976</v>
      </c>
      <c r="AB84" s="2">
        <f t="shared" si="24"/>
        <v>-482.93844185023664</v>
      </c>
      <c r="AC84" s="2">
        <f t="shared" si="25"/>
        <v>1678.5231669120324</v>
      </c>
      <c r="AD84" s="2">
        <f t="shared" si="26"/>
        <v>-3.4310939579886264</v>
      </c>
      <c r="AE84" s="2">
        <f t="shared" si="27"/>
        <v>143.59691337948979</v>
      </c>
      <c r="AF84" s="2">
        <f t="shared" si="28"/>
        <v>-1.4925761465768108E-3</v>
      </c>
      <c r="AG84">
        <f t="shared" si="29"/>
        <v>238412113.60331944</v>
      </c>
      <c r="AH84"/>
    </row>
    <row r="85" spans="1:34" ht="15">
      <c r="A85">
        <f t="shared" si="39"/>
        <v>72</v>
      </c>
      <c r="C85" s="101">
        <v>-7.9190087999999996E-6</v>
      </c>
      <c r="D85" s="101">
        <v>2.1262810999999999E-5</v>
      </c>
      <c r="E85" s="101">
        <v>6.2453768999999997E-5</v>
      </c>
      <c r="F85" s="101">
        <v>-6.3157770000000002E-6</v>
      </c>
      <c r="G85" s="101">
        <v>1.5679285E-5</v>
      </c>
      <c r="H85" s="101">
        <v>2.6380628999999999E-5</v>
      </c>
      <c r="I85" s="101">
        <v>0.33349210000000001</v>
      </c>
      <c r="J85" s="101">
        <v>5.0127468000000001E-4</v>
      </c>
      <c r="K85" s="101">
        <v>9.5606791999999996E-2</v>
      </c>
      <c r="L85" s="101">
        <v>1.6510972999999999E-4</v>
      </c>
      <c r="M85" s="101">
        <v>47.029429999999998</v>
      </c>
      <c r="N85" s="101">
        <v>9.5173948999999994E-2</v>
      </c>
      <c r="O85" s="101">
        <v>0.32771461000000002</v>
      </c>
      <c r="P85" s="101">
        <v>46.818725999999998</v>
      </c>
      <c r="Q85" s="106">
        <f t="shared" si="30"/>
        <v>3.5265746017950166</v>
      </c>
      <c r="R85" s="113">
        <f t="shared" si="31"/>
        <v>4.8024472299999999E-4</v>
      </c>
      <c r="S85" s="113">
        <f t="shared" si="32"/>
        <v>0.33348741824600003</v>
      </c>
      <c r="T85" s="113">
        <f t="shared" si="33"/>
        <v>9.5600120098899996E-2</v>
      </c>
      <c r="U85" s="113">
        <f t="shared" si="34"/>
        <v>9.5167277098899994E-2</v>
      </c>
      <c r="V85" s="113">
        <f t="shared" si="35"/>
        <v>0.32764152482550002</v>
      </c>
      <c r="W85" s="101">
        <f t="shared" si="36"/>
        <v>3.4883577332434466</v>
      </c>
      <c r="X85" s="101">
        <f t="shared" si="37"/>
        <v>3.4427960409648741</v>
      </c>
      <c r="Y85" s="101">
        <f t="shared" si="38"/>
        <v>491.96244157899901</v>
      </c>
      <c r="Z85" s="101">
        <f t="shared" si="22"/>
        <v>-4.1545107253169712E-4</v>
      </c>
      <c r="AA85" s="2">
        <f t="shared" si="23"/>
        <v>491.42453841977516</v>
      </c>
      <c r="AB85" s="2">
        <f t="shared" si="24"/>
        <v>-483.065162899423</v>
      </c>
      <c r="AC85" s="2">
        <f t="shared" si="25"/>
        <v>1678.8163849113898</v>
      </c>
      <c r="AD85" s="2">
        <f t="shared" si="26"/>
        <v>-3.431658659745354</v>
      </c>
      <c r="AE85" s="2">
        <f t="shared" si="27"/>
        <v>143.61150138856996</v>
      </c>
      <c r="AF85" s="2">
        <f t="shared" si="28"/>
        <v>-1.4927386335499872E-3</v>
      </c>
      <c r="AG85">
        <f t="shared" si="29"/>
        <v>238460519.96759382</v>
      </c>
      <c r="AH85"/>
    </row>
    <row r="86" spans="1:34" ht="15">
      <c r="A86">
        <f t="shared" si="39"/>
        <v>73</v>
      </c>
      <c r="C86" s="101">
        <v>-6.7523381000000003E-6</v>
      </c>
      <c r="D86" s="101">
        <v>3.9351024999999998E-5</v>
      </c>
      <c r="E86" s="101">
        <v>7.2186934999999994E-5</v>
      </c>
      <c r="F86" s="101">
        <v>-2.8136071000000001E-5</v>
      </c>
      <c r="G86" s="101">
        <v>9.6426805E-6</v>
      </c>
      <c r="H86" s="101">
        <v>1.152814E-5</v>
      </c>
      <c r="I86" s="101">
        <v>0.32554148999999999</v>
      </c>
      <c r="J86" s="101">
        <v>4.7431528000000002E-4</v>
      </c>
      <c r="K86" s="101">
        <v>9.3328406000000003E-2</v>
      </c>
      <c r="L86" s="101">
        <v>1.8146024E-4</v>
      </c>
      <c r="M86" s="101">
        <v>45.911152000000001</v>
      </c>
      <c r="N86" s="101">
        <v>9.2850658000000003E-2</v>
      </c>
      <c r="O86" s="101">
        <v>0.31969946999999999</v>
      </c>
      <c r="P86" s="101">
        <v>45.679879999999997</v>
      </c>
      <c r="Q86" s="106">
        <f t="shared" si="30"/>
        <v>3.9724325020118267</v>
      </c>
      <c r="R86" s="113">
        <f t="shared" si="31"/>
        <v>4.6372986975000001E-4</v>
      </c>
      <c r="S86" s="113">
        <f t="shared" si="32"/>
        <v>0.32555073669524998</v>
      </c>
      <c r="T86" s="113">
        <f t="shared" si="33"/>
        <v>9.3312106656550001E-2</v>
      </c>
      <c r="U86" s="113">
        <f t="shared" si="34"/>
        <v>9.2834358656550001E-2</v>
      </c>
      <c r="V86" s="113">
        <f t="shared" si="35"/>
        <v>0.31960760755250001</v>
      </c>
      <c r="W86" s="101">
        <f t="shared" si="36"/>
        <v>3.4888370690578347</v>
      </c>
      <c r="X86" s="101">
        <f t="shared" si="37"/>
        <v>3.4427728286993431</v>
      </c>
      <c r="Y86" s="101">
        <f t="shared" si="38"/>
        <v>492.05790464926122</v>
      </c>
      <c r="Z86" s="101">
        <f t="shared" si="22"/>
        <v>-3.6752163800429219E-4</v>
      </c>
      <c r="AA86" s="2">
        <f t="shared" si="23"/>
        <v>491.5907745508128</v>
      </c>
      <c r="AB86" s="2">
        <f t="shared" si="24"/>
        <v>-483.13577094565926</v>
      </c>
      <c r="AC86" s="2">
        <f t="shared" si="25"/>
        <v>1679.4547558971367</v>
      </c>
      <c r="AD86" s="2">
        <f t="shared" si="26"/>
        <v>-3.4318003683751539</v>
      </c>
      <c r="AE86" s="2">
        <f t="shared" si="27"/>
        <v>143.64279132896669</v>
      </c>
      <c r="AF86" s="2">
        <f t="shared" si="28"/>
        <v>-1.4934011223080197E-3</v>
      </c>
      <c r="AG86">
        <f t="shared" si="29"/>
        <v>238502973.75530109</v>
      </c>
      <c r="AH86"/>
    </row>
    <row r="87" spans="1:34" ht="15">
      <c r="A87">
        <f t="shared" si="39"/>
        <v>74</v>
      </c>
      <c r="C87" s="101">
        <v>-1.3910407000000001E-5</v>
      </c>
      <c r="D87" s="101">
        <v>2.9645469000000001E-5</v>
      </c>
      <c r="E87" s="101">
        <v>5.6151009999999999E-5</v>
      </c>
      <c r="F87" s="101">
        <v>-2.3221089E-5</v>
      </c>
      <c r="G87" s="101">
        <v>3.2415342999999999E-5</v>
      </c>
      <c r="H87" s="101">
        <v>8.0073022000000008E-6</v>
      </c>
      <c r="I87" s="101">
        <v>0.31746098</v>
      </c>
      <c r="J87" s="101">
        <v>4.7337961000000001E-4</v>
      </c>
      <c r="K87" s="101">
        <v>9.1014330000000004E-2</v>
      </c>
      <c r="L87" s="101">
        <v>1.7103134999999999E-4</v>
      </c>
      <c r="M87" s="101">
        <v>44.775117000000002</v>
      </c>
      <c r="N87" s="101">
        <v>9.0349357000000005E-2</v>
      </c>
      <c r="O87" s="101">
        <v>0.31106781</v>
      </c>
      <c r="P87" s="101">
        <v>44.443187000000002</v>
      </c>
      <c r="Q87" s="106">
        <f t="shared" si="30"/>
        <v>3.8483142534310151</v>
      </c>
      <c r="R87" s="113">
        <f t="shared" si="31"/>
        <v>4.5316828740000001E-4</v>
      </c>
      <c r="S87" s="113">
        <f t="shared" si="32"/>
        <v>0.31745638287299999</v>
      </c>
      <c r="T87" s="113">
        <f t="shared" si="33"/>
        <v>9.1006462469000002E-2</v>
      </c>
      <c r="U87" s="113">
        <f t="shared" si="34"/>
        <v>9.0341489469000003E-2</v>
      </c>
      <c r="V87" s="113">
        <f t="shared" si="35"/>
        <v>0.31099683625550001</v>
      </c>
      <c r="W87" s="101">
        <f t="shared" si="36"/>
        <v>3.48828395545137</v>
      </c>
      <c r="X87" s="101">
        <f t="shared" si="37"/>
        <v>3.4424585877811569</v>
      </c>
      <c r="Y87" s="101">
        <f t="shared" si="38"/>
        <v>491.94658247526843</v>
      </c>
      <c r="Z87" s="101">
        <f t="shared" si="22"/>
        <v>-3.8974979750626052E-4</v>
      </c>
      <c r="AA87" s="2">
        <f t="shared" si="23"/>
        <v>491.44668917092656</v>
      </c>
      <c r="AB87" s="2">
        <f t="shared" si="24"/>
        <v>-483.03714908692262</v>
      </c>
      <c r="AC87" s="2">
        <f t="shared" si="25"/>
        <v>1678.770467057697</v>
      </c>
      <c r="AD87" s="2">
        <f t="shared" si="26"/>
        <v>-3.4314094382503257</v>
      </c>
      <c r="AE87" s="2">
        <f t="shared" si="27"/>
        <v>143.61576547256652</v>
      </c>
      <c r="AF87" s="2">
        <f t="shared" si="28"/>
        <v>-1.492827889998317E-3</v>
      </c>
      <c r="AG87">
        <f t="shared" si="29"/>
        <v>238438162.05607575</v>
      </c>
      <c r="AH87"/>
    </row>
    <row r="88" spans="1:34" ht="15">
      <c r="A88">
        <f t="shared" si="39"/>
        <v>75</v>
      </c>
      <c r="C88" s="101">
        <v>1.7746761000000001E-5</v>
      </c>
      <c r="D88" s="101">
        <v>3.6860482000000001E-5</v>
      </c>
      <c r="E88" s="101">
        <v>6.9795970000000005E-5</v>
      </c>
      <c r="F88" s="101">
        <v>5.9050453999999997E-6</v>
      </c>
      <c r="G88" s="101">
        <v>9.0183485000000007E-6</v>
      </c>
      <c r="H88" s="101">
        <v>1.3664940999999999E-6</v>
      </c>
      <c r="I88" s="101">
        <v>0.30035623</v>
      </c>
      <c r="J88" s="101">
        <v>4.4349560000000001E-4</v>
      </c>
      <c r="K88" s="101">
        <v>8.6094931999999999E-2</v>
      </c>
      <c r="L88" s="101">
        <v>1.0949377E-4</v>
      </c>
      <c r="M88" s="101">
        <v>42.356982000000002</v>
      </c>
      <c r="N88" s="101">
        <v>8.5885468000000006E-2</v>
      </c>
      <c r="O88" s="101">
        <v>0.29576113999999998</v>
      </c>
      <c r="P88" s="101">
        <v>42.252749000000001</v>
      </c>
      <c r="Q88" s="106">
        <f t="shared" si="30"/>
        <v>2.5913999110448414</v>
      </c>
      <c r="R88" s="113">
        <f t="shared" si="31"/>
        <v>4.3830317870000002E-4</v>
      </c>
      <c r="S88" s="113">
        <f t="shared" si="32"/>
        <v>0.30034876830305002</v>
      </c>
      <c r="T88" s="113">
        <f t="shared" si="33"/>
        <v>8.6067628378500002E-2</v>
      </c>
      <c r="U88" s="113">
        <f t="shared" si="34"/>
        <v>8.585816437850001E-2</v>
      </c>
      <c r="V88" s="113">
        <f t="shared" si="35"/>
        <v>0.29567291378899996</v>
      </c>
      <c r="W88" s="101">
        <f t="shared" si="36"/>
        <v>3.4896833334619708</v>
      </c>
      <c r="X88" s="101">
        <f t="shared" si="37"/>
        <v>3.4437367247399511</v>
      </c>
      <c r="Y88" s="101">
        <f t="shared" si="38"/>
        <v>492.12266889065512</v>
      </c>
      <c r="Z88" s="101">
        <f t="shared" si="22"/>
        <v>-3.8037527747148407E-4</v>
      </c>
      <c r="AA88" s="2">
        <f t="shared" si="23"/>
        <v>491.63648967438252</v>
      </c>
      <c r="AB88" s="2">
        <f t="shared" si="24"/>
        <v>-483.20563562006072</v>
      </c>
      <c r="AC88" s="2">
        <f t="shared" si="25"/>
        <v>1680.0623708586754</v>
      </c>
      <c r="AD88" s="2">
        <f t="shared" si="26"/>
        <v>-3.4327202889226589</v>
      </c>
      <c r="AE88" s="2">
        <f t="shared" si="27"/>
        <v>143.62948997195301</v>
      </c>
      <c r="AF88" s="2">
        <f t="shared" si="28"/>
        <v>-1.4933555588510445E-3</v>
      </c>
      <c r="AG88">
        <f t="shared" si="29"/>
        <v>238624732.51041466</v>
      </c>
      <c r="AH88"/>
    </row>
    <row r="89" spans="1:34" ht="15">
      <c r="A89">
        <f t="shared" si="39"/>
        <v>76</v>
      </c>
      <c r="C89" s="101">
        <v>-1.0433010000000001E-5</v>
      </c>
      <c r="D89" s="101">
        <v>2.3357063999999999E-5</v>
      </c>
      <c r="E89" s="101">
        <v>5.3402571999999999E-5</v>
      </c>
      <c r="F89" s="101">
        <v>-1.3020528E-5</v>
      </c>
      <c r="G89" s="101">
        <v>1.3338759E-5</v>
      </c>
      <c r="H89" s="101">
        <v>2.4088088000000001E-5</v>
      </c>
      <c r="I89" s="101">
        <v>0.29822861000000001</v>
      </c>
      <c r="J89" s="101">
        <v>4.3709659000000002E-4</v>
      </c>
      <c r="K89" s="101">
        <v>8.5471415999999995E-2</v>
      </c>
      <c r="L89" s="101">
        <v>1.2539467999999999E-4</v>
      </c>
      <c r="M89" s="101">
        <v>42.056780000000003</v>
      </c>
      <c r="N89" s="101">
        <v>8.5043236999999994E-2</v>
      </c>
      <c r="O89" s="101">
        <v>0.29284200999999999</v>
      </c>
      <c r="P89" s="101">
        <v>41.838735</v>
      </c>
      <c r="Q89" s="106">
        <f t="shared" si="30"/>
        <v>2.9970953949731034</v>
      </c>
      <c r="R89" s="113">
        <f t="shared" si="31"/>
        <v>4.1838316650000002E-4</v>
      </c>
      <c r="S89" s="113">
        <f t="shared" si="32"/>
        <v>0.29822845088450001</v>
      </c>
      <c r="T89" s="113">
        <f t="shared" si="33"/>
        <v>8.5464953972999996E-2</v>
      </c>
      <c r="U89" s="113">
        <f t="shared" si="34"/>
        <v>8.5036774972999996E-2</v>
      </c>
      <c r="V89" s="113">
        <f t="shared" si="35"/>
        <v>0.29277692889599999</v>
      </c>
      <c r="W89" s="101">
        <f t="shared" si="36"/>
        <v>3.489482378691926</v>
      </c>
      <c r="X89" s="101">
        <f t="shared" si="37"/>
        <v>3.4429448787181722</v>
      </c>
      <c r="Y89" s="101">
        <f t="shared" si="38"/>
        <v>492.00754630316362</v>
      </c>
      <c r="Z89" s="101">
        <f t="shared" si="22"/>
        <v>-3.2271891933235449E-4</v>
      </c>
      <c r="AA89" s="2">
        <f t="shared" si="23"/>
        <v>491.60670268585199</v>
      </c>
      <c r="AB89" s="2">
        <f t="shared" si="24"/>
        <v>-483.06464508375927</v>
      </c>
      <c r="AC89" s="2">
        <f t="shared" si="25"/>
        <v>1679.6709898079243</v>
      </c>
      <c r="AD89" s="2">
        <f t="shared" si="26"/>
        <v>-3.4321260613813478</v>
      </c>
      <c r="AE89" s="2">
        <f t="shared" si="27"/>
        <v>143.60951086239197</v>
      </c>
      <c r="AF89" s="2">
        <f t="shared" si="28"/>
        <v>-1.4930874253739597E-3</v>
      </c>
      <c r="AG89">
        <f t="shared" si="29"/>
        <v>238569829.18709677</v>
      </c>
      <c r="AH89"/>
    </row>
    <row r="90" spans="1:34" ht="15">
      <c r="A90">
        <f t="shared" si="39"/>
        <v>77</v>
      </c>
      <c r="C90" s="101">
        <v>6.7402247999999996E-6</v>
      </c>
      <c r="D90" s="101">
        <v>2.9672185999999999E-5</v>
      </c>
      <c r="E90" s="101">
        <v>6.4804104000000003E-5</v>
      </c>
      <c r="F90" s="101">
        <v>-7.7783741000000004E-6</v>
      </c>
      <c r="G90" s="101">
        <v>1.4114026E-5</v>
      </c>
      <c r="H90" s="101">
        <v>8.0097103999999993E-6</v>
      </c>
      <c r="I90" s="101">
        <v>0.28857851000000001</v>
      </c>
      <c r="J90" s="101">
        <v>4.1951054000000001E-4</v>
      </c>
      <c r="K90" s="101">
        <v>8.2715969E-2</v>
      </c>
      <c r="L90" s="101">
        <v>1.5319359000000001E-4</v>
      </c>
      <c r="M90" s="101">
        <v>40.699460000000002</v>
      </c>
      <c r="N90" s="101">
        <v>8.2313524999999998E-2</v>
      </c>
      <c r="O90" s="101">
        <v>0.28340926999999999</v>
      </c>
      <c r="P90" s="101">
        <v>40.494506999999999</v>
      </c>
      <c r="Q90" s="106">
        <f t="shared" si="30"/>
        <v>3.7830708742793191</v>
      </c>
      <c r="R90" s="113">
        <f t="shared" si="31"/>
        <v>4.0844867180000002E-4</v>
      </c>
      <c r="S90" s="113">
        <f t="shared" si="32"/>
        <v>0.28857534217405001</v>
      </c>
      <c r="T90" s="113">
        <f t="shared" si="33"/>
        <v>8.2697762794600005E-2</v>
      </c>
      <c r="U90" s="113">
        <f t="shared" si="34"/>
        <v>8.2295318794600003E-2</v>
      </c>
      <c r="V90" s="113">
        <f t="shared" si="35"/>
        <v>0.28332962980299997</v>
      </c>
      <c r="W90" s="101">
        <f t="shared" si="36"/>
        <v>3.4895181250646043</v>
      </c>
      <c r="X90" s="101">
        <f t="shared" si="37"/>
        <v>3.4428401755166576</v>
      </c>
      <c r="Y90" s="101">
        <f t="shared" si="38"/>
        <v>492.06331044260003</v>
      </c>
      <c r="Z90" s="101">
        <f t="shared" si="22"/>
        <v>-3.0915477275933706E-4</v>
      </c>
      <c r="AA90" s="2">
        <f t="shared" si="23"/>
        <v>491.68247191295882</v>
      </c>
      <c r="AB90" s="2">
        <f t="shared" si="24"/>
        <v>-483.11286144748152</v>
      </c>
      <c r="AC90" s="2">
        <f t="shared" si="25"/>
        <v>1679.9014136783699</v>
      </c>
      <c r="AD90" s="2">
        <f t="shared" si="26"/>
        <v>-3.4320681184345525</v>
      </c>
      <c r="AE90" s="2">
        <f t="shared" si="27"/>
        <v>143.63368249667539</v>
      </c>
      <c r="AF90" s="2">
        <f t="shared" si="28"/>
        <v>-1.4934924118206829E-3</v>
      </c>
      <c r="AG90">
        <f t="shared" si="29"/>
        <v>238568145.5555827</v>
      </c>
      <c r="AH90"/>
    </row>
    <row r="91" spans="1:34" ht="15">
      <c r="A91">
        <f t="shared" si="39"/>
        <v>78</v>
      </c>
      <c r="C91" s="101">
        <v>1.0558196000000001E-5</v>
      </c>
      <c r="D91" s="101">
        <v>3.2201255999999999E-5</v>
      </c>
      <c r="E91" s="101">
        <v>5.0764160000000002E-5</v>
      </c>
      <c r="F91" s="101">
        <v>-1.4519347E-5</v>
      </c>
      <c r="G91" s="101">
        <v>2.7180755999999999E-5</v>
      </c>
      <c r="H91" s="101">
        <v>2.2969901000000001E-5</v>
      </c>
      <c r="I91" s="101">
        <v>0.28957896</v>
      </c>
      <c r="J91" s="101">
        <v>4.1359311999999998E-4</v>
      </c>
      <c r="K91" s="101">
        <v>8.3013175999999994E-2</v>
      </c>
      <c r="L91" s="101">
        <v>1.5112768E-4</v>
      </c>
      <c r="M91" s="101">
        <v>40.842174</v>
      </c>
      <c r="N91" s="101">
        <v>8.3077818999999997E-2</v>
      </c>
      <c r="O91" s="101">
        <v>0.28602270000000002</v>
      </c>
      <c r="P91" s="101">
        <v>40.866703999999999</v>
      </c>
      <c r="Q91" s="106">
        <f t="shared" si="30"/>
        <v>3.6980638321113446</v>
      </c>
      <c r="R91" s="113">
        <f t="shared" si="31"/>
        <v>3.8851779149999999E-4</v>
      </c>
      <c r="S91" s="113">
        <f t="shared" si="32"/>
        <v>0.28957262929549998</v>
      </c>
      <c r="T91" s="113">
        <f t="shared" si="33"/>
        <v>8.2991796273999996E-2</v>
      </c>
      <c r="U91" s="113">
        <f t="shared" si="34"/>
        <v>8.3056439273999999E-2</v>
      </c>
      <c r="V91" s="113">
        <f t="shared" si="35"/>
        <v>0.28595583521200002</v>
      </c>
      <c r="W91" s="101">
        <f t="shared" si="36"/>
        <v>3.4891717289678481</v>
      </c>
      <c r="X91" s="101">
        <f t="shared" si="37"/>
        <v>3.4429098780486207</v>
      </c>
      <c r="Y91" s="101">
        <f t="shared" si="38"/>
        <v>492.03534797804554</v>
      </c>
      <c r="Z91" s="101">
        <f t="shared" si="22"/>
        <v>-3.4892543544972233E-4</v>
      </c>
      <c r="AA91" s="2">
        <f t="shared" si="23"/>
        <v>491.59573733286516</v>
      </c>
      <c r="AB91" s="2">
        <f t="shared" si="24"/>
        <v>-483.1046248560026</v>
      </c>
      <c r="AC91" s="2">
        <f t="shared" si="25"/>
        <v>1679.5711492624437</v>
      </c>
      <c r="AD91" s="2">
        <f t="shared" si="26"/>
        <v>-3.4320011833814745</v>
      </c>
      <c r="AE91" s="2">
        <f t="shared" si="27"/>
        <v>143.62558154229967</v>
      </c>
      <c r="AF91" s="2">
        <f t="shared" si="28"/>
        <v>-1.4932322669028737E-3</v>
      </c>
      <c r="AG91">
        <f t="shared" si="29"/>
        <v>238539858.62346315</v>
      </c>
      <c r="AH91"/>
    </row>
    <row r="92" spans="1:34" ht="15">
      <c r="A92">
        <f t="shared" si="39"/>
        <v>79</v>
      </c>
      <c r="C92" s="101">
        <v>3.1981743000000001E-6</v>
      </c>
      <c r="D92" s="101">
        <v>4.0360561000000001E-5</v>
      </c>
      <c r="E92" s="101">
        <v>4.2030407000000002E-5</v>
      </c>
      <c r="F92" s="101">
        <v>-1.7703396999999999E-5</v>
      </c>
      <c r="G92" s="101">
        <v>1.2826932E-5</v>
      </c>
      <c r="H92" s="101">
        <v>2.1259736000000001E-5</v>
      </c>
      <c r="I92" s="101">
        <v>0.28820032000000001</v>
      </c>
      <c r="J92" s="101">
        <v>4.3443912999999997E-4</v>
      </c>
      <c r="K92" s="101">
        <v>8.2623638999999999E-2</v>
      </c>
      <c r="L92" s="101">
        <v>1.5368367999999999E-4</v>
      </c>
      <c r="M92" s="101">
        <v>40.653643000000002</v>
      </c>
      <c r="N92" s="101">
        <v>8.2703409000000006E-2</v>
      </c>
      <c r="O92" s="101">
        <v>0.28474454999999999</v>
      </c>
      <c r="P92" s="101">
        <v>40.682166000000002</v>
      </c>
      <c r="Q92" s="106">
        <f t="shared" si="30"/>
        <v>3.7776670986495651</v>
      </c>
      <c r="R92" s="113">
        <f t="shared" si="31"/>
        <v>4.1739579599999995E-4</v>
      </c>
      <c r="S92" s="113">
        <f t="shared" si="32"/>
        <v>0.28820275823250002</v>
      </c>
      <c r="T92" s="113">
        <f t="shared" si="33"/>
        <v>8.2601859632350005E-2</v>
      </c>
      <c r="U92" s="113">
        <f t="shared" si="34"/>
        <v>8.2681629632350012E-2</v>
      </c>
      <c r="V92" s="113">
        <f t="shared" si="35"/>
        <v>0.28468233931249998</v>
      </c>
      <c r="W92" s="101">
        <f t="shared" si="36"/>
        <v>3.4890589572105584</v>
      </c>
      <c r="X92" s="101">
        <f t="shared" si="37"/>
        <v>3.4431147593287781</v>
      </c>
      <c r="Y92" s="101">
        <f t="shared" si="38"/>
        <v>492.03391588792175</v>
      </c>
      <c r="Z92" s="101">
        <f t="shared" si="22"/>
        <v>-3.7954429709171982E-4</v>
      </c>
      <c r="AA92" s="2">
        <f t="shared" si="23"/>
        <v>491.54903918517408</v>
      </c>
      <c r="AB92" s="2">
        <f t="shared" si="24"/>
        <v>-483.11802791037405</v>
      </c>
      <c r="AC92" s="2">
        <f t="shared" si="25"/>
        <v>1679.4597013829118</v>
      </c>
      <c r="AD92" s="2">
        <f t="shared" si="26"/>
        <v>-3.4321009104555746</v>
      </c>
      <c r="AE92" s="2">
        <f t="shared" si="27"/>
        <v>143.62084080670141</v>
      </c>
      <c r="AF92" s="2">
        <f t="shared" si="28"/>
        <v>-1.4930882620731582E-3</v>
      </c>
      <c r="AG92">
        <f t="shared" si="29"/>
        <v>238539095.06804439</v>
      </c>
      <c r="AH92"/>
    </row>
    <row r="93" spans="1:34" ht="15">
      <c r="A93">
        <f t="shared" si="39"/>
        <v>80</v>
      </c>
      <c r="C93" s="101">
        <v>-5.0443758999999998E-6</v>
      </c>
      <c r="D93" s="101">
        <v>3.0565373000000003E-5</v>
      </c>
      <c r="E93" s="101">
        <v>5.3017297000000003E-5</v>
      </c>
      <c r="F93" s="101">
        <v>-9.6831140000000005E-6</v>
      </c>
      <c r="G93" s="101">
        <v>1.5584498000000001E-5</v>
      </c>
      <c r="H93" s="101">
        <v>2.5189734E-5</v>
      </c>
      <c r="I93" s="101">
        <v>0.28789520000000002</v>
      </c>
      <c r="J93" s="101">
        <v>4.1533208999999999E-4</v>
      </c>
      <c r="K93" s="101">
        <v>8.2532953000000006E-2</v>
      </c>
      <c r="L93" s="101">
        <v>1.043257E-4</v>
      </c>
      <c r="M93" s="101">
        <v>40.604810000000001</v>
      </c>
      <c r="N93" s="101">
        <v>8.2464916999999999E-2</v>
      </c>
      <c r="O93" s="101">
        <v>0.28397538999999999</v>
      </c>
      <c r="P93" s="101">
        <v>40.575192999999999</v>
      </c>
      <c r="Q93" s="106">
        <f t="shared" si="30"/>
        <v>2.5711695320833101</v>
      </c>
      <c r="R93" s="113">
        <f t="shared" si="31"/>
        <v>3.94944974E-4</v>
      </c>
      <c r="S93" s="113">
        <f t="shared" si="32"/>
        <v>0.287892249308</v>
      </c>
      <c r="T93" s="113">
        <f t="shared" si="33"/>
        <v>8.2520192501450013E-2</v>
      </c>
      <c r="U93" s="113">
        <f t="shared" si="34"/>
        <v>8.2452156501450005E-2</v>
      </c>
      <c r="V93" s="113">
        <f t="shared" si="35"/>
        <v>0.2839070900165</v>
      </c>
      <c r="W93" s="101">
        <f t="shared" si="36"/>
        <v>3.4887491240757984</v>
      </c>
      <c r="X93" s="101">
        <f t="shared" si="37"/>
        <v>3.4432949004979294</v>
      </c>
      <c r="Y93" s="101">
        <f t="shared" si="38"/>
        <v>492.10590385572806</v>
      </c>
      <c r="Z93" s="101">
        <f t="shared" si="22"/>
        <v>-4.2653630566246391E-4</v>
      </c>
      <c r="AA93" s="2">
        <f t="shared" si="23"/>
        <v>491.55145878418028</v>
      </c>
      <c r="AB93" s="2">
        <f t="shared" si="24"/>
        <v>-483.21147560759493</v>
      </c>
      <c r="AC93" s="2">
        <f t="shared" si="25"/>
        <v>1679.4753798053011</v>
      </c>
      <c r="AD93" s="2">
        <f t="shared" si="26"/>
        <v>-3.4321198916420643</v>
      </c>
      <c r="AE93" s="2">
        <f t="shared" si="27"/>
        <v>143.64810658603292</v>
      </c>
      <c r="AF93" s="2">
        <f t="shared" si="28"/>
        <v>-1.4933766231898097E-3</v>
      </c>
      <c r="AG93">
        <f t="shared" si="29"/>
        <v>238519122.10112858</v>
      </c>
      <c r="AH93"/>
    </row>
    <row r="94" spans="1:34" ht="15">
      <c r="A94">
        <f t="shared" si="39"/>
        <v>81</v>
      </c>
      <c r="C94" s="101">
        <v>-5.1762833999999998E-6</v>
      </c>
      <c r="D94" s="101">
        <v>3.5621189E-5</v>
      </c>
      <c r="E94" s="101">
        <v>4.5174016000000002E-5</v>
      </c>
      <c r="F94" s="101">
        <v>-1.3725455E-5</v>
      </c>
      <c r="G94" s="101">
        <v>1.5621782000000001E-5</v>
      </c>
      <c r="H94" s="101">
        <v>1.8121942000000002E-5</v>
      </c>
      <c r="I94" s="101">
        <v>0.28327640999999998</v>
      </c>
      <c r="J94" s="101">
        <v>4.1786797000000002E-4</v>
      </c>
      <c r="K94" s="101">
        <v>8.1213578999999994E-2</v>
      </c>
      <c r="L94" s="101">
        <v>1.2810059E-4</v>
      </c>
      <c r="M94" s="101">
        <v>39.960250000000002</v>
      </c>
      <c r="N94" s="101">
        <v>8.0883037000000005E-2</v>
      </c>
      <c r="O94" s="101">
        <v>0.27842029000000001</v>
      </c>
      <c r="P94" s="101">
        <v>39.781784000000002</v>
      </c>
      <c r="Q94" s="106">
        <f t="shared" si="30"/>
        <v>3.2200815830682705</v>
      </c>
      <c r="R94" s="113">
        <f t="shared" si="31"/>
        <v>4.0099610800000004E-4</v>
      </c>
      <c r="S94" s="113">
        <f t="shared" si="32"/>
        <v>0.28327546183649999</v>
      </c>
      <c r="T94" s="113">
        <f t="shared" si="33"/>
        <v>8.1198356547199993E-2</v>
      </c>
      <c r="U94" s="113">
        <f t="shared" si="34"/>
        <v>8.0867814547200004E-2</v>
      </c>
      <c r="V94" s="113">
        <f t="shared" si="35"/>
        <v>0.27835730538949999</v>
      </c>
      <c r="W94" s="101">
        <f t="shared" si="36"/>
        <v>3.4886846714912769</v>
      </c>
      <c r="X94" s="101">
        <f t="shared" si="37"/>
        <v>3.4421272164716603</v>
      </c>
      <c r="Y94" s="101">
        <f t="shared" si="38"/>
        <v>491.9359354861831</v>
      </c>
      <c r="Z94" s="101">
        <f t="shared" si="22"/>
        <v>-3.1940837867354177E-4</v>
      </c>
      <c r="AA94" s="2">
        <f t="shared" si="23"/>
        <v>491.5400250269895</v>
      </c>
      <c r="AB94" s="2">
        <f t="shared" si="24"/>
        <v>-482.99267739467018</v>
      </c>
      <c r="AC94" s="2">
        <f t="shared" si="25"/>
        <v>1679.0473131975712</v>
      </c>
      <c r="AD94" s="2">
        <f t="shared" si="26"/>
        <v>-3.4313195212944785</v>
      </c>
      <c r="AE94" s="2">
        <f t="shared" si="27"/>
        <v>143.61538788962923</v>
      </c>
      <c r="AF94" s="2">
        <f t="shared" si="28"/>
        <v>-1.4930132907377159E-3</v>
      </c>
      <c r="AG94">
        <f t="shared" si="29"/>
        <v>238459304.04095247</v>
      </c>
      <c r="AH94"/>
    </row>
    <row r="95" spans="1:34" ht="15">
      <c r="A95">
        <f t="shared" si="39"/>
        <v>82</v>
      </c>
      <c r="C95" s="101">
        <v>-2.0837796E-6</v>
      </c>
      <c r="D95" s="101">
        <v>1.5860401000000001E-5</v>
      </c>
      <c r="E95" s="101">
        <v>5.3822704E-5</v>
      </c>
      <c r="F95" s="101">
        <v>-2.6286544E-5</v>
      </c>
      <c r="G95" s="101">
        <v>1.7463620000000001E-5</v>
      </c>
      <c r="H95" s="101">
        <v>2.2141319E-5</v>
      </c>
      <c r="I95" s="101">
        <v>0.27338006999999998</v>
      </c>
      <c r="J95" s="101">
        <v>4.0298093999999998E-4</v>
      </c>
      <c r="K95" s="101">
        <v>7.8388321999999996E-2</v>
      </c>
      <c r="L95" s="101">
        <v>1.3438609E-4</v>
      </c>
      <c r="M95" s="101">
        <v>38.561194</v>
      </c>
      <c r="N95" s="101">
        <v>7.7029723999999994E-2</v>
      </c>
      <c r="O95" s="101">
        <v>0.26518223000000002</v>
      </c>
      <c r="P95" s="101">
        <v>37.892932999999999</v>
      </c>
      <c r="Q95" s="106">
        <f t="shared" si="30"/>
        <v>3.5464684140443814</v>
      </c>
      <c r="R95" s="113">
        <f t="shared" si="31"/>
        <v>3.8317847049999999E-4</v>
      </c>
      <c r="S95" s="113">
        <f t="shared" si="32"/>
        <v>0.27338448146199995</v>
      </c>
      <c r="T95" s="113">
        <f t="shared" si="33"/>
        <v>7.8381433689299992E-2</v>
      </c>
      <c r="U95" s="113">
        <f t="shared" si="34"/>
        <v>7.702283568929999E-2</v>
      </c>
      <c r="V95" s="113">
        <f t="shared" si="35"/>
        <v>0.26512047709550002</v>
      </c>
      <c r="W95" s="101">
        <f t="shared" si="36"/>
        <v>3.4878729387074254</v>
      </c>
      <c r="X95" s="101">
        <f t="shared" si="37"/>
        <v>3.442102263865761</v>
      </c>
      <c r="Y95" s="101">
        <f t="shared" si="38"/>
        <v>491.97011069360155</v>
      </c>
      <c r="Z95" s="101">
        <f t="shared" si="22"/>
        <v>-3.9435586378799137E-4</v>
      </c>
      <c r="AA95" s="2">
        <f t="shared" si="23"/>
        <v>491.46337541396088</v>
      </c>
      <c r="AB95" s="2">
        <f t="shared" si="24"/>
        <v>-483.06247943473841</v>
      </c>
      <c r="AC95" s="2">
        <f t="shared" si="25"/>
        <v>1678.6443286296203</v>
      </c>
      <c r="AD95" s="2">
        <f t="shared" si="26"/>
        <v>-3.4310374102806191</v>
      </c>
      <c r="AE95" s="2">
        <f t="shared" si="27"/>
        <v>143.64053439278607</v>
      </c>
      <c r="AF95" s="2">
        <f t="shared" si="28"/>
        <v>-1.4931192040397517E-3</v>
      </c>
      <c r="AG95">
        <f t="shared" si="29"/>
        <v>238384154.06967083</v>
      </c>
      <c r="AH95"/>
    </row>
    <row r="96" spans="1:34" ht="15">
      <c r="A96">
        <f t="shared" si="39"/>
        <v>83</v>
      </c>
      <c r="C96" s="101">
        <v>-1.1309964999999999E-5</v>
      </c>
      <c r="D96" s="101">
        <v>1.5778375999999999E-5</v>
      </c>
      <c r="E96" s="101">
        <v>4.9411788999999997E-5</v>
      </c>
      <c r="F96" s="101">
        <v>-2.6674952999999999E-5</v>
      </c>
      <c r="G96" s="101">
        <v>2.7082989000000001E-5</v>
      </c>
      <c r="H96" s="101">
        <v>6.1466995000000003E-6</v>
      </c>
      <c r="I96" s="101">
        <v>0.2566775</v>
      </c>
      <c r="J96" s="101">
        <v>3.8395481000000001E-4</v>
      </c>
      <c r="K96" s="101">
        <v>7.3580150999999996E-2</v>
      </c>
      <c r="L96" s="101">
        <v>1.3620595999999999E-4</v>
      </c>
      <c r="M96" s="101">
        <v>36.209936999999996</v>
      </c>
      <c r="N96" s="101">
        <v>7.2797644999999994E-2</v>
      </c>
      <c r="O96" s="101">
        <v>0.25066129999999998</v>
      </c>
      <c r="P96" s="101">
        <v>35.818522000000002</v>
      </c>
      <c r="Q96" s="106">
        <f t="shared" ref="Q96:Q99" si="40">(L96/P96)*1000000</f>
        <v>3.8026683513071808</v>
      </c>
      <c r="R96" s="113">
        <f t="shared" ref="R96:R99" si="41">J96-((G96+H96)/2)</f>
        <v>3.6733996574999999E-4</v>
      </c>
      <c r="S96" s="113">
        <f t="shared" ref="S96:S99" si="42">I96-((F96+G96)/2)</f>
        <v>0.25667729598200001</v>
      </c>
      <c r="T96" s="113">
        <f t="shared" ref="T96:T99" si="43">K96-((C96+D96)/2)</f>
        <v>7.3577916794500001E-2</v>
      </c>
      <c r="U96" s="113">
        <f t="shared" ref="U96:U99" si="44">N96-((D96+C96)/2)</f>
        <v>7.2795410794499998E-2</v>
      </c>
      <c r="V96" s="113">
        <f t="shared" ref="V96:V99" si="45">O96-((E96+D96/2))</f>
        <v>0.25060399902299996</v>
      </c>
      <c r="W96" s="101">
        <f t="shared" ref="W96:W99" si="46">IF(AND(A96&gt;0,NOT(A96="***")),S96/T96,"")</f>
        <v>3.4885099655497016</v>
      </c>
      <c r="X96" s="101">
        <f t="shared" ref="X96:X99" si="47">IF(AND(A96&gt;0,NOT(A96="***")),V96/U96,"")</f>
        <v>3.4425796391265662</v>
      </c>
      <c r="Y96" s="101">
        <f t="shared" ref="Y96:Y99" si="48">IF(AND(A96&gt;0,NOT(A96="***")),P96/U96,"")</f>
        <v>492.0436825490961</v>
      </c>
      <c r="Z96" s="101">
        <f t="shared" si="22"/>
        <v>-3.7995338185490142E-4</v>
      </c>
      <c r="AA96" s="2">
        <f t="shared" si="23"/>
        <v>491.55817949634417</v>
      </c>
      <c r="AB96" s="2">
        <f t="shared" si="24"/>
        <v>-483.12780511177061</v>
      </c>
      <c r="AC96" s="2">
        <f t="shared" si="25"/>
        <v>1679.2271531494043</v>
      </c>
      <c r="AD96" s="2">
        <f t="shared" si="26"/>
        <v>-3.4315644558522482</v>
      </c>
      <c r="AE96" s="2">
        <f t="shared" si="27"/>
        <v>143.6471326776385</v>
      </c>
      <c r="AF96" s="2">
        <f t="shared" si="28"/>
        <v>-1.4933801328906808E-3</v>
      </c>
      <c r="AG96">
        <f t="shared" si="29"/>
        <v>238464228.05143666</v>
      </c>
      <c r="AH96"/>
    </row>
    <row r="97" spans="1:34" ht="15">
      <c r="A97">
        <f t="shared" si="39"/>
        <v>84</v>
      </c>
      <c r="C97" s="101">
        <v>-1.9478365000000001E-5</v>
      </c>
      <c r="D97" s="101">
        <v>2.8208983000000001E-5</v>
      </c>
      <c r="E97" s="101">
        <v>4.3706231000000003E-5</v>
      </c>
      <c r="F97" s="101">
        <v>-1.2321249000000001E-5</v>
      </c>
      <c r="G97" s="101">
        <v>1.337728E-5</v>
      </c>
      <c r="H97" s="101">
        <v>2.3804773999999998E-5</v>
      </c>
      <c r="I97" s="101">
        <v>0.22535015</v>
      </c>
      <c r="J97" s="101">
        <v>3.2853006999999999E-4</v>
      </c>
      <c r="K97" s="101">
        <v>6.4590239999999993E-2</v>
      </c>
      <c r="L97" s="101">
        <v>1.2424161000000001E-4</v>
      </c>
      <c r="M97" s="101">
        <v>31.789719000000002</v>
      </c>
      <c r="N97" s="101">
        <v>6.2773632999999995E-2</v>
      </c>
      <c r="O97" s="101">
        <v>0.21621264000000001</v>
      </c>
      <c r="P97" s="101">
        <v>30.893664999999999</v>
      </c>
      <c r="Q97" s="106">
        <f t="shared" si="40"/>
        <v>4.0215885684006745</v>
      </c>
      <c r="R97" s="113">
        <f t="shared" si="41"/>
        <v>3.0993904300000001E-4</v>
      </c>
      <c r="S97" s="113">
        <f t="shared" si="42"/>
        <v>0.22534962198450001</v>
      </c>
      <c r="T97" s="113">
        <f t="shared" si="43"/>
        <v>6.4585874690999995E-2</v>
      </c>
      <c r="U97" s="113">
        <f t="shared" si="44"/>
        <v>6.2769267690999997E-2</v>
      </c>
      <c r="V97" s="113">
        <f t="shared" si="45"/>
        <v>0.21615482927750002</v>
      </c>
      <c r="W97" s="101">
        <f t="shared" si="46"/>
        <v>3.4891471713071396</v>
      </c>
      <c r="X97" s="101">
        <f t="shared" si="47"/>
        <v>3.4436410878900983</v>
      </c>
      <c r="Y97" s="101">
        <f t="shared" si="48"/>
        <v>492.17819701327505</v>
      </c>
      <c r="Z97" s="101">
        <f t="shared" si="22"/>
        <v>-4.2218123826302193E-4</v>
      </c>
      <c r="AA97" s="2">
        <f t="shared" si="23"/>
        <v>491.63012093909532</v>
      </c>
      <c r="AB97" s="2">
        <f t="shared" si="24"/>
        <v>-483.28040112151223</v>
      </c>
      <c r="AC97" s="2">
        <f t="shared" si="25"/>
        <v>1679.9214399626369</v>
      </c>
      <c r="AD97" s="2">
        <f t="shared" si="26"/>
        <v>-3.4324812520660282</v>
      </c>
      <c r="AE97" s="2">
        <f t="shared" si="27"/>
        <v>143.66114936662299</v>
      </c>
      <c r="AF97" s="2">
        <f t="shared" si="28"/>
        <v>-1.4936718057732543E-3</v>
      </c>
      <c r="AG97">
        <f t="shared" si="29"/>
        <v>238571354.26994473</v>
      </c>
      <c r="AH97"/>
    </row>
    <row r="98" spans="1:34" ht="15">
      <c r="A98">
        <f t="shared" si="39"/>
        <v>85</v>
      </c>
      <c r="C98" s="101">
        <v>-3.8757653999999998E-7</v>
      </c>
      <c r="D98" s="101">
        <v>9.1872745999999995E-6</v>
      </c>
      <c r="E98" s="101">
        <v>3.7404543000000002E-5</v>
      </c>
      <c r="F98" s="101">
        <v>7.2121041E-6</v>
      </c>
      <c r="G98" s="101">
        <v>6.0800157999999999E-6</v>
      </c>
      <c r="H98" s="101">
        <v>2.9834469999999999E-6</v>
      </c>
      <c r="I98" s="101">
        <v>0.17627191</v>
      </c>
      <c r="J98" s="101">
        <v>2.6701363E-4</v>
      </c>
      <c r="K98" s="101">
        <v>5.0537608999999997E-2</v>
      </c>
      <c r="L98" s="101">
        <v>5.3741700000000001E-5</v>
      </c>
      <c r="M98" s="101">
        <v>24.866302000000001</v>
      </c>
      <c r="N98" s="101">
        <v>4.8921185999999998E-2</v>
      </c>
      <c r="O98" s="101">
        <v>0.16841827000000001</v>
      </c>
      <c r="P98" s="101">
        <v>24.064347000000001</v>
      </c>
      <c r="Q98" s="106">
        <f t="shared" si="40"/>
        <v>2.2332498779210588</v>
      </c>
      <c r="R98" s="113">
        <f t="shared" si="41"/>
        <v>2.6248189860000003E-4</v>
      </c>
      <c r="S98" s="113">
        <f t="shared" si="42"/>
        <v>0.17626526394005002</v>
      </c>
      <c r="T98" s="113">
        <f t="shared" si="43"/>
        <v>5.0533209150969996E-2</v>
      </c>
      <c r="U98" s="113">
        <f t="shared" si="44"/>
        <v>4.8916786150969997E-2</v>
      </c>
      <c r="V98" s="113">
        <f t="shared" si="45"/>
        <v>0.1683762718197</v>
      </c>
      <c r="W98" s="101">
        <f t="shared" si="46"/>
        <v>3.488107462430309</v>
      </c>
      <c r="X98" s="101">
        <f t="shared" si="47"/>
        <v>3.4420959565913996</v>
      </c>
      <c r="Y98" s="101">
        <f t="shared" si="48"/>
        <v>491.94456327795393</v>
      </c>
      <c r="Z98" s="101">
        <f t="shared" si="22"/>
        <v>-3.7139072737464921E-4</v>
      </c>
      <c r="AA98" s="2">
        <f t="shared" si="23"/>
        <v>491.47180585957653</v>
      </c>
      <c r="AB98" s="2">
        <f t="shared" si="24"/>
        <v>-483.02628034201945</v>
      </c>
      <c r="AC98" s="2">
        <f t="shared" si="25"/>
        <v>1678.7096010161631</v>
      </c>
      <c r="AD98" s="2">
        <f t="shared" si="26"/>
        <v>-3.431109856662415</v>
      </c>
      <c r="AE98" s="2">
        <f t="shared" si="27"/>
        <v>143.62753691727548</v>
      </c>
      <c r="AF98" s="2">
        <f t="shared" si="28"/>
        <v>-1.4930012019415508E-3</v>
      </c>
      <c r="AG98">
        <f t="shared" si="29"/>
        <v>238405260.4887712</v>
      </c>
      <c r="AH98"/>
    </row>
    <row r="99" spans="1:34" ht="15">
      <c r="A99">
        <f t="shared" si="39"/>
        <v>86</v>
      </c>
      <c r="C99" s="101">
        <v>-3.6495851999999999E-7</v>
      </c>
      <c r="D99" s="101">
        <v>3.6396519000000001E-6</v>
      </c>
      <c r="E99" s="101">
        <v>3.3131669000000002E-5</v>
      </c>
      <c r="F99" s="101">
        <v>-1.5549070000000001E-5</v>
      </c>
      <c r="G99" s="101">
        <v>-1.68076E-6</v>
      </c>
      <c r="H99" s="101">
        <v>2.1275099E-5</v>
      </c>
      <c r="I99" s="101">
        <v>0.16377626000000001</v>
      </c>
      <c r="J99" s="101">
        <v>2.3702435E-4</v>
      </c>
      <c r="K99" s="101">
        <v>4.6939901999999999E-2</v>
      </c>
      <c r="L99" s="101">
        <v>7.2482752000000005E-5</v>
      </c>
      <c r="M99" s="101">
        <v>23.102331</v>
      </c>
      <c r="N99" s="101">
        <v>6.2976080000000004E-2</v>
      </c>
      <c r="O99" s="101">
        <v>0.21679319999999999</v>
      </c>
      <c r="P99" s="101">
        <v>30.980532</v>
      </c>
      <c r="Q99" s="106">
        <f t="shared" si="40"/>
        <v>2.339622573298612</v>
      </c>
      <c r="R99" s="113">
        <f t="shared" si="41"/>
        <v>2.272271805E-4</v>
      </c>
      <c r="S99" s="113">
        <f t="shared" si="42"/>
        <v>0.16378487491500002</v>
      </c>
      <c r="T99" s="113">
        <f t="shared" si="43"/>
        <v>4.6938264653309997E-2</v>
      </c>
      <c r="U99" s="113">
        <f t="shared" si="44"/>
        <v>6.2974442653310009E-2</v>
      </c>
      <c r="V99" s="113">
        <f t="shared" si="45"/>
        <v>0.21675824850504999</v>
      </c>
      <c r="W99" s="101">
        <f t="shared" si="46"/>
        <v>3.4893679202827159</v>
      </c>
      <c r="X99" s="101">
        <f t="shared" si="47"/>
        <v>3.4420034441330132</v>
      </c>
      <c r="Y99" s="101">
        <f t="shared" si="48"/>
        <v>491.95404825661649</v>
      </c>
      <c r="Z99" s="101">
        <f t="shared" si="22"/>
        <v>-2.4227309170634441E-4</v>
      </c>
      <c r="AA99" s="2">
        <f t="shared" si="23"/>
        <v>491.67211319598925</v>
      </c>
      <c r="AB99" s="2">
        <f t="shared" si="24"/>
        <v>-482.97317775980196</v>
      </c>
      <c r="AC99" s="2">
        <f t="shared" si="25"/>
        <v>1679.570054244226</v>
      </c>
      <c r="AD99" s="2">
        <f t="shared" si="26"/>
        <v>-3.4314605123727127</v>
      </c>
      <c r="AE99" s="2">
        <f t="shared" si="27"/>
        <v>143.61654308760629</v>
      </c>
      <c r="AF99" s="2">
        <f t="shared" si="28"/>
        <v>-1.4932931929760118E-3</v>
      </c>
      <c r="AG99">
        <f t="shared" si="29"/>
        <v>238515780.8456867</v>
      </c>
      <c r="AH99"/>
    </row>
    <row r="100" spans="1:34" ht="15"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6"/>
      <c r="R100" s="113"/>
      <c r="S100" s="113"/>
      <c r="T100" s="113"/>
      <c r="U100" s="113"/>
      <c r="V100" s="113"/>
      <c r="W100" s="101"/>
      <c r="X100" s="101"/>
      <c r="Y100" s="101"/>
      <c r="Z100" s="101"/>
      <c r="AA100" s="2"/>
      <c r="AB100" s="2"/>
      <c r="AC100" s="2"/>
      <c r="AG100"/>
      <c r="AH100"/>
    </row>
  </sheetData>
  <phoneticPr fontId="1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G47"/>
  <sheetViews>
    <sheetView topLeftCell="Q1" zoomScaleNormal="100" zoomScalePageLayoutView="70" workbookViewId="0">
      <selection activeCell="W8" sqref="W8"/>
    </sheetView>
  </sheetViews>
  <sheetFormatPr defaultColWidth="11" defaultRowHeight="12.75"/>
  <cols>
    <col min="1" max="1" width="5.125" customWidth="1"/>
    <col min="2" max="2" width="11" bestFit="1" customWidth="1"/>
    <col min="3" max="7" width="8.25" bestFit="1" customWidth="1"/>
    <col min="8" max="12" width="8.25" customWidth="1"/>
    <col min="13" max="13" width="8.625" bestFit="1" customWidth="1"/>
    <col min="14" max="15" width="8.25" customWidth="1"/>
    <col min="16" max="16" width="8.625" bestFit="1" customWidth="1"/>
    <col min="17" max="22" width="8.25" customWidth="1"/>
    <col min="24" max="24" width="12.25" bestFit="1" customWidth="1"/>
    <col min="25" max="25" width="11.375" bestFit="1" customWidth="1"/>
    <col min="28" max="29" width="11.375" style="2" bestFit="1" customWidth="1"/>
    <col min="30" max="32" width="11" style="2"/>
  </cols>
  <sheetData>
    <row r="1" spans="1:33" ht="15">
      <c r="A1" t="s">
        <v>81</v>
      </c>
      <c r="V1" s="5" t="s">
        <v>93</v>
      </c>
      <c r="W1" t="s">
        <v>94</v>
      </c>
      <c r="X1" t="s">
        <v>95</v>
      </c>
      <c r="Y1" t="s">
        <v>96</v>
      </c>
    </row>
    <row r="2" spans="1:33">
      <c r="A2" t="s">
        <v>82</v>
      </c>
      <c r="V2" t="s">
        <v>97</v>
      </c>
      <c r="W2">
        <v>1.0190600000000001</v>
      </c>
      <c r="X2">
        <v>8.0000000000000007E-5</v>
      </c>
      <c r="Y2" s="6">
        <f>X2/W2*10^6</f>
        <v>78.503719113693009</v>
      </c>
    </row>
    <row r="3" spans="1:33" ht="15">
      <c r="A3" t="s">
        <v>67</v>
      </c>
      <c r="V3" t="s">
        <v>98</v>
      </c>
      <c r="W3" s="10">
        <v>4.5479999999999998E-5</v>
      </c>
      <c r="X3" s="10">
        <v>3.7E-8</v>
      </c>
      <c r="Y3" s="6">
        <f>X3/W3*10^6</f>
        <v>813.54441512752862</v>
      </c>
      <c r="AA3" s="7" t="s">
        <v>83</v>
      </c>
      <c r="AB3" s="26">
        <f>AVERAGE(AA16:AA47)</f>
        <v>491.52918737826514</v>
      </c>
      <c r="AC3" s="26"/>
    </row>
    <row r="4" spans="1:33">
      <c r="A4" t="s">
        <v>68</v>
      </c>
      <c r="V4" t="s">
        <v>84</v>
      </c>
      <c r="W4">
        <v>2.3481000000000001E-4</v>
      </c>
      <c r="X4">
        <v>1.9000000000000001E-7</v>
      </c>
      <c r="Y4" s="6">
        <f>X4/W4*10^6</f>
        <v>809.16485669264512</v>
      </c>
    </row>
    <row r="5" spans="1:33">
      <c r="A5" t="s">
        <v>69</v>
      </c>
      <c r="AB5" s="2" t="s">
        <v>85</v>
      </c>
      <c r="AC5" s="2" t="s">
        <v>86</v>
      </c>
    </row>
    <row r="6" spans="1:33" ht="15">
      <c r="A6" t="s">
        <v>70</v>
      </c>
      <c r="V6" s="12" t="s">
        <v>87</v>
      </c>
      <c r="W6" t="s">
        <v>94</v>
      </c>
      <c r="X6" t="s">
        <v>88</v>
      </c>
      <c r="AA6" t="s">
        <v>25</v>
      </c>
      <c r="AB6" s="26">
        <f>STDEV(AA16:AA47)/SQRT(COUNT(AA16:AA47))</f>
        <v>1.8656410135904661E-2</v>
      </c>
      <c r="AC6" s="27">
        <f>AB6/AB3*10^6</f>
        <v>37.955854128245868</v>
      </c>
    </row>
    <row r="7" spans="1:33" ht="15">
      <c r="A7" t="s">
        <v>133</v>
      </c>
      <c r="V7" t="s">
        <v>40</v>
      </c>
      <c r="W7">
        <f>SampleStats!C3</f>
        <v>1.5407105733458213E-2</v>
      </c>
      <c r="X7" s="4">
        <f>SampleStats!H20</f>
        <v>2.6372702871587922E-5</v>
      </c>
      <c r="AA7" t="s">
        <v>41</v>
      </c>
      <c r="AB7" s="26">
        <f>SQRT(AB11+AC11+AD11+AE11+AF11)</f>
        <v>3.8840817358013438E-2</v>
      </c>
      <c r="AC7" s="27">
        <f>AB7/AB3*10^6</f>
        <v>79.02036818033919</v>
      </c>
    </row>
    <row r="8" spans="1:33" ht="15">
      <c r="A8" t="s">
        <v>134</v>
      </c>
      <c r="V8" t="s">
        <v>42</v>
      </c>
      <c r="W8">
        <f>SampleStats!F20</f>
        <v>491.73284752455925</v>
      </c>
      <c r="X8">
        <v>0</v>
      </c>
      <c r="AA8" t="s">
        <v>43</v>
      </c>
      <c r="AB8" s="26">
        <f>SQRT(AB6^2+AB7^2)</f>
        <v>4.3089102244043609E-2</v>
      </c>
      <c r="AC8" s="27">
        <f>AB8/AB3*10^6</f>
        <v>87.663364354563981</v>
      </c>
    </row>
    <row r="9" spans="1:33">
      <c r="A9" t="s">
        <v>135</v>
      </c>
      <c r="V9" t="s">
        <v>44</v>
      </c>
      <c r="W9" s="4">
        <f>SampleStats!G20</f>
        <v>1.5340254397992973E-2</v>
      </c>
      <c r="X9" s="4">
        <f>SampleStats!H20</f>
        <v>2.6372702871587922E-5</v>
      </c>
    </row>
    <row r="10" spans="1:33" ht="15">
      <c r="A10" t="s">
        <v>136</v>
      </c>
      <c r="O10" s="18" t="s">
        <v>149</v>
      </c>
      <c r="Q10" s="106">
        <f>(AVERAGE((Q16:Q20)))</f>
        <v>6.8316504956869082</v>
      </c>
      <c r="R10" s="106"/>
      <c r="S10" s="107"/>
      <c r="T10" s="107"/>
      <c r="U10" s="107"/>
      <c r="V10" s="107"/>
    </row>
    <row r="11" spans="1:33" ht="15">
      <c r="A11" t="s">
        <v>137</v>
      </c>
      <c r="C11">
        <v>234.54</v>
      </c>
      <c r="D11">
        <v>235.54</v>
      </c>
      <c r="E11">
        <v>236.54</v>
      </c>
      <c r="F11">
        <v>232.54</v>
      </c>
      <c r="G11">
        <v>233.54</v>
      </c>
      <c r="H11">
        <v>234.54</v>
      </c>
      <c r="I11">
        <v>237.041</v>
      </c>
      <c r="S11" s="107"/>
      <c r="T11" s="107"/>
      <c r="U11" s="107"/>
      <c r="V11" s="107"/>
      <c r="AA11" t="s">
        <v>45</v>
      </c>
      <c r="AB11" s="11">
        <f>AB12^2*X2^2</f>
        <v>1.4887161070583253E-3</v>
      </c>
      <c r="AC11" s="11">
        <f>AC12^2*X3^2</f>
        <v>2.7725668310844832E-9</v>
      </c>
      <c r="AD11" s="11">
        <f>AD12^2*X4^2</f>
        <v>3.0584035549656477E-13</v>
      </c>
      <c r="AE11" s="1">
        <f>AE12^2*X9^2</f>
        <v>1.9890213107561479E-5</v>
      </c>
      <c r="AF11" s="2">
        <f>AF12^2*X8^2</f>
        <v>0</v>
      </c>
    </row>
    <row r="12" spans="1:33" ht="15">
      <c r="A12" t="s">
        <v>138</v>
      </c>
      <c r="B12" t="s">
        <v>150</v>
      </c>
      <c r="C12" s="105">
        <f t="shared" ref="C12:H12" si="0">AVERAGE(C16:C47)</f>
        <v>1.0491811906E-5</v>
      </c>
      <c r="D12" s="105">
        <f t="shared" si="0"/>
        <v>4.6678224433333344E-5</v>
      </c>
      <c r="E12" s="105">
        <f t="shared" si="0"/>
        <v>1.1917811783333336E-4</v>
      </c>
      <c r="F12" s="105">
        <f t="shared" si="0"/>
        <v>-8.8780517933333351E-6</v>
      </c>
      <c r="G12" s="105">
        <f t="shared" si="0"/>
        <v>1.5441405475333333E-5</v>
      </c>
      <c r="H12" s="105">
        <f t="shared" si="0"/>
        <v>4.0407675099999992E-5</v>
      </c>
      <c r="I12" s="105">
        <f>AVERAGE(L16:L47)</f>
        <v>2.7297449166666674E-4</v>
      </c>
      <c r="J12" s="105"/>
      <c r="K12" s="105"/>
      <c r="S12" t="s">
        <v>151</v>
      </c>
      <c r="T12" s="8">
        <f>AVERAGE(T16:T47)</f>
        <v>9.7050820915163677E-2</v>
      </c>
      <c r="U12" s="107"/>
      <c r="V12" t="s">
        <v>151</v>
      </c>
      <c r="W12" s="3">
        <f>AVERAGE(W16:W47)</f>
        <v>2.9606993080041466</v>
      </c>
      <c r="X12" s="3">
        <f>AVERAGE(X16:X47)</f>
        <v>2.9204459115390629</v>
      </c>
      <c r="Y12" s="3">
        <f>AVERAGE(Y16:Y47)</f>
        <v>491.41720669476945</v>
      </c>
      <c r="AA12" t="s">
        <v>46</v>
      </c>
      <c r="AB12" s="2">
        <f>AVERAGE(AB16:AB47)</f>
        <v>-482.29855041028611</v>
      </c>
      <c r="AC12" s="2">
        <f>AVERAGE(AC16:AC47)</f>
        <v>1423.1126778997129</v>
      </c>
      <c r="AD12" s="2">
        <f>AVERAGE(AD16:AD47)</f>
        <v>-2.910675524378334</v>
      </c>
      <c r="AE12" s="2">
        <f>AVERAGE(AE16:AE47)</f>
        <v>169.10835941959553</v>
      </c>
      <c r="AF12" s="2">
        <f>AVERAGE(AF16:AF47)</f>
        <v>-1.7580059254222974E-3</v>
      </c>
    </row>
    <row r="13" spans="1:33" ht="15">
      <c r="A13" t="s">
        <v>5</v>
      </c>
      <c r="S13" s="107"/>
      <c r="T13" s="107"/>
      <c r="U13" s="107"/>
      <c r="V13" s="107"/>
      <c r="AG13" s="9" t="s">
        <v>47</v>
      </c>
    </row>
    <row r="14" spans="1:33" ht="15">
      <c r="C14" s="108" t="s">
        <v>12</v>
      </c>
      <c r="D14" s="108" t="s">
        <v>13</v>
      </c>
      <c r="E14" s="108" t="s">
        <v>12</v>
      </c>
      <c r="F14" s="109" t="s">
        <v>13</v>
      </c>
      <c r="G14" s="109" t="s">
        <v>13</v>
      </c>
      <c r="H14" s="109" t="s">
        <v>13</v>
      </c>
      <c r="I14" s="110" t="s">
        <v>14</v>
      </c>
      <c r="J14" s="110" t="s">
        <v>14</v>
      </c>
      <c r="K14" s="110" t="s">
        <v>14</v>
      </c>
      <c r="L14" s="110" t="s">
        <v>14</v>
      </c>
      <c r="M14" s="110" t="s">
        <v>14</v>
      </c>
      <c r="N14" s="111" t="s">
        <v>152</v>
      </c>
      <c r="O14" s="111" t="s">
        <v>152</v>
      </c>
      <c r="P14" s="111" t="s">
        <v>152</v>
      </c>
      <c r="Q14" s="111"/>
      <c r="R14" s="111" t="s">
        <v>14</v>
      </c>
      <c r="S14" s="111" t="s">
        <v>14</v>
      </c>
      <c r="T14" s="111" t="s">
        <v>14</v>
      </c>
      <c r="U14" s="111" t="s">
        <v>152</v>
      </c>
      <c r="V14" s="111" t="s">
        <v>152</v>
      </c>
      <c r="W14" s="9" t="s">
        <v>48</v>
      </c>
      <c r="X14" s="9" t="s">
        <v>49</v>
      </c>
      <c r="Y14" s="9" t="s">
        <v>50</v>
      </c>
      <c r="Z14" s="9" t="s">
        <v>51</v>
      </c>
      <c r="AA14" s="9" t="s">
        <v>52</v>
      </c>
      <c r="AB14" s="25" t="s">
        <v>53</v>
      </c>
      <c r="AC14" s="25" t="s">
        <v>54</v>
      </c>
      <c r="AD14" s="25" t="s">
        <v>55</v>
      </c>
      <c r="AE14" s="25" t="s">
        <v>56</v>
      </c>
      <c r="AF14" s="25" t="s">
        <v>57</v>
      </c>
      <c r="AG14" s="9" t="s">
        <v>58</v>
      </c>
    </row>
    <row r="15" spans="1:33" ht="15">
      <c r="A15" t="s">
        <v>6</v>
      </c>
      <c r="B15" t="s">
        <v>7</v>
      </c>
      <c r="C15" s="112" t="s">
        <v>153</v>
      </c>
      <c r="D15" s="112" t="s">
        <v>154</v>
      </c>
      <c r="E15" s="112" t="s">
        <v>155</v>
      </c>
      <c r="F15" s="112" t="s">
        <v>156</v>
      </c>
      <c r="G15" s="112" t="s">
        <v>157</v>
      </c>
      <c r="H15" s="112" t="s">
        <v>153</v>
      </c>
      <c r="I15" t="s">
        <v>158</v>
      </c>
      <c r="J15" t="s">
        <v>159</v>
      </c>
      <c r="K15" t="s">
        <v>8</v>
      </c>
      <c r="L15" s="112" t="s">
        <v>160</v>
      </c>
      <c r="M15" t="s">
        <v>9</v>
      </c>
      <c r="N15" t="s">
        <v>161</v>
      </c>
      <c r="O15" t="s">
        <v>162</v>
      </c>
      <c r="P15" t="s">
        <v>163</v>
      </c>
      <c r="R15" s="107" t="s">
        <v>159</v>
      </c>
      <c r="S15" s="107" t="s">
        <v>158</v>
      </c>
      <c r="T15" s="107" t="s">
        <v>8</v>
      </c>
      <c r="U15" s="107" t="s">
        <v>161</v>
      </c>
      <c r="V15" s="107" t="s">
        <v>162</v>
      </c>
    </row>
    <row r="16" spans="1:33" ht="15">
      <c r="A16">
        <v>1</v>
      </c>
      <c r="C16" s="101">
        <v>4.5944198000000001E-5</v>
      </c>
      <c r="D16" s="101">
        <v>7.5062830999999994E-5</v>
      </c>
      <c r="E16" s="101">
        <v>1.3837003999999999E-4</v>
      </c>
      <c r="F16" s="101">
        <v>1.8055030000000001E-5</v>
      </c>
      <c r="G16" s="101">
        <v>3.2927762000000003E-5</v>
      </c>
      <c r="H16" s="101">
        <v>6.2655489E-5</v>
      </c>
      <c r="I16" s="101">
        <v>0.27759356000000002</v>
      </c>
      <c r="J16" s="101">
        <v>4.7839280000000001E-4</v>
      </c>
      <c r="K16" s="101">
        <v>9.3773405000000004E-2</v>
      </c>
      <c r="L16" s="101">
        <v>3.2144481000000001E-4</v>
      </c>
      <c r="M16" s="101">
        <v>46.028782999999997</v>
      </c>
      <c r="N16" s="101">
        <v>9.3659012999999999E-2</v>
      </c>
      <c r="O16" s="101">
        <v>0.27351725999999998</v>
      </c>
      <c r="P16" s="101">
        <v>45.984848999999997</v>
      </c>
      <c r="Q16" s="106">
        <f t="shared" ref="Q16:Q25" si="1">(L16/P16)*1000000</f>
        <v>6.9902330221851985</v>
      </c>
      <c r="R16" s="113">
        <f t="shared" ref="R16:R25" si="2">J16-((G16+H16)/2)</f>
        <v>4.3060117450000003E-4</v>
      </c>
      <c r="S16" s="113">
        <f t="shared" ref="S16:S25" si="3">I16-((F16+G16)/2)</f>
        <v>0.27756806860400002</v>
      </c>
      <c r="T16" s="113">
        <f t="shared" ref="T16:T25" si="4">K16-((C16+D16)/2)</f>
        <v>9.3712901485500003E-2</v>
      </c>
      <c r="U16" s="113">
        <f t="shared" ref="U16:U25" si="5">N16-((D16+C16)/2)</f>
        <v>9.3598509485499998E-2</v>
      </c>
      <c r="V16" s="113">
        <f>O16-((E16+D16/2))</f>
        <v>0.27334135854449998</v>
      </c>
      <c r="W16" s="1">
        <f t="shared" ref="W16:W25" si="6">IF(AND(A16&gt;0,NOT(A16="***")),S16/T16,"")</f>
        <v>2.9618981400010065</v>
      </c>
      <c r="X16" s="1">
        <f t="shared" ref="X16:X25" si="7">IF(AND(A16&gt;0,NOT(A16="***")),V16/U16,"")</f>
        <v>2.9203601643554506</v>
      </c>
      <c r="Y16" s="1">
        <f t="shared" ref="Y16:Y25" si="8">IF(AND(A16&gt;0,NOT(A16="***")),P16/U16,"")</f>
        <v>491.2989453867728</v>
      </c>
      <c r="Z16" s="1">
        <f t="shared" ref="Z16:Z25" si="9">IF(AND(A16&gt;0,NOT(A16="***")),(W16-$W$2*X16+$W$2*$W$7-W16*$W$3*$W$7)/(3*$W$2*X16-2*$W$2*$W$7),"")</f>
        <v>1.7698773719697198E-4</v>
      </c>
      <c r="AA16" s="2">
        <f t="shared" ref="AA16:AA25" si="10">IF(AND(A16&gt;0,NOT(A16="***")),($W$2*Y16+5*Z16*$W$2*Y16-W16*$W$4)/($W$2+2*Z16*$W$2-W16*$W$3),"")</f>
        <v>491.62399612882166</v>
      </c>
      <c r="AB16" s="2">
        <f t="shared" ref="AB16:AB25" si="11">IF(AND(A16&gt;0,NOT(A16="***")),-(3*W16*$W$8*(5*$W$9*Y16-9*X16*$W$8+4*$W$9*$W$8)*((-3+2*$W$3*X16)*Y16+X16*$W$4))/AG16,"")</f>
        <v>-482.1125922098376</v>
      </c>
      <c r="AC16" s="2">
        <f t="shared" ref="AC16:AC25" si="12">IF(AND(A16&gt;0,NOT(A16="***")),((3*W16*$W$8*(5*$W$9*Y16-9*X16*$W$8+4*$W$9*Y16)*(-5*W16*Y16+2*$W$2*X16*Y16+3*W16*X16*$W$4)))/AG16,"")</f>
        <v>1423.5564556187485</v>
      </c>
      <c r="AD16" s="2">
        <f t="shared" ref="AD16:AD25" si="13">IF(AND(A16&gt;0,NOT(A16="***")),(3*W16*(-$W$2*X16+W16*(-2+3*$W$3*X16))*$W$8*(-5*$W$9*Y16+9*X16*$W$8-4*$W$9*$W$8))/AG16,"")</f>
        <v>-2.9110093657952043</v>
      </c>
      <c r="AE16" s="2">
        <f t="shared" ref="AE16:AE25" si="14">IF(AND(A16&gt;0,NOT(A16="***")),(3*$W$8*(3*$W$2*Y16-5*W16*$W$3*Y16+2*W16*$W$4)*(2*$W$2*X16*(-Y16+$W$8)+W16*(5*Y16+4*$W$8-6*$W$3*X16*$W$8-3*X16*$W$4)))/AG16,"")</f>
        <v>169.03449491842093</v>
      </c>
      <c r="AF16" s="2">
        <f t="shared" ref="AF16:AF25" si="15">IF(AND(A16&gt;0,NOT(A16="***")),-($W$9*(3*$W$2*Y16-5*W16*$W$3*Y16+2*W16*$W$4)*(6*$W$2*(-X16+$W$9)*Y16+W16*(5*(3-2*$W$3*$W$9)*Y16-9*X16*$W$4+4*$W$9*$W$4)))/AG16,"")</f>
        <v>-1.7574644874127207E-3</v>
      </c>
      <c r="AG16">
        <f t="shared" ref="AG16:AG25" si="16">IF(AND(A16&gt;0,NOT(A16="***")),(3*$W$2*($W$9*Y16-X16*$W$8)+W16*(-5*$W$3*$W$9*Y16-6*$W$8+9*$W$3*X16*$W$8+2*$W$9*$W$4))^2,"")</f>
        <v>171720646.03829849</v>
      </c>
    </row>
    <row r="17" spans="1:33" ht="15">
      <c r="A17">
        <v>2</v>
      </c>
      <c r="C17" s="101">
        <v>2.0314471000000001E-5</v>
      </c>
      <c r="D17" s="101">
        <v>5.5019782000000002E-5</v>
      </c>
      <c r="E17" s="101">
        <v>1.537624E-4</v>
      </c>
      <c r="F17" s="101">
        <v>1.4706890000000001E-5</v>
      </c>
      <c r="G17" s="101">
        <v>3.1181496999999998E-5</v>
      </c>
      <c r="H17" s="101">
        <v>5.1137163000000001E-5</v>
      </c>
      <c r="I17" s="101">
        <v>0.27823763000000001</v>
      </c>
      <c r="J17" s="101">
        <v>4.8371549000000001E-4</v>
      </c>
      <c r="K17" s="101">
        <v>9.3961517999999994E-2</v>
      </c>
      <c r="L17" s="101">
        <v>3.2822348999999998E-4</v>
      </c>
      <c r="M17" s="101">
        <v>46.141196999999998</v>
      </c>
      <c r="N17" s="101">
        <v>9.3965753999999999E-2</v>
      </c>
      <c r="O17" s="101">
        <v>0.27445892</v>
      </c>
      <c r="P17" s="101">
        <v>46.145560000000003</v>
      </c>
      <c r="Q17" s="106">
        <f t="shared" si="1"/>
        <v>7.1127859321676885</v>
      </c>
      <c r="R17" s="113">
        <f t="shared" si="2"/>
        <v>4.4255615999999999E-4</v>
      </c>
      <c r="S17" s="113">
        <f t="shared" si="3"/>
        <v>0.2782146858065</v>
      </c>
      <c r="T17" s="113">
        <f t="shared" si="4"/>
        <v>9.3923850873499998E-2</v>
      </c>
      <c r="U17" s="113">
        <f t="shared" si="5"/>
        <v>9.3928086873500002E-2</v>
      </c>
      <c r="V17" s="113">
        <f t="shared" ref="V17:V25" si="17">O17-((E17+D17/2))</f>
        <v>0.27427764770899998</v>
      </c>
      <c r="W17" s="101">
        <f t="shared" si="6"/>
        <v>2.9621303132173478</v>
      </c>
      <c r="X17" s="101">
        <f t="shared" si="7"/>
        <v>2.9200812753526031</v>
      </c>
      <c r="Y17" s="101">
        <f t="shared" si="8"/>
        <v>491.28606294459814</v>
      </c>
      <c r="Z17" s="1">
        <f t="shared" si="9"/>
        <v>2.3505197591583337E-4</v>
      </c>
      <c r="AA17" s="2">
        <f t="shared" si="10"/>
        <v>491.69662199639481</v>
      </c>
      <c r="AB17" s="2">
        <f t="shared" si="11"/>
        <v>-482.0718966447688</v>
      </c>
      <c r="AC17" s="2">
        <f t="shared" si="12"/>
        <v>1423.7142712987109</v>
      </c>
      <c r="AD17" s="2">
        <f t="shared" si="13"/>
        <v>-2.9108988787276897</v>
      </c>
      <c r="AE17" s="2">
        <f t="shared" si="14"/>
        <v>169.0349605621692</v>
      </c>
      <c r="AF17" s="2">
        <f t="shared" si="15"/>
        <v>-1.7576427270527687E-3</v>
      </c>
      <c r="AG17">
        <f t="shared" si="16"/>
        <v>171727627.49268618</v>
      </c>
    </row>
    <row r="18" spans="1:33" ht="15">
      <c r="A18">
        <v>3</v>
      </c>
      <c r="C18" s="101">
        <v>2.0657489E-5</v>
      </c>
      <c r="D18" s="101">
        <v>6.8996186000000004E-5</v>
      </c>
      <c r="E18" s="101">
        <v>1.3744182999999999E-4</v>
      </c>
      <c r="F18" s="101">
        <v>2.0553092E-5</v>
      </c>
      <c r="G18" s="101">
        <v>3.6360084999999997E-5</v>
      </c>
      <c r="H18" s="101">
        <v>4.7804474999999998E-5</v>
      </c>
      <c r="I18" s="101">
        <v>0.27831426999999997</v>
      </c>
      <c r="J18" s="101">
        <v>4.7720329000000003E-4</v>
      </c>
      <c r="K18" s="101">
        <v>9.4008433000000002E-2</v>
      </c>
      <c r="L18" s="101">
        <v>3.0444929999999998E-4</v>
      </c>
      <c r="M18" s="101">
        <v>46.154041999999997</v>
      </c>
      <c r="N18" s="101">
        <v>9.4185683000000006E-2</v>
      </c>
      <c r="O18" s="101">
        <v>0.27508894</v>
      </c>
      <c r="P18" s="101">
        <v>46.253131000000003</v>
      </c>
      <c r="Q18" s="106">
        <f t="shared" si="1"/>
        <v>6.5822419675762047</v>
      </c>
      <c r="R18" s="113">
        <f t="shared" si="2"/>
        <v>4.3512101000000002E-4</v>
      </c>
      <c r="S18" s="113">
        <f t="shared" si="3"/>
        <v>0.27828581341149999</v>
      </c>
      <c r="T18" s="113">
        <f t="shared" si="4"/>
        <v>9.3963606162500005E-2</v>
      </c>
      <c r="U18" s="113">
        <f t="shared" si="5"/>
        <v>9.4140856162500008E-2</v>
      </c>
      <c r="V18" s="113">
        <f t="shared" si="17"/>
        <v>0.27491700007699998</v>
      </c>
      <c r="W18" s="101">
        <f t="shared" si="6"/>
        <v>2.9616340280750237</v>
      </c>
      <c r="X18" s="101">
        <f t="shared" si="7"/>
        <v>2.920272996056628</v>
      </c>
      <c r="Y18" s="101">
        <f t="shared" si="8"/>
        <v>491.31835937587783</v>
      </c>
      <c r="Z18" s="1">
        <f t="shared" si="9"/>
        <v>1.5729045793323046E-4</v>
      </c>
      <c r="AA18" s="2">
        <f t="shared" si="10"/>
        <v>491.6144024496931</v>
      </c>
      <c r="AB18" s="2">
        <f t="shared" si="11"/>
        <v>-482.14116419732312</v>
      </c>
      <c r="AC18" s="2">
        <f t="shared" si="12"/>
        <v>1423.4569896912139</v>
      </c>
      <c r="AD18" s="2">
        <f t="shared" si="13"/>
        <v>-2.9108650291968683</v>
      </c>
      <c r="AE18" s="2">
        <f t="shared" si="14"/>
        <v>169.05182838532639</v>
      </c>
      <c r="AF18" s="2">
        <f t="shared" si="15"/>
        <v>-1.7576217929512717E-3</v>
      </c>
      <c r="AG18">
        <f t="shared" si="16"/>
        <v>171696771.49748886</v>
      </c>
    </row>
    <row r="19" spans="1:33" ht="15">
      <c r="A19">
        <v>4</v>
      </c>
      <c r="C19" s="101">
        <v>3.1522269000000003E-5</v>
      </c>
      <c r="D19" s="101">
        <v>6.0921105999999998E-5</v>
      </c>
      <c r="E19" s="101">
        <v>1.2932185E-4</v>
      </c>
      <c r="F19" s="101">
        <v>5.8556271999999999E-6</v>
      </c>
      <c r="G19" s="101">
        <v>2.3022263E-5</v>
      </c>
      <c r="H19" s="101">
        <v>4.1869979E-5</v>
      </c>
      <c r="I19" s="101">
        <v>0.27978848000000001</v>
      </c>
      <c r="J19" s="101">
        <v>4.9314884000000001E-4</v>
      </c>
      <c r="K19" s="101">
        <v>9.4492906000000002E-2</v>
      </c>
      <c r="L19" s="101">
        <v>3.0757089999999999E-4</v>
      </c>
      <c r="M19" s="101">
        <v>46.396889000000002</v>
      </c>
      <c r="N19" s="101">
        <v>9.4422514999999999E-2</v>
      </c>
      <c r="O19" s="101">
        <v>0.27576929</v>
      </c>
      <c r="P19" s="101">
        <v>46.368341999999998</v>
      </c>
      <c r="Q19" s="106">
        <f t="shared" si="1"/>
        <v>6.6332089251757154</v>
      </c>
      <c r="R19" s="113">
        <f t="shared" si="2"/>
        <v>4.6070271900000001E-4</v>
      </c>
      <c r="S19" s="113">
        <f t="shared" si="3"/>
        <v>0.2797740410549</v>
      </c>
      <c r="T19" s="113">
        <f t="shared" si="4"/>
        <v>9.4446684312500001E-2</v>
      </c>
      <c r="U19" s="113">
        <f t="shared" si="5"/>
        <v>9.4376293312499998E-2</v>
      </c>
      <c r="V19" s="113">
        <f t="shared" si="17"/>
        <v>0.27560950759699998</v>
      </c>
      <c r="W19" s="101">
        <f t="shared" si="6"/>
        <v>2.9622431225769561</v>
      </c>
      <c r="X19" s="101">
        <f t="shared" si="7"/>
        <v>2.9203256233469377</v>
      </c>
      <c r="Y19" s="101">
        <f t="shared" si="8"/>
        <v>491.31344718598501</v>
      </c>
      <c r="Z19" s="1">
        <f t="shared" si="9"/>
        <v>2.1972340163001851E-4</v>
      </c>
      <c r="AA19" s="2">
        <f t="shared" si="10"/>
        <v>491.70145772816966</v>
      </c>
      <c r="AB19" s="2">
        <f t="shared" si="11"/>
        <v>-482.106192325611</v>
      </c>
      <c r="AC19" s="2">
        <f t="shared" si="12"/>
        <v>1423.8259947582087</v>
      </c>
      <c r="AD19" s="2">
        <f t="shared" si="13"/>
        <v>-2.9110989424712823</v>
      </c>
      <c r="AE19" s="2">
        <f t="shared" si="14"/>
        <v>169.03592406498669</v>
      </c>
      <c r="AF19" s="2">
        <f t="shared" si="15"/>
        <v>-1.7576642905404363E-3</v>
      </c>
      <c r="AG19">
        <f t="shared" si="16"/>
        <v>171745939.3766942</v>
      </c>
    </row>
    <row r="20" spans="1:33" ht="15">
      <c r="A20">
        <v>5</v>
      </c>
      <c r="C20" s="101">
        <v>4.0060562999999999E-5</v>
      </c>
      <c r="D20" s="101">
        <v>6.4481487E-5</v>
      </c>
      <c r="E20" s="101">
        <v>1.1611514000000001E-4</v>
      </c>
      <c r="F20" s="101">
        <v>1.1463158000000001E-5</v>
      </c>
      <c r="G20" s="101">
        <v>3.7052572999999998E-5</v>
      </c>
      <c r="H20" s="101">
        <v>3.8069582000000003E-5</v>
      </c>
      <c r="I20" s="101">
        <v>0.28053667999999998</v>
      </c>
      <c r="J20" s="101">
        <v>4.8157738000000001E-4</v>
      </c>
      <c r="K20" s="101">
        <v>9.4756126999999996E-2</v>
      </c>
      <c r="L20" s="101">
        <v>3.1848150999999998E-4</v>
      </c>
      <c r="M20" s="101">
        <v>46.528668000000003</v>
      </c>
      <c r="N20" s="101">
        <v>9.4833030999999998E-2</v>
      </c>
      <c r="O20" s="101">
        <v>0.27691484</v>
      </c>
      <c r="P20" s="101">
        <v>46.563104000000003</v>
      </c>
      <c r="Q20" s="106">
        <f t="shared" si="1"/>
        <v>6.8397826313297321</v>
      </c>
      <c r="R20" s="113">
        <f t="shared" si="2"/>
        <v>4.4401630250000002E-4</v>
      </c>
      <c r="S20" s="113">
        <f t="shared" si="3"/>
        <v>0.28051242213450001</v>
      </c>
      <c r="T20" s="113">
        <f t="shared" si="4"/>
        <v>9.4703855975000001E-2</v>
      </c>
      <c r="U20" s="113">
        <f t="shared" si="5"/>
        <v>9.4780759975000003E-2</v>
      </c>
      <c r="V20" s="113">
        <f t="shared" si="17"/>
        <v>0.27676648411650001</v>
      </c>
      <c r="W20" s="101">
        <f t="shared" si="6"/>
        <v>2.9619957840845457</v>
      </c>
      <c r="X20" s="101">
        <f t="shared" si="7"/>
        <v>2.9200703200681422</v>
      </c>
      <c r="Y20" s="101">
        <f t="shared" si="8"/>
        <v>491.27168860306449</v>
      </c>
      <c r="Z20" s="1">
        <f t="shared" si="9"/>
        <v>2.2118505394947194E-4</v>
      </c>
      <c r="AA20" s="2">
        <f t="shared" si="10"/>
        <v>491.66181314362103</v>
      </c>
      <c r="AB20" s="2">
        <f t="shared" si="11"/>
        <v>-482.06447937541884</v>
      </c>
      <c r="AC20" s="2">
        <f t="shared" si="12"/>
        <v>1423.5879551295725</v>
      </c>
      <c r="AD20" s="2">
        <f t="shared" si="13"/>
        <v>-2.9108476140100414</v>
      </c>
      <c r="AE20" s="2">
        <f t="shared" si="14"/>
        <v>169.03134327412022</v>
      </c>
      <c r="AF20" s="2">
        <f t="shared" si="15"/>
        <v>-1.757522010510491E-3</v>
      </c>
      <c r="AG20">
        <f t="shared" si="16"/>
        <v>171716813.20279106</v>
      </c>
    </row>
    <row r="21" spans="1:33" ht="15">
      <c r="A21">
        <v>6</v>
      </c>
      <c r="C21" s="101">
        <v>1.0191844E-5</v>
      </c>
      <c r="D21" s="101">
        <v>5.2305125999999999E-5</v>
      </c>
      <c r="E21" s="101">
        <v>1.3049979999999999E-4</v>
      </c>
      <c r="F21" s="101">
        <v>-2.3848757E-5</v>
      </c>
      <c r="G21" s="101">
        <v>2.017279E-5</v>
      </c>
      <c r="H21" s="101">
        <v>3.7353654999999998E-5</v>
      </c>
      <c r="I21" s="101">
        <v>0.28175021</v>
      </c>
      <c r="J21" s="101">
        <v>4.7676605000000001E-4</v>
      </c>
      <c r="K21" s="101">
        <v>9.5171205999999994E-2</v>
      </c>
      <c r="L21" s="101">
        <v>2.5178134000000002E-4</v>
      </c>
      <c r="M21" s="101">
        <v>46.748066000000001</v>
      </c>
      <c r="N21" s="101">
        <v>9.5238643999999997E-2</v>
      </c>
      <c r="O21" s="101">
        <v>0.27816275000000001</v>
      </c>
      <c r="P21" s="101">
        <v>46.773575000000001</v>
      </c>
      <c r="Q21" s="106">
        <f t="shared" si="1"/>
        <v>5.3829825922008316</v>
      </c>
      <c r="R21" s="113">
        <f t="shared" si="2"/>
        <v>4.4800282750000003E-4</v>
      </c>
      <c r="S21" s="113">
        <f t="shared" si="3"/>
        <v>0.28175204798350001</v>
      </c>
      <c r="T21" s="113">
        <f t="shared" si="4"/>
        <v>9.5139957514999998E-2</v>
      </c>
      <c r="U21" s="113">
        <f t="shared" si="5"/>
        <v>9.5207395515000001E-2</v>
      </c>
      <c r="V21" s="113">
        <f t="shared" si="17"/>
        <v>0.27800609763700002</v>
      </c>
      <c r="W21" s="101">
        <f t="shared" si="6"/>
        <v>2.9614481164665047</v>
      </c>
      <c r="X21" s="101">
        <f t="shared" si="7"/>
        <v>2.9200052804007219</v>
      </c>
      <c r="Y21" s="101">
        <f t="shared" si="8"/>
        <v>491.28090046986722</v>
      </c>
      <c r="Z21" s="1">
        <f t="shared" si="9"/>
        <v>1.6707459467655577E-4</v>
      </c>
      <c r="AA21" s="2">
        <f t="shared" si="10"/>
        <v>491.59132846088835</v>
      </c>
      <c r="AB21" s="2">
        <f t="shared" si="11"/>
        <v>-482.09965131877459</v>
      </c>
      <c r="AC21" s="2">
        <f t="shared" si="12"/>
        <v>1423.2729700942809</v>
      </c>
      <c r="AD21" s="2">
        <f t="shared" si="13"/>
        <v>-2.9106254798796689</v>
      </c>
      <c r="AE21" s="2">
        <f t="shared" si="14"/>
        <v>169.04853567150465</v>
      </c>
      <c r="AF21" s="2">
        <f t="shared" si="15"/>
        <v>-1.7575324601393784E-3</v>
      </c>
      <c r="AG21">
        <f t="shared" si="16"/>
        <v>171671903.63998476</v>
      </c>
    </row>
    <row r="22" spans="1:33" ht="15">
      <c r="A22">
        <v>7</v>
      </c>
      <c r="C22" s="101">
        <v>-3.8798401E-5</v>
      </c>
      <c r="D22" s="101">
        <v>5.7577342999999999E-5</v>
      </c>
      <c r="E22" s="101">
        <v>1.3377417E-4</v>
      </c>
      <c r="F22" s="101">
        <v>-5.5909602000000003E-5</v>
      </c>
      <c r="G22" s="101">
        <v>2.8703529999999999E-5</v>
      </c>
      <c r="H22" s="101">
        <v>3.5012745999999997E-5</v>
      </c>
      <c r="I22" s="101">
        <v>0.28271118000000001</v>
      </c>
      <c r="J22" s="101">
        <v>4.9451005E-4</v>
      </c>
      <c r="K22" s="101">
        <v>9.5495462000000003E-2</v>
      </c>
      <c r="L22" s="101">
        <v>2.7302931E-4</v>
      </c>
      <c r="M22" s="101">
        <v>46.906587000000002</v>
      </c>
      <c r="N22" s="101">
        <v>9.5523444999999998E-2</v>
      </c>
      <c r="O22" s="101">
        <v>0.27897315</v>
      </c>
      <c r="P22" s="101">
        <v>46.913069</v>
      </c>
      <c r="Q22" s="106">
        <f t="shared" si="1"/>
        <v>5.8198987152172883</v>
      </c>
      <c r="R22" s="113">
        <f t="shared" si="2"/>
        <v>4.62651912E-4</v>
      </c>
      <c r="S22" s="113">
        <f t="shared" si="3"/>
        <v>0.28272478303600002</v>
      </c>
      <c r="T22" s="113">
        <f t="shared" si="4"/>
        <v>9.5486072529000002E-2</v>
      </c>
      <c r="U22" s="113">
        <f t="shared" si="5"/>
        <v>9.5514055528999997E-2</v>
      </c>
      <c r="V22" s="113">
        <f t="shared" si="17"/>
        <v>0.27881058715849999</v>
      </c>
      <c r="W22" s="101">
        <f t="shared" si="6"/>
        <v>2.9609007423583571</v>
      </c>
      <c r="X22" s="101">
        <f t="shared" si="7"/>
        <v>2.9190529667525995</v>
      </c>
      <c r="Y22" s="101">
        <f t="shared" si="8"/>
        <v>491.16403591255994</v>
      </c>
      <c r="Z22" s="1">
        <f t="shared" si="9"/>
        <v>2.1470680164572807E-4</v>
      </c>
      <c r="AA22" s="2">
        <f t="shared" si="10"/>
        <v>491.5445132871875</v>
      </c>
      <c r="AB22" s="2">
        <f t="shared" si="11"/>
        <v>-481.96188145980847</v>
      </c>
      <c r="AC22" s="2">
        <f t="shared" si="12"/>
        <v>1422.7391122437477</v>
      </c>
      <c r="AD22" s="2">
        <f t="shared" si="13"/>
        <v>-2.9098105935645711</v>
      </c>
      <c r="AE22" s="2">
        <f t="shared" si="14"/>
        <v>169.042180349783</v>
      </c>
      <c r="AF22" s="2">
        <f t="shared" si="15"/>
        <v>-1.7573545946244125E-3</v>
      </c>
      <c r="AG22">
        <f t="shared" si="16"/>
        <v>171592244.45658183</v>
      </c>
    </row>
    <row r="23" spans="1:33" ht="15">
      <c r="A23">
        <v>8</v>
      </c>
      <c r="C23" s="101">
        <v>-2.8333673999999998E-5</v>
      </c>
      <c r="D23" s="101">
        <v>6.0470736000000002E-5</v>
      </c>
      <c r="E23" s="101">
        <v>1.2164022E-4</v>
      </c>
      <c r="F23" s="101">
        <v>-4.4587662999999999E-5</v>
      </c>
      <c r="G23" s="101">
        <v>1.8159425999999999E-5</v>
      </c>
      <c r="H23" s="101">
        <v>4.8629230000000001E-5</v>
      </c>
      <c r="I23" s="101">
        <v>0.28404191000000001</v>
      </c>
      <c r="J23" s="101">
        <v>4.8353095999999999E-4</v>
      </c>
      <c r="K23" s="101">
        <v>9.5972234000000003E-2</v>
      </c>
      <c r="L23" s="101">
        <v>2.9706996000000002E-4</v>
      </c>
      <c r="M23" s="101">
        <v>47.133960999999999</v>
      </c>
      <c r="N23" s="101">
        <v>9.6116274000000002E-2</v>
      </c>
      <c r="O23" s="101">
        <v>0.28068686999999998</v>
      </c>
      <c r="P23" s="101">
        <v>47.198093999999998</v>
      </c>
      <c r="Q23" s="106">
        <f t="shared" si="1"/>
        <v>6.2941092494116395</v>
      </c>
      <c r="R23" s="113">
        <f t="shared" si="2"/>
        <v>4.5013663199999998E-4</v>
      </c>
      <c r="S23" s="113">
        <f t="shared" si="3"/>
        <v>0.28405512411850004</v>
      </c>
      <c r="T23" s="113">
        <f t="shared" si="4"/>
        <v>9.5956165469000002E-2</v>
      </c>
      <c r="U23" s="113">
        <f t="shared" si="5"/>
        <v>9.6100205469E-2</v>
      </c>
      <c r="V23" s="113">
        <f t="shared" si="17"/>
        <v>0.28053499441199997</v>
      </c>
      <c r="W23" s="101">
        <f t="shared" si="6"/>
        <v>2.960259225971968</v>
      </c>
      <c r="X23" s="101">
        <f t="shared" si="7"/>
        <v>2.9191924517007921</v>
      </c>
      <c r="Y23" s="101">
        <f t="shared" si="8"/>
        <v>491.13416323782116</v>
      </c>
      <c r="Z23" s="1">
        <f t="shared" si="9"/>
        <v>1.2657651587174163E-4</v>
      </c>
      <c r="AA23" s="2">
        <f t="shared" si="10"/>
        <v>491.38483489108012</v>
      </c>
      <c r="AB23" s="2">
        <f t="shared" si="11"/>
        <v>-481.97509944953799</v>
      </c>
      <c r="AC23" s="2">
        <f t="shared" si="12"/>
        <v>1422.2172909712667</v>
      </c>
      <c r="AD23" s="2">
        <f t="shared" si="13"/>
        <v>-2.9096942270593651</v>
      </c>
      <c r="AE23" s="2">
        <f t="shared" si="14"/>
        <v>169.03527241133656</v>
      </c>
      <c r="AF23" s="2">
        <f t="shared" si="15"/>
        <v>-1.7569014377104199E-3</v>
      </c>
      <c r="AG23">
        <f t="shared" si="16"/>
        <v>171548198.32923299</v>
      </c>
    </row>
    <row r="24" spans="1:33" ht="15">
      <c r="A24">
        <v>9</v>
      </c>
      <c r="C24" s="101">
        <v>-5.3887052000000003E-5</v>
      </c>
      <c r="D24" s="101">
        <v>6.3938344000000004E-5</v>
      </c>
      <c r="E24" s="101">
        <v>1.1839599E-4</v>
      </c>
      <c r="F24" s="101">
        <v>-7.7649291000000004E-5</v>
      </c>
      <c r="G24" s="101">
        <v>3.1040709999999999E-6</v>
      </c>
      <c r="H24" s="101">
        <v>3.0489013000000001E-5</v>
      </c>
      <c r="I24" s="101">
        <v>0.28562040999999999</v>
      </c>
      <c r="J24" s="101">
        <v>4.9758302000000004E-4</v>
      </c>
      <c r="K24" s="101">
        <v>9.6483480999999996E-2</v>
      </c>
      <c r="L24" s="101">
        <v>2.8476084000000001E-4</v>
      </c>
      <c r="M24" s="101">
        <v>47.394261</v>
      </c>
      <c r="N24" s="101">
        <v>9.6552556999999997E-2</v>
      </c>
      <c r="O24" s="101">
        <v>0.28202679000000003</v>
      </c>
      <c r="P24" s="101">
        <v>47.42371</v>
      </c>
      <c r="Q24" s="106">
        <f t="shared" si="1"/>
        <v>6.0046090868892374</v>
      </c>
      <c r="R24" s="113">
        <f t="shared" si="2"/>
        <v>4.8078647800000002E-4</v>
      </c>
      <c r="S24" s="113">
        <f t="shared" si="3"/>
        <v>0.28565768261000002</v>
      </c>
      <c r="T24" s="113">
        <f t="shared" si="4"/>
        <v>9.6478455354000001E-2</v>
      </c>
      <c r="U24" s="113">
        <f t="shared" si="5"/>
        <v>9.6547531354000002E-2</v>
      </c>
      <c r="V24" s="113">
        <f t="shared" si="17"/>
        <v>0.28187642483800002</v>
      </c>
      <c r="W24" s="101">
        <f t="shared" si="6"/>
        <v>2.960844279293871</v>
      </c>
      <c r="X24" s="101">
        <f t="shared" si="7"/>
        <v>2.9195611828175632</v>
      </c>
      <c r="Y24" s="101">
        <f t="shared" si="8"/>
        <v>491.19546957774406</v>
      </c>
      <c r="Z24" s="1">
        <f t="shared" si="9"/>
        <v>1.5009190382400577E-4</v>
      </c>
      <c r="AA24" s="2">
        <f t="shared" si="10"/>
        <v>491.48081964674128</v>
      </c>
      <c r="AB24" s="2">
        <f t="shared" si="11"/>
        <v>-482.02395477127931</v>
      </c>
      <c r="AC24" s="2">
        <f t="shared" si="12"/>
        <v>1422.7103507107568</v>
      </c>
      <c r="AD24" s="2">
        <f t="shared" si="13"/>
        <v>-2.9101315903648439</v>
      </c>
      <c r="AE24" s="2">
        <f t="shared" si="14"/>
        <v>169.03799970971031</v>
      </c>
      <c r="AF24" s="2">
        <f t="shared" si="15"/>
        <v>-1.757159028095897E-3</v>
      </c>
      <c r="AG24">
        <f t="shared" si="16"/>
        <v>171607850.74540272</v>
      </c>
    </row>
    <row r="25" spans="1:33" ht="15">
      <c r="A25">
        <v>10</v>
      </c>
      <c r="C25" s="101">
        <v>-4.4770866999999998E-5</v>
      </c>
      <c r="D25" s="101">
        <v>7.6914017000000002E-5</v>
      </c>
      <c r="E25" s="101">
        <v>1.1824543999999999E-4</v>
      </c>
      <c r="F25" s="101">
        <v>-6.2951855999999996E-5</v>
      </c>
      <c r="G25" s="101">
        <v>3.3707171000000002E-5</v>
      </c>
      <c r="H25" s="101">
        <v>2.6815847E-5</v>
      </c>
      <c r="I25" s="101">
        <v>0.28619060000000002</v>
      </c>
      <c r="J25" s="101">
        <v>4.8873706000000002E-4</v>
      </c>
      <c r="K25" s="101">
        <v>9.6713038000000001E-2</v>
      </c>
      <c r="L25" s="101">
        <v>2.9029407000000001E-4</v>
      </c>
      <c r="M25" s="101">
        <v>47.490493000000001</v>
      </c>
      <c r="N25" s="101">
        <v>9.6748029999999999E-2</v>
      </c>
      <c r="O25" s="101">
        <v>0.28253886</v>
      </c>
      <c r="P25" s="101">
        <v>47.511133999999998</v>
      </c>
      <c r="Q25" s="106">
        <f t="shared" si="1"/>
        <v>6.1100219161260183</v>
      </c>
      <c r="R25" s="113">
        <f t="shared" si="2"/>
        <v>4.5847555100000004E-4</v>
      </c>
      <c r="S25" s="113">
        <f t="shared" si="3"/>
        <v>0.28620522234250001</v>
      </c>
      <c r="T25" s="113">
        <f t="shared" si="4"/>
        <v>9.6696966425000003E-2</v>
      </c>
      <c r="U25" s="113">
        <f t="shared" si="5"/>
        <v>9.6731958425E-2</v>
      </c>
      <c r="V25" s="113">
        <f t="shared" si="17"/>
        <v>0.28238215755149998</v>
      </c>
      <c r="W25" s="101">
        <f t="shared" si="6"/>
        <v>2.959815937602202</v>
      </c>
      <c r="X25" s="101">
        <f t="shared" si="7"/>
        <v>2.9192229967145935</v>
      </c>
      <c r="Y25" s="101">
        <f t="shared" si="8"/>
        <v>491.16274263006062</v>
      </c>
      <c r="Z25" s="1">
        <f t="shared" si="9"/>
        <v>7.3229274457218169E-5</v>
      </c>
      <c r="AA25" s="2">
        <f t="shared" si="10"/>
        <v>491.33484063337545</v>
      </c>
      <c r="AB25" s="2">
        <f t="shared" si="11"/>
        <v>-482.02891763543795</v>
      </c>
      <c r="AC25" s="2">
        <f t="shared" si="12"/>
        <v>1422.0097397241188</v>
      </c>
      <c r="AD25" s="2">
        <f t="shared" si="13"/>
        <v>-2.9095699870681946</v>
      </c>
      <c r="AE25" s="2">
        <f t="shared" si="14"/>
        <v>169.05567631448895</v>
      </c>
      <c r="AF25" s="2">
        <f t="shared" si="15"/>
        <v>-1.7569940786688223E-3</v>
      </c>
      <c r="AG25">
        <f t="shared" si="16"/>
        <v>171515113.80549175</v>
      </c>
    </row>
    <row r="26" spans="1:33" ht="15">
      <c r="A26">
        <v>11</v>
      </c>
      <c r="C26" s="101">
        <v>2.2560785000000002E-5</v>
      </c>
      <c r="D26" s="101">
        <v>5.0863526000000003E-5</v>
      </c>
      <c r="E26" s="101">
        <v>1.3383186999999999E-4</v>
      </c>
      <c r="F26" s="101">
        <v>-1.318069E-5</v>
      </c>
      <c r="G26" s="101">
        <v>3.011046E-5</v>
      </c>
      <c r="H26" s="101">
        <v>3.0831307999999999E-5</v>
      </c>
      <c r="I26" s="101">
        <v>0.29632757999999998</v>
      </c>
      <c r="J26" s="101">
        <v>5.0577385999999998E-4</v>
      </c>
      <c r="K26" s="101">
        <v>0.10010753999999999</v>
      </c>
      <c r="L26" s="101">
        <v>2.7620059999999998E-4</v>
      </c>
      <c r="M26" s="101">
        <v>49.169449999999998</v>
      </c>
      <c r="N26" s="101">
        <v>0.10014049999999999</v>
      </c>
      <c r="O26" s="101">
        <v>0.29253206999999998</v>
      </c>
      <c r="P26" s="101">
        <v>49.194611999999999</v>
      </c>
      <c r="Q26" s="106">
        <f t="shared" ref="Q26:Q29" si="18">(L26/P26)*1000000</f>
        <v>5.6144481838783475</v>
      </c>
      <c r="R26" s="113">
        <f t="shared" ref="R26:R29" si="19">J26-((G26+H26)/2)</f>
        <v>4.7530297599999999E-4</v>
      </c>
      <c r="S26" s="113">
        <f t="shared" ref="S26:S29" si="20">I26-((F26+G26)/2)</f>
        <v>0.29631911511499998</v>
      </c>
      <c r="T26" s="113">
        <f t="shared" ref="T26:T29" si="21">K26-((C26+D26)/2)</f>
        <v>0.1000708278445</v>
      </c>
      <c r="U26" s="113">
        <f t="shared" ref="U26:U29" si="22">N26-((D26+C26)/2)</f>
        <v>0.1001037878445</v>
      </c>
      <c r="V26" s="113">
        <f t="shared" ref="V26:V29" si="23">O26-((E26+D26/2))</f>
        <v>0.29237280636699997</v>
      </c>
      <c r="W26" s="101">
        <f t="shared" ref="W26:W29" si="24">IF(AND(A26&gt;0,NOT(A26="***")),S26/T26,"")</f>
        <v>2.9610938721867082</v>
      </c>
      <c r="X26" s="101">
        <f t="shared" ref="X26:X29" si="25">IF(AND(A26&gt;0,NOT(A26="***")),V26/U26,"")</f>
        <v>2.9206967354838591</v>
      </c>
      <c r="Y26" s="101">
        <f t="shared" ref="Y26:Y29" si="26">IF(AND(A26&gt;0,NOT(A26="***")),P26/U26,"")</f>
        <v>491.43606909678891</v>
      </c>
      <c r="Z26" s="101">
        <f t="shared" ref="Z26:Z29" si="27">IF(AND(A26&gt;0,NOT(A26="***")),(W26-$W$2*X26+$W$2*$W$7-W26*$W$3*$W$7)/(3*$W$2*X26-2*$W$2*$W$7),"")</f>
        <v>4.8028984175793198E-5</v>
      </c>
      <c r="AA26" s="2">
        <f t="shared" ref="AA26:AA29" si="28">IF(AND(A26&gt;0,NOT(A26="***")),($W$2*Y26+5*Z26*$W$2*Y26-W26*$W$4)/($W$2+2*Z26*$W$2-W26*$W$3),"")</f>
        <v>491.57114533800501</v>
      </c>
      <c r="AB26" s="2">
        <f t="shared" ref="AB26:AB29" si="29">IF(AND(A26&gt;0,NOT(A26="***")),-(3*W26*$W$8*(5*$W$9*Y26-9*X26*$W$8+4*$W$9*$W$8)*((-3+2*$W$3*X26)*Y26+X26*$W$4))/AG26,"")</f>
        <v>-482.3095325173374</v>
      </c>
      <c r="AC26" s="2">
        <f t="shared" ref="AC26:AC29" si="30">IF(AND(A26&gt;0,NOT(A26="***")),((3*W26*$W$8*(5*$W$9*Y26-9*X26*$W$8+4*$W$9*Y26)*(-5*W26*Y26+2*$W$2*X26*Y26+3*W26*X26*$W$4)))/AG26,"")</f>
        <v>1423.3801913492448</v>
      </c>
      <c r="AD26" s="2">
        <f t="shared" ref="AD26:AD29" si="31">IF(AND(A26&gt;0,NOT(A26="***")),(3*W26*(-$W$2*X26+W26*(-2+3*$W$3*X26))*$W$8*(-5*$W$9*Y26+9*X26*$W$8-4*$W$9*$W$8))/AG26,"")</f>
        <v>-2.9109719536175032</v>
      </c>
      <c r="AE26" s="2">
        <f t="shared" ref="AE26:AE29" si="32">IF(AND(A26&gt;0,NOT(A26="***")),(3*$W$8*(3*$W$2*Y26-5*W26*$W$3*Y26+2*W26*$W$4)*(2*$W$2*X26*(-Y26+$W$8)+W26*(5*Y26+4*$W$8-6*$W$3*X26*$W$8-3*X26*$W$4)))/AG26,"")</f>
        <v>169.09978479930959</v>
      </c>
      <c r="AF26" s="2">
        <f t="shared" ref="AF26:AF29" si="33">IF(AND(A26&gt;0,NOT(A26="***")),-($W$9*(3*$W$2*Y26-5*W26*$W$3*Y26+2*W26*$W$4)*(6*$W$2*(-X26+$W$9)*Y26+W26*(5*(3-2*$W$3*$W$9)*Y26-9*X26*$W$4+4*$W$9*$W$4)))/AG26,"")</f>
        <v>-1.7580170571638522E-3</v>
      </c>
      <c r="AG26">
        <f t="shared" ref="AG26:AG29" si="34">IF(AND(A26&gt;0,NOT(A26="***")),(3*$W$2*($W$9*Y26-X26*$W$8)+W26*(-5*$W$3*$W$9*Y26-6*$W$8+9*$W$3*X26*$W$8+2*$W$9*$W$4))^2,"")</f>
        <v>171671558.63099164</v>
      </c>
    </row>
    <row r="27" spans="1:33" ht="15">
      <c r="A27">
        <v>12</v>
      </c>
      <c r="C27" s="101">
        <v>2.3495649E-5</v>
      </c>
      <c r="D27" s="101">
        <v>6.3438690000000006E-5</v>
      </c>
      <c r="E27" s="101">
        <v>1.1327997E-4</v>
      </c>
      <c r="F27" s="101">
        <v>8.4802641000000006E-6</v>
      </c>
      <c r="G27" s="101">
        <v>2.0117580000000001E-5</v>
      </c>
      <c r="H27" s="101">
        <v>4.8556520999999999E-5</v>
      </c>
      <c r="I27" s="101">
        <v>0.29526495000000003</v>
      </c>
      <c r="J27" s="101">
        <v>5.1202617999999999E-4</v>
      </c>
      <c r="K27" s="101">
        <v>9.9748232000000006E-2</v>
      </c>
      <c r="L27" s="101">
        <v>2.7647913000000002E-4</v>
      </c>
      <c r="M27" s="101">
        <v>48.991844</v>
      </c>
      <c r="N27" s="101">
        <v>9.9568380999999997E-2</v>
      </c>
      <c r="O27" s="101">
        <v>0.29081044</v>
      </c>
      <c r="P27" s="101">
        <v>48.904895000000003</v>
      </c>
      <c r="Q27" s="106">
        <f t="shared" si="18"/>
        <v>5.6534040201906173</v>
      </c>
      <c r="R27" s="113">
        <f t="shared" si="19"/>
        <v>4.7768912949999997E-4</v>
      </c>
      <c r="S27" s="113">
        <f t="shared" si="20"/>
        <v>0.29525065107795001</v>
      </c>
      <c r="T27" s="113">
        <f t="shared" si="21"/>
        <v>9.9704764830500003E-2</v>
      </c>
      <c r="U27" s="113">
        <f t="shared" si="22"/>
        <v>9.9524913830499995E-2</v>
      </c>
      <c r="V27" s="113">
        <f t="shared" si="23"/>
        <v>0.290665440685</v>
      </c>
      <c r="W27" s="101">
        <f t="shared" si="24"/>
        <v>2.9612491597556216</v>
      </c>
      <c r="X27" s="101">
        <f t="shared" si="25"/>
        <v>2.9205294382874798</v>
      </c>
      <c r="Y27" s="101">
        <f t="shared" si="26"/>
        <v>491.38344478538812</v>
      </c>
      <c r="Z27" s="101">
        <f t="shared" si="27"/>
        <v>8.4647082102407925E-5</v>
      </c>
      <c r="AA27" s="2">
        <f t="shared" si="28"/>
        <v>491.57247854545778</v>
      </c>
      <c r="AB27" s="2">
        <f t="shared" si="29"/>
        <v>-482.24016441318633</v>
      </c>
      <c r="AC27" s="2">
        <f t="shared" si="30"/>
        <v>1423.3554602578829</v>
      </c>
      <c r="AD27" s="2">
        <f t="shared" si="31"/>
        <v>-2.9109108055851274</v>
      </c>
      <c r="AE27" s="2">
        <f t="shared" si="32"/>
        <v>169.07912967520161</v>
      </c>
      <c r="AF27" s="2">
        <f t="shared" si="33"/>
        <v>-1.7578055073912936E-3</v>
      </c>
      <c r="AG27">
        <f t="shared" si="34"/>
        <v>171677039.00973281</v>
      </c>
    </row>
    <row r="28" spans="1:33" ht="15">
      <c r="A28">
        <v>13</v>
      </c>
      <c r="C28" s="101">
        <v>4.7406441000000003E-6</v>
      </c>
      <c r="D28" s="101">
        <v>6.0309541000000001E-5</v>
      </c>
      <c r="E28" s="101">
        <v>1.3110252999999999E-4</v>
      </c>
      <c r="F28" s="101">
        <v>-1.0255395E-5</v>
      </c>
      <c r="G28" s="101">
        <v>2.9209119E-5</v>
      </c>
      <c r="H28" s="101">
        <v>5.8071742000000003E-5</v>
      </c>
      <c r="I28" s="101">
        <v>0.29291022999999999</v>
      </c>
      <c r="J28" s="101">
        <v>4.8819092000000001E-4</v>
      </c>
      <c r="K28" s="101">
        <v>9.8970342000000003E-2</v>
      </c>
      <c r="L28" s="101">
        <v>2.7326472E-4</v>
      </c>
      <c r="M28" s="101">
        <v>48.611485000000002</v>
      </c>
      <c r="N28" s="101">
        <v>9.8841956999999994E-2</v>
      </c>
      <c r="O28" s="101">
        <v>0.28867224000000002</v>
      </c>
      <c r="P28" s="101">
        <v>48.549160999999998</v>
      </c>
      <c r="Q28" s="106">
        <f t="shared" si="18"/>
        <v>5.6286187932269316</v>
      </c>
      <c r="R28" s="113">
        <f t="shared" si="19"/>
        <v>4.4455048949999999E-4</v>
      </c>
      <c r="S28" s="113">
        <f t="shared" si="20"/>
        <v>0.29290075313800001</v>
      </c>
      <c r="T28" s="113">
        <f t="shared" si="21"/>
        <v>9.8937816907450002E-2</v>
      </c>
      <c r="U28" s="113">
        <f t="shared" si="22"/>
        <v>9.8809431907449993E-2</v>
      </c>
      <c r="V28" s="113">
        <f t="shared" si="23"/>
        <v>0.28851098269950004</v>
      </c>
      <c r="W28" s="101">
        <f t="shared" si="24"/>
        <v>2.9604529622074636</v>
      </c>
      <c r="X28" s="101">
        <f t="shared" si="25"/>
        <v>2.9198729021105425</v>
      </c>
      <c r="Y28" s="101">
        <f t="shared" si="26"/>
        <v>491.34136349932305</v>
      </c>
      <c r="Z28" s="101">
        <f t="shared" si="27"/>
        <v>7.0372227791815829E-5</v>
      </c>
      <c r="AA28" s="2">
        <f t="shared" si="28"/>
        <v>491.50932782869518</v>
      </c>
      <c r="AB28" s="2">
        <f t="shared" si="29"/>
        <v>-482.20571756898454</v>
      </c>
      <c r="AC28" s="2">
        <f t="shared" si="30"/>
        <v>1422.8292036585988</v>
      </c>
      <c r="AD28" s="2">
        <f t="shared" si="31"/>
        <v>-2.9102124334001598</v>
      </c>
      <c r="AE28" s="2">
        <f t="shared" si="32"/>
        <v>169.10042744193356</v>
      </c>
      <c r="AF28" s="2">
        <f t="shared" si="33"/>
        <v>-1.7578760639811359E-3</v>
      </c>
      <c r="AG28">
        <f t="shared" si="34"/>
        <v>171589701.93559933</v>
      </c>
    </row>
    <row r="29" spans="1:33" ht="15">
      <c r="A29">
        <v>14</v>
      </c>
      <c r="C29" s="101">
        <v>1.1413160999999999E-5</v>
      </c>
      <c r="D29" s="101">
        <v>5.4190505999999999E-5</v>
      </c>
      <c r="E29" s="101">
        <v>1.2904434E-4</v>
      </c>
      <c r="F29" s="101">
        <v>2.8331417000000001E-6</v>
      </c>
      <c r="G29" s="101">
        <v>2.9443613999999999E-5</v>
      </c>
      <c r="H29" s="101">
        <v>4.9950987999999997E-5</v>
      </c>
      <c r="I29" s="101">
        <v>0.29113688999999998</v>
      </c>
      <c r="J29" s="101">
        <v>4.8881398000000004E-4</v>
      </c>
      <c r="K29" s="101">
        <v>9.8363664000000003E-2</v>
      </c>
      <c r="L29" s="101">
        <v>2.6578202000000003E-4</v>
      </c>
      <c r="M29" s="101">
        <v>48.316994999999999</v>
      </c>
      <c r="N29" s="101">
        <v>9.8235902E-2</v>
      </c>
      <c r="O29" s="101">
        <v>0.28689934</v>
      </c>
      <c r="P29" s="101">
        <v>48.252546000000002</v>
      </c>
      <c r="Q29" s="106">
        <f t="shared" si="18"/>
        <v>5.5081450002658929</v>
      </c>
      <c r="R29" s="113">
        <f t="shared" si="19"/>
        <v>4.4911667900000005E-4</v>
      </c>
      <c r="S29" s="113">
        <f t="shared" si="20"/>
        <v>0.29112075162215001</v>
      </c>
      <c r="T29" s="113">
        <f t="shared" si="21"/>
        <v>9.8330862166499999E-2</v>
      </c>
      <c r="U29" s="113">
        <f t="shared" si="22"/>
        <v>9.8203100166499996E-2</v>
      </c>
      <c r="V29" s="113">
        <f t="shared" si="23"/>
        <v>0.28674320040700002</v>
      </c>
      <c r="W29" s="101">
        <f t="shared" si="24"/>
        <v>2.9606244184984978</v>
      </c>
      <c r="X29" s="101">
        <f t="shared" si="25"/>
        <v>2.9198996764953118</v>
      </c>
      <c r="Y29" s="101">
        <f t="shared" si="26"/>
        <v>491.35461017207666</v>
      </c>
      <c r="Z29" s="101">
        <f t="shared" si="27"/>
        <v>8.6579258146879956E-5</v>
      </c>
      <c r="AA29" s="2">
        <f t="shared" si="28"/>
        <v>491.54646654245539</v>
      </c>
      <c r="AB29" s="2">
        <f t="shared" si="29"/>
        <v>-482.21089895594139</v>
      </c>
      <c r="AC29" s="2">
        <f t="shared" si="30"/>
        <v>1422.9734404976807</v>
      </c>
      <c r="AD29" s="2">
        <f t="shared" si="31"/>
        <v>-2.9102863354210839</v>
      </c>
      <c r="AE29" s="2">
        <f t="shared" si="32"/>
        <v>169.10220929691531</v>
      </c>
      <c r="AF29" s="2">
        <f t="shared" si="33"/>
        <v>-1.7579833089929615E-3</v>
      </c>
      <c r="AG29">
        <f t="shared" si="34"/>
        <v>171603990.26446974</v>
      </c>
    </row>
    <row r="30" spans="1:33" ht="15">
      <c r="A30">
        <v>15</v>
      </c>
      <c r="C30" s="101">
        <v>1.9359382E-6</v>
      </c>
      <c r="D30" s="101">
        <v>5.2548998999999998E-5</v>
      </c>
      <c r="E30" s="101">
        <v>1.314903E-4</v>
      </c>
      <c r="F30" s="101">
        <v>-1.1778359E-5</v>
      </c>
      <c r="G30" s="101">
        <v>2.2235474E-5</v>
      </c>
      <c r="H30" s="101">
        <v>4.9041229E-5</v>
      </c>
      <c r="I30" s="101">
        <v>0.28933006</v>
      </c>
      <c r="J30" s="101">
        <v>4.9730800999999998E-4</v>
      </c>
      <c r="K30" s="101">
        <v>9.7763553000000003E-2</v>
      </c>
      <c r="L30" s="101">
        <v>2.6413342E-4</v>
      </c>
      <c r="M30" s="101">
        <v>48.014009000000001</v>
      </c>
      <c r="N30" s="101">
        <v>9.7803929999999997E-2</v>
      </c>
      <c r="O30" s="101">
        <v>0.28574516</v>
      </c>
      <c r="P30" s="101">
        <v>48.054174000000003</v>
      </c>
      <c r="Q30" s="106">
        <f t="shared" ref="Q30:Q32" si="35">(L30/P30)*1000000</f>
        <v>5.4965760102337828</v>
      </c>
      <c r="R30" s="113">
        <f t="shared" ref="R30:R32" si="36">J30-((G30+H30)/2)</f>
        <v>4.6166965849999997E-4</v>
      </c>
      <c r="S30" s="113">
        <f t="shared" ref="S30:S32" si="37">I30-((F30+G30)/2)</f>
        <v>0.28932483144249999</v>
      </c>
      <c r="T30" s="113">
        <f t="shared" ref="T30:T32" si="38">K30-((C30+D30)/2)</f>
        <v>9.77363105314E-2</v>
      </c>
      <c r="U30" s="113">
        <f t="shared" ref="U30:U32" si="39">N30-((D30+C30)/2)</f>
        <v>9.7776687531399994E-2</v>
      </c>
      <c r="V30" s="113">
        <f t="shared" ref="V30:V32" si="40">O30-((E30+D30/2))</f>
        <v>0.28558739520049997</v>
      </c>
      <c r="W30" s="101">
        <f t="shared" ref="W30:W32" si="41">IF(AND(A30&gt;0,NOT(A30="***")),S30/T30,"")</f>
        <v>2.960259394583427</v>
      </c>
      <c r="X30" s="101">
        <f t="shared" ref="X30:X32" si="42">IF(AND(A30&gt;0,NOT(A30="***")),V30/U30,"")</f>
        <v>2.9208127459706228</v>
      </c>
      <c r="Y30" s="101">
        <f t="shared" ref="Y30:Y32" si="43">IF(AND(A30&gt;0,NOT(A30="***")),P30/U30,"")</f>
        <v>491.46862317838179</v>
      </c>
      <c r="Z30" s="101">
        <f t="shared" ref="Z30:Z32" si="44">IF(AND(A30&gt;0,NOT(A30="***")),(W30-$W$2*X30+$W$2*$W$7-W30*$W$3*$W$7)/(3*$W$2*X30-2*$W$2*$W$7),"")</f>
        <v>-5.9041197490065682E-5</v>
      </c>
      <c r="AA30" s="2">
        <f t="shared" ref="AA30:AA32" si="45">IF(AND(A30&gt;0,NOT(A30="***")),($W$2*Y30+5*Z30*$W$2*Y30-W30*$W$4)/($W$2+2*Z30*$W$2-W30*$W$3),"")</f>
        <v>491.44581481490593</v>
      </c>
      <c r="AB30" s="2">
        <f t="shared" ref="AB30:AB32" si="46">IF(AND(A30&gt;0,NOT(A30="***")),-(3*W30*$W$8*(5*$W$9*Y30-9*X30*$W$8+4*$W$9*$W$8)*((-3+2*$W$3*X30)*Y30+X30*$W$4))/AG30,"")</f>
        <v>-482.39322673263757</v>
      </c>
      <c r="AC30" s="2">
        <f t="shared" ref="AC30:AC32" si="47">IF(AND(A30&gt;0,NOT(A30="***")),((3*W30*$W$8*(5*$W$9*Y30-9*X30*$W$8+4*$W$9*Y30)*(-5*W30*Y30+2*$W$2*X30*Y30+3*W30*X30*$W$4)))/AG30,"")</f>
        <v>1422.9179779209583</v>
      </c>
      <c r="AD30" s="2">
        <f t="shared" ref="AD30:AD32" si="48">IF(AND(A30&gt;0,NOT(A30="***")),(3*W30*(-$W$2*X30+W30*(-2+3*$W$3*X30))*$W$8*(-5*$W$9*Y30+9*X30*$W$8-4*$W$9*$W$8))/AG30,"")</f>
        <v>-2.9107769298360275</v>
      </c>
      <c r="AE30" s="2">
        <f t="shared" ref="AE30:AE32" si="49">IF(AND(A30&gt;0,NOT(A30="***")),(3*$W$8*(3*$W$2*Y30-5*W30*$W$3*Y30+2*W30*$W$4)*(2*$W$2*X30*(-Y30+$W$8)+W30*(5*Y30+4*$W$8-6*$W$3*X30*$W$8-3*X30*$W$4)))/AG30,"")</f>
        <v>169.12614550942192</v>
      </c>
      <c r="AF30" s="2">
        <f t="shared" ref="AF30:AF32" si="50">IF(AND(A30&gt;0,NOT(A30="***")),-($W$9*(3*$W$2*Y30-5*W30*$W$3*Y30+2*W30*$W$4)*(6*$W$2*(-X30+$W$9)*Y30+W30*(5*(3-2*$W$3*$W$9)*Y30-9*X30*$W$4+4*$W$9*$W$4)))/AG30,"")</f>
        <v>-1.7579916501733134E-3</v>
      </c>
      <c r="AG30">
        <f t="shared" ref="AG30:AG32" si="51">IF(AND(A30&gt;0,NOT(A30="***")),(3*$W$2*($W$9*Y30-X30*$W$8)+W30*(-5*$W$3*$W$9*Y30-6*$W$8+9*$W$3*X30*$W$8+2*$W$9*$W$4))^2,"")</f>
        <v>171611587.96329561</v>
      </c>
    </row>
    <row r="31" spans="1:33" ht="15">
      <c r="A31">
        <v>16</v>
      </c>
      <c r="C31" s="101">
        <v>5.9555382E-5</v>
      </c>
      <c r="D31" s="101">
        <v>2.7883492E-5</v>
      </c>
      <c r="E31" s="101">
        <v>1.1829203E-4</v>
      </c>
      <c r="F31" s="101">
        <v>1.3835344E-5</v>
      </c>
      <c r="G31" s="101">
        <v>-4.1635164000000002E-6</v>
      </c>
      <c r="H31" s="101">
        <v>3.5833631E-5</v>
      </c>
      <c r="I31" s="101">
        <v>0.28873694</v>
      </c>
      <c r="J31" s="101">
        <v>4.6705850000000002E-4</v>
      </c>
      <c r="K31" s="101">
        <v>9.7530732999999994E-2</v>
      </c>
      <c r="L31" s="101">
        <v>2.1579012E-4</v>
      </c>
      <c r="M31" s="101">
        <v>47.907626999999998</v>
      </c>
      <c r="N31" s="101">
        <v>9.7406528000000006E-2</v>
      </c>
      <c r="O31" s="101">
        <v>0.28459917000000001</v>
      </c>
      <c r="P31" s="101">
        <v>47.866584000000003</v>
      </c>
      <c r="Q31" s="106">
        <f t="shared" si="35"/>
        <v>4.5081579249524051</v>
      </c>
      <c r="R31" s="113">
        <f t="shared" si="36"/>
        <v>4.5122344270000003E-4</v>
      </c>
      <c r="S31" s="113">
        <f t="shared" si="37"/>
        <v>0.28873210408619998</v>
      </c>
      <c r="T31" s="113">
        <f t="shared" si="38"/>
        <v>9.7487013562999991E-2</v>
      </c>
      <c r="U31" s="113">
        <f t="shared" si="39"/>
        <v>9.7362808563000003E-2</v>
      </c>
      <c r="V31" s="113">
        <f t="shared" si="40"/>
        <v>0.28446693622399999</v>
      </c>
      <c r="W31" s="101">
        <f t="shared" si="41"/>
        <v>2.9617494016227073</v>
      </c>
      <c r="X31" s="101">
        <f t="shared" si="42"/>
        <v>2.921720731175617</v>
      </c>
      <c r="Y31" s="101">
        <f t="shared" si="43"/>
        <v>491.63109308856104</v>
      </c>
      <c r="Z31" s="101">
        <f t="shared" si="44"/>
        <v>4.4224145982265661E-6</v>
      </c>
      <c r="AA31" s="2">
        <f t="shared" si="45"/>
        <v>491.70192625947385</v>
      </c>
      <c r="AB31" s="2">
        <f t="shared" si="46"/>
        <v>-482.52214771645924</v>
      </c>
      <c r="AC31" s="2">
        <f t="shared" si="47"/>
        <v>1424.197891935964</v>
      </c>
      <c r="AD31" s="2">
        <f t="shared" si="48"/>
        <v>-2.911870187281747</v>
      </c>
      <c r="AE31" s="2">
        <f t="shared" si="49"/>
        <v>169.13720032194513</v>
      </c>
      <c r="AF31" s="2">
        <f t="shared" si="50"/>
        <v>-1.7587184813220834E-3</v>
      </c>
      <c r="AG31">
        <f t="shared" si="51"/>
        <v>171762325.93996772</v>
      </c>
    </row>
    <row r="32" spans="1:33" ht="15">
      <c r="A32">
        <v>17</v>
      </c>
      <c r="C32" s="101">
        <v>2.8094409000000001E-5</v>
      </c>
      <c r="D32" s="101">
        <v>2.8381082999999999E-5</v>
      </c>
      <c r="E32" s="101">
        <v>1.1479627E-4</v>
      </c>
      <c r="F32" s="101">
        <v>-9.6394056999999995E-6</v>
      </c>
      <c r="G32" s="101">
        <v>-9.1998739000000004E-6</v>
      </c>
      <c r="H32" s="101">
        <v>2.7714212999999999E-5</v>
      </c>
      <c r="I32" s="101">
        <v>0.28731034</v>
      </c>
      <c r="J32" s="101">
        <v>4.6354430999999999E-4</v>
      </c>
      <c r="K32" s="101">
        <v>9.7079579999999999E-2</v>
      </c>
      <c r="L32" s="101">
        <v>2.5625783000000001E-4</v>
      </c>
      <c r="M32" s="101">
        <v>47.684936999999998</v>
      </c>
      <c r="N32" s="101">
        <v>9.6989295000000003E-2</v>
      </c>
      <c r="O32" s="101">
        <v>0.28341706999999999</v>
      </c>
      <c r="P32" s="101">
        <v>47.668869000000001</v>
      </c>
      <c r="Q32" s="106">
        <f t="shared" si="35"/>
        <v>5.3757900150725204</v>
      </c>
      <c r="R32" s="113">
        <f t="shared" si="36"/>
        <v>4.5428714044999999E-4</v>
      </c>
      <c r="S32" s="113">
        <f t="shared" si="37"/>
        <v>0.2873197596398</v>
      </c>
      <c r="T32" s="113">
        <f t="shared" si="38"/>
        <v>9.7051342254E-2</v>
      </c>
      <c r="U32" s="113">
        <f t="shared" si="39"/>
        <v>9.6961057254000005E-2</v>
      </c>
      <c r="V32" s="113">
        <f t="shared" si="40"/>
        <v>0.28328808318850002</v>
      </c>
      <c r="W32" s="101">
        <f t="shared" si="41"/>
        <v>2.960492384410665</v>
      </c>
      <c r="X32" s="101">
        <f t="shared" si="42"/>
        <v>2.9216686699939354</v>
      </c>
      <c r="Y32" s="101">
        <f t="shared" si="43"/>
        <v>491.62901426627627</v>
      </c>
      <c r="Z32" s="101">
        <f t="shared" si="44"/>
        <v>-1.3084411803784986E-4</v>
      </c>
      <c r="AA32" s="2">
        <f t="shared" si="45"/>
        <v>491.5002575454514</v>
      </c>
      <c r="AB32" s="2">
        <f t="shared" si="46"/>
        <v>-482.58546982686994</v>
      </c>
      <c r="AC32" s="2">
        <f t="shared" si="47"/>
        <v>1423.3907534707294</v>
      </c>
      <c r="AD32" s="2">
        <f t="shared" si="48"/>
        <v>-2.9114247667290973</v>
      </c>
      <c r="AE32" s="2">
        <f t="shared" si="49"/>
        <v>169.16220593600366</v>
      </c>
      <c r="AF32" s="2">
        <f t="shared" si="50"/>
        <v>-1.7584965926714306E-3</v>
      </c>
      <c r="AG32">
        <f t="shared" si="51"/>
        <v>171663100.47243455</v>
      </c>
    </row>
    <row r="33" spans="1:33" ht="15">
      <c r="A33">
        <v>18</v>
      </c>
      <c r="C33" s="101">
        <v>2.450587E-5</v>
      </c>
      <c r="D33" s="101">
        <v>1.9183216999999999E-5</v>
      </c>
      <c r="E33" s="101">
        <v>1.0966625999999999E-4</v>
      </c>
      <c r="F33" s="101">
        <v>-8.0096389000000004E-6</v>
      </c>
      <c r="G33" s="101">
        <v>-1.7470603999999999E-5</v>
      </c>
      <c r="H33" s="101">
        <v>2.4382686000000001E-5</v>
      </c>
      <c r="I33" s="101">
        <v>0.28627842999999997</v>
      </c>
      <c r="J33" s="101">
        <v>4.4319846000000001E-4</v>
      </c>
      <c r="K33" s="101">
        <v>9.6723905999999998E-2</v>
      </c>
      <c r="L33" s="101">
        <v>2.5706326999999998E-4</v>
      </c>
      <c r="M33" s="101">
        <v>47.511284000000003</v>
      </c>
      <c r="N33" s="101">
        <v>9.6616807999999998E-2</v>
      </c>
      <c r="O33" s="101">
        <v>0.28222702999999999</v>
      </c>
      <c r="P33" s="101">
        <v>47.467547000000003</v>
      </c>
      <c r="Q33" s="106">
        <f t="shared" ref="Q33:Q35" si="52">(L33/P33)*1000000</f>
        <v>5.4155583392586086</v>
      </c>
      <c r="R33" s="113">
        <f t="shared" ref="R33:R35" si="53">J33-((G33+H33)/2)</f>
        <v>4.3974241900000003E-4</v>
      </c>
      <c r="S33" s="113">
        <f t="shared" ref="S33:S35" si="54">I33-((F33+G33)/2)</f>
        <v>0.28629117012144994</v>
      </c>
      <c r="T33" s="113">
        <f t="shared" ref="T33:T35" si="55">K33-((C33+D33)/2)</f>
        <v>9.6702061456499996E-2</v>
      </c>
      <c r="U33" s="113">
        <f t="shared" ref="U33:U35" si="56">N33-((D33+C33)/2)</f>
        <v>9.6594963456499996E-2</v>
      </c>
      <c r="V33" s="113">
        <f t="shared" ref="V33:V35" si="57">O33-((E33+D33/2))</f>
        <v>0.28210777213150001</v>
      </c>
      <c r="W33" s="101">
        <f t="shared" ref="W33:W35" si="58">IF(AND(A33&gt;0,NOT(A33="***")),S33/T33,"")</f>
        <v>2.9605487805472879</v>
      </c>
      <c r="X33" s="101">
        <f t="shared" ref="X33:X35" si="59">IF(AND(A33&gt;0,NOT(A33="***")),V33/U33,"")</f>
        <v>2.920522582510658</v>
      </c>
      <c r="Y33" s="101">
        <f t="shared" ref="Y33:Y35" si="60">IF(AND(A33&gt;0,NOT(A33="***")),P33/U33,"")</f>
        <v>491.40809521995686</v>
      </c>
      <c r="Z33" s="101">
        <f t="shared" ref="Z33:Z35" si="61">IF(AND(A33&gt;0,NOT(A33="***")),(W33-$W$2*X33+$W$2*$W$7-W33*$W$3*$W$7)/(3*$W$2*X33-2*$W$2*$W$7),"")</f>
        <v>6.713183743363369E-6</v>
      </c>
      <c r="AA33" s="2">
        <f t="shared" ref="AA33:AA35" si="62">IF(AND(A33&gt;0,NOT(A33="***")),($W$2*Y33+5*Z33*$W$2*Y33-W33*$W$4)/($W$2+2*Z33*$W$2-W33*$W$3),"")</f>
        <v>491.48224707488731</v>
      </c>
      <c r="AB33" s="2">
        <f t="shared" ref="AB33:AB35" si="63">IF(AND(A33&gt;0,NOT(A33="***")),-(3*W33*$W$8*(5*$W$9*Y33-9*X33*$W$8+4*$W$9*$W$8)*((-3+2*$W$3*X33)*Y33+X33*$W$4))/AG33,"")</f>
        <v>-482.30201326300642</v>
      </c>
      <c r="AC33" s="2">
        <f t="shared" ref="AC33:AC35" si="64">IF(AND(A33&gt;0,NOT(A33="***")),((3*W33*$W$8*(5*$W$9*Y33-9*X33*$W$8+4*$W$9*Y33)*(-5*W33*Y33+2*$W$2*X33*Y33+3*W33*X33*$W$4)))/AG33,"")</f>
        <v>1422.9770480402954</v>
      </c>
      <c r="AD33" s="2">
        <f t="shared" ref="AD33:AD35" si="65">IF(AND(A33&gt;0,NOT(A33="***")),(3*W33*(-$W$2*X33+W33*(-2+3*$W$3*X33))*$W$8*(-5*$W$9*Y33+9*X33*$W$8-4*$W$9*$W$8))/AG33,"")</f>
        <v>-2.9106775986130575</v>
      </c>
      <c r="AE33" s="2">
        <f t="shared" ref="AE33:AE35" si="66">IF(AND(A33&gt;0,NOT(A33="***")),(3*$W$8*(3*$W$2*Y33-5*W33*$W$3*Y33+2*W33*$W$4)*(2*$W$2*X33*(-Y33+$W$8)+W33*(5*Y33+4*$W$8-6*$W$3*X33*$W$8-3*X33*$W$4)))/AG33,"")</f>
        <v>169.10407021597982</v>
      </c>
      <c r="AF33" s="2">
        <f t="shared" ref="AF33:AF35" si="67">IF(AND(A33&gt;0,NOT(A33="***")),-($W$9*(3*$W$2*Y33-5*W33*$W$3*Y33+2*W33*$W$4)*(6*$W$2*(-X33+$W$9)*Y33+W33*(5*(3-2*$W$3*$W$9)*Y33-9*X33*$W$4+4*$W$9*$W$4)))/AG33,"")</f>
        <v>-1.7578492338767675E-3</v>
      </c>
      <c r="AG33">
        <f t="shared" ref="AG33:AG35" si="68">IF(AND(A33&gt;0,NOT(A33="***")),(3*$W$2*($W$9*Y33-X33*$W$8)+W33*(-5*$W$3*$W$9*Y33-6*$W$8+9*$W$3*X33*$W$8+2*$W$9*$W$4))^2,"")</f>
        <v>171622603.65259922</v>
      </c>
    </row>
    <row r="34" spans="1:33" ht="15">
      <c r="A34">
        <v>19</v>
      </c>
      <c r="C34" s="101">
        <v>-5.1155173000000001E-6</v>
      </c>
      <c r="D34" s="101">
        <v>2.4392818000000001E-5</v>
      </c>
      <c r="E34" s="101">
        <v>1.081639E-4</v>
      </c>
      <c r="F34" s="101">
        <v>-2.5922307999999999E-5</v>
      </c>
      <c r="G34" s="101">
        <v>-2.0207393999999999E-5</v>
      </c>
      <c r="H34" s="101">
        <v>4.2106440999999999E-5</v>
      </c>
      <c r="I34" s="101">
        <v>0.28670836999999999</v>
      </c>
      <c r="J34" s="101">
        <v>4.5637268999999998E-4</v>
      </c>
      <c r="K34" s="101">
        <v>9.6864036000000001E-2</v>
      </c>
      <c r="L34" s="101">
        <v>2.5304357E-4</v>
      </c>
      <c r="M34" s="101">
        <v>47.584091000000001</v>
      </c>
      <c r="N34" s="101">
        <v>9.7104014000000002E-2</v>
      </c>
      <c r="O34" s="101">
        <v>0.28364358000000001</v>
      </c>
      <c r="P34" s="101">
        <v>47.706034000000002</v>
      </c>
      <c r="Q34" s="106">
        <f t="shared" si="52"/>
        <v>5.3042256667154515</v>
      </c>
      <c r="R34" s="113">
        <f t="shared" si="53"/>
        <v>4.4542316650000001E-4</v>
      </c>
      <c r="S34" s="113">
        <f t="shared" si="54"/>
        <v>0.286731434851</v>
      </c>
      <c r="T34" s="113">
        <f t="shared" si="55"/>
        <v>9.6854397349649998E-2</v>
      </c>
      <c r="U34" s="113">
        <f t="shared" si="56"/>
        <v>9.709437534965E-2</v>
      </c>
      <c r="V34" s="113">
        <f t="shared" si="57"/>
        <v>0.28352321969100003</v>
      </c>
      <c r="W34" s="101">
        <f t="shared" si="58"/>
        <v>2.9604379635535065</v>
      </c>
      <c r="X34" s="101">
        <f t="shared" si="59"/>
        <v>2.9200787241278858</v>
      </c>
      <c r="Y34" s="101">
        <f t="shared" si="60"/>
        <v>491.33674147656967</v>
      </c>
      <c r="Z34" s="101">
        <f t="shared" si="61"/>
        <v>4.510324813358498E-5</v>
      </c>
      <c r="AA34" s="2">
        <f t="shared" si="62"/>
        <v>491.46746408710646</v>
      </c>
      <c r="AB34" s="2">
        <f t="shared" si="63"/>
        <v>-482.21338805942509</v>
      </c>
      <c r="AC34" s="2">
        <f t="shared" si="64"/>
        <v>1422.7723873480709</v>
      </c>
      <c r="AD34" s="2">
        <f t="shared" si="65"/>
        <v>-2.9103449049348105</v>
      </c>
      <c r="AE34" s="2">
        <f t="shared" si="66"/>
        <v>169.09060481950743</v>
      </c>
      <c r="AF34" s="2">
        <f t="shared" si="67"/>
        <v>-1.7576739465491819E-3</v>
      </c>
      <c r="AG34">
        <f t="shared" si="68"/>
        <v>171596651.57392132</v>
      </c>
    </row>
    <row r="35" spans="1:33" ht="15">
      <c r="A35">
        <v>20</v>
      </c>
      <c r="C35" s="101">
        <v>-5.1593677000000002E-6</v>
      </c>
      <c r="D35" s="101">
        <v>1.481803E-5</v>
      </c>
      <c r="E35" s="101">
        <v>1.0448497E-4</v>
      </c>
      <c r="F35" s="101">
        <v>-1.0070599E-5</v>
      </c>
      <c r="G35" s="101">
        <v>-1.9355447E-5</v>
      </c>
      <c r="H35" s="101">
        <v>2.7274535E-5</v>
      </c>
      <c r="I35" s="101">
        <v>0.28995344000000001</v>
      </c>
      <c r="J35" s="101">
        <v>4.5530184999999999E-4</v>
      </c>
      <c r="K35" s="101">
        <v>9.7960489999999997E-2</v>
      </c>
      <c r="L35" s="101">
        <v>2.6259689E-4</v>
      </c>
      <c r="M35" s="101">
        <v>48.125072000000003</v>
      </c>
      <c r="N35" s="101">
        <v>9.8031859999999998E-2</v>
      </c>
      <c r="O35" s="101">
        <v>0.28645278000000002</v>
      </c>
      <c r="P35" s="101">
        <v>48.179856000000001</v>
      </c>
      <c r="Q35" s="106">
        <f t="shared" si="52"/>
        <v>5.4503460948492668</v>
      </c>
      <c r="R35" s="113">
        <f t="shared" si="53"/>
        <v>4.51342306E-4</v>
      </c>
      <c r="S35" s="113">
        <f t="shared" si="54"/>
        <v>0.289968153023</v>
      </c>
      <c r="T35" s="113">
        <f t="shared" si="55"/>
        <v>9.7955660668850003E-2</v>
      </c>
      <c r="U35" s="113">
        <f t="shared" si="56"/>
        <v>9.8027030668850004E-2</v>
      </c>
      <c r="V35" s="113">
        <f t="shared" si="57"/>
        <v>0.28634088601500002</v>
      </c>
      <c r="W35" s="101">
        <f t="shared" si="58"/>
        <v>2.9601980226877296</v>
      </c>
      <c r="X35" s="101">
        <f t="shared" si="59"/>
        <v>2.9210400851812235</v>
      </c>
      <c r="Y35" s="101">
        <f t="shared" si="60"/>
        <v>491.4956178032034</v>
      </c>
      <c r="Z35" s="101">
        <f t="shared" si="61"/>
        <v>-9.1967543128685346E-5</v>
      </c>
      <c r="AA35" s="2">
        <f t="shared" si="62"/>
        <v>491.42424057692369</v>
      </c>
      <c r="AB35" s="2">
        <f t="shared" si="63"/>
        <v>-482.43565148938046</v>
      </c>
      <c r="AC35" s="2">
        <f t="shared" si="64"/>
        <v>1422.919075705229</v>
      </c>
      <c r="AD35" s="2">
        <f t="shared" si="65"/>
        <v>-2.9109086797521257</v>
      </c>
      <c r="AE35" s="2">
        <f t="shared" si="66"/>
        <v>169.13090030358507</v>
      </c>
      <c r="AF35" s="2">
        <f t="shared" si="67"/>
        <v>-1.7579895185611547E-3</v>
      </c>
      <c r="AG35">
        <f t="shared" si="68"/>
        <v>171615762.3486892</v>
      </c>
    </row>
    <row r="36" spans="1:33" ht="15">
      <c r="A36">
        <v>21</v>
      </c>
      <c r="C36" s="101">
        <v>1.1864051E-5</v>
      </c>
      <c r="D36" s="101">
        <v>6.5504923999999996E-5</v>
      </c>
      <c r="E36" s="101">
        <v>1.0500681999999999E-4</v>
      </c>
      <c r="F36" s="101">
        <v>2.0112539000000002E-6</v>
      </c>
      <c r="G36" s="101">
        <v>1.1561300000000001E-5</v>
      </c>
      <c r="H36" s="101">
        <v>3.7984527999999999E-5</v>
      </c>
      <c r="I36" s="101">
        <v>0.30005875999999998</v>
      </c>
      <c r="J36" s="101">
        <v>5.1756469000000004E-4</v>
      </c>
      <c r="K36" s="101">
        <v>0.10137837</v>
      </c>
      <c r="L36" s="101">
        <v>3.1080531E-4</v>
      </c>
      <c r="M36" s="101">
        <v>49.812705000000001</v>
      </c>
      <c r="N36" s="101">
        <v>0.10122137</v>
      </c>
      <c r="O36" s="101">
        <v>0.29564697000000001</v>
      </c>
      <c r="P36" s="101">
        <v>49.735621000000002</v>
      </c>
      <c r="Q36" s="106">
        <f t="shared" ref="Q36:Q37" si="69">(L36/P36)*1000000</f>
        <v>6.2491490756695285</v>
      </c>
      <c r="R36" s="113">
        <f t="shared" ref="R36:R37" si="70">J36-((G36+H36)/2)</f>
        <v>4.9279177600000006E-4</v>
      </c>
      <c r="S36" s="113">
        <f t="shared" ref="S36:S37" si="71">I36-((F36+G36)/2)</f>
        <v>0.30005197372304998</v>
      </c>
      <c r="T36" s="113">
        <f t="shared" ref="T36:T37" si="72">K36-((C36+D36)/2)</f>
        <v>0.1013396855125</v>
      </c>
      <c r="U36" s="113">
        <f t="shared" ref="U36:U37" si="73">N36-((D36+C36)/2)</f>
        <v>0.10118268551250001</v>
      </c>
      <c r="V36" s="113">
        <f t="shared" ref="V36:V37" si="74">O36-((E36+D36/2))</f>
        <v>0.29550921071800001</v>
      </c>
      <c r="W36" s="101">
        <f t="shared" ref="W36:W37" si="75">IF(AND(A36&gt;0,NOT(A36="***")),S36/T36,"")</f>
        <v>2.9608536103660921</v>
      </c>
      <c r="X36" s="101">
        <f t="shared" ref="X36:X37" si="76">IF(AND(A36&gt;0,NOT(A36="***")),V36/U36,"")</f>
        <v>2.9205511715884738</v>
      </c>
      <c r="Y36" s="101">
        <f t="shared" ref="Y36:Y37" si="77">IF(AND(A36&gt;0,NOT(A36="***")),P36/U36,"")</f>
        <v>491.54280446386957</v>
      </c>
      <c r="Z36" s="101">
        <f t="shared" ref="Z36:Z37" si="78">IF(AND(A36&gt;0,NOT(A36="***")),(W36-$W$2*X36+$W$2*$W$7-W36*$W$3*$W$7)/(3*$W$2*X36-2*$W$2*$W$7),"")</f>
        <v>3.7699731350290942E-5</v>
      </c>
      <c r="AA36" s="2">
        <f t="shared" ref="AA36:AA37" si="79">IF(AND(A36&gt;0,NOT(A36="***")),($W$2*Y36+5*Z36*$W$2*Y36-W36*$W$4)/($W$2+2*Z36*$W$2-W36*$W$3),"")</f>
        <v>491.66267509073157</v>
      </c>
      <c r="AB36" s="2">
        <f t="shared" ref="AB36:AB37" si="80">IF(AND(A36&gt;0,NOT(A36="***")),-(3*W36*$W$8*(5*$W$9*Y36-9*X36*$W$8+4*$W$9*$W$8)*((-3+2*$W$3*X36)*Y36+X36*$W$4))/AG36,"")</f>
        <v>-482.41933357723292</v>
      </c>
      <c r="AC36" s="2">
        <f t="shared" ref="AC36:AC37" si="81">IF(AND(A36&gt;0,NOT(A36="***")),((3*W36*$W$8*(5*$W$9*Y36-9*X36*$W$8+4*$W$9*Y36)*(-5*W36*Y36+2*$W$2*X36*Y36+3*W36*X36*$W$4)))/AG36,"")</f>
        <v>1423.5580188832482</v>
      </c>
      <c r="AD36" s="2">
        <f t="shared" ref="AD36:AD37" si="82">IF(AND(A36&gt;0,NOT(A36="***")),(3*W36*(-$W$2*X36+W36*(-2+3*$W$3*X36))*$W$8*(-5*$W$9*Y36+9*X36*$W$8-4*$W$9*$W$8))/AG36,"")</f>
        <v>-2.9107967026025534</v>
      </c>
      <c r="AE36" s="2">
        <f t="shared" ref="AE36:AE37" si="83">IF(AND(A36&gt;0,NOT(A36="***")),(3*$W$8*(3*$W$2*Y36-5*W36*$W$3*Y36+2*W36*$W$4)*(2*$W$2*X36*(-Y36+$W$8)+W36*(5*Y36+4*$W$8-6*$W$3*X36*$W$8-3*X36*$W$4)))/AG36,"")</f>
        <v>169.15906697413786</v>
      </c>
      <c r="AF36" s="2">
        <f t="shared" ref="AF36:AF37" si="84">IF(AND(A36&gt;0,NOT(A36="***")),-($W$9*(3*$W$2*Y36-5*W36*$W$3*Y36+2*W36*$W$4)*(6*$W$2*(-X36+$W$9)*Y36+W36*(5*(3-2*$W$3*$W$9)*Y36-9*X36*$W$4+4*$W$9*$W$4)))/AG36,"")</f>
        <v>-1.7588520706146294E-3</v>
      </c>
      <c r="AG36">
        <f t="shared" ref="AG36:AG37" si="85">IF(AND(A36&gt;0,NOT(A36="***")),(3*$W$2*($W$9*Y36-X36*$W$8)+W36*(-5*$W$3*$W$9*Y36-6*$W$8+9*$W$3*X36*$W$8+2*$W$9*$W$4))^2,"")</f>
        <v>171647124.31948653</v>
      </c>
    </row>
    <row r="37" spans="1:33" ht="15">
      <c r="A37">
        <v>22</v>
      </c>
      <c r="C37" s="101">
        <v>1.2007064E-5</v>
      </c>
      <c r="D37" s="101">
        <v>4.8804813E-5</v>
      </c>
      <c r="E37" s="101">
        <v>1.1908328E-4</v>
      </c>
      <c r="F37" s="101">
        <v>7.1822666999999997E-6</v>
      </c>
      <c r="G37" s="101">
        <v>2.8275394000000001E-5</v>
      </c>
      <c r="H37" s="101">
        <v>3.8459518000000003E-5</v>
      </c>
      <c r="I37" s="101">
        <v>0.29807425999999998</v>
      </c>
      <c r="J37" s="101">
        <v>5.0080239000000002E-4</v>
      </c>
      <c r="K37" s="101">
        <v>0.10070266999999999</v>
      </c>
      <c r="L37" s="101">
        <v>2.9816260999999998E-4</v>
      </c>
      <c r="M37" s="101">
        <v>49.479393999999999</v>
      </c>
      <c r="N37" s="101">
        <v>0.10054978000000001</v>
      </c>
      <c r="O37" s="101">
        <v>0.29371972000000002</v>
      </c>
      <c r="P37" s="101">
        <v>49.411197999999999</v>
      </c>
      <c r="Q37" s="106">
        <f t="shared" si="69"/>
        <v>6.034312505436521</v>
      </c>
      <c r="R37" s="113">
        <f t="shared" si="70"/>
        <v>4.6743493400000003E-4</v>
      </c>
      <c r="S37" s="113">
        <f t="shared" si="71"/>
        <v>0.29805653116964997</v>
      </c>
      <c r="T37" s="113">
        <f t="shared" si="72"/>
        <v>0.1006722640615</v>
      </c>
      <c r="U37" s="113">
        <f t="shared" si="73"/>
        <v>0.10051937406150001</v>
      </c>
      <c r="V37" s="113">
        <f t="shared" si="74"/>
        <v>0.2935762343135</v>
      </c>
      <c r="W37" s="101">
        <f t="shared" si="75"/>
        <v>2.9606618461224761</v>
      </c>
      <c r="X37" s="101">
        <f t="shared" si="76"/>
        <v>2.9205935378575227</v>
      </c>
      <c r="Y37" s="101">
        <f t="shared" si="77"/>
        <v>491.55895031508174</v>
      </c>
      <c r="Z37" s="101">
        <f t="shared" si="78"/>
        <v>1.1293890676512916E-5</v>
      </c>
      <c r="AA37" s="2">
        <f t="shared" si="79"/>
        <v>491.639882720922</v>
      </c>
      <c r="AB37" s="2">
        <f t="shared" si="80"/>
        <v>-482.44794854067754</v>
      </c>
      <c r="AC37" s="2">
        <f t="shared" si="81"/>
        <v>1423.4742553182662</v>
      </c>
      <c r="AD37" s="2">
        <f t="shared" si="82"/>
        <v>-2.9107624082013706</v>
      </c>
      <c r="AE37" s="2">
        <f t="shared" si="83"/>
        <v>169.16849905788996</v>
      </c>
      <c r="AF37" s="2">
        <f t="shared" si="84"/>
        <v>-1.7588956785244525E-3</v>
      </c>
      <c r="AG37">
        <f t="shared" si="85"/>
        <v>171633950.817983</v>
      </c>
    </row>
    <row r="38" spans="1:33" ht="15">
      <c r="A38">
        <v>23</v>
      </c>
      <c r="C38" s="101">
        <v>2.0828749E-5</v>
      </c>
      <c r="D38" s="101">
        <v>6.8764585000000001E-5</v>
      </c>
      <c r="E38" s="101">
        <v>1.1054841E-4</v>
      </c>
      <c r="F38" s="101">
        <v>-4.559733E-6</v>
      </c>
      <c r="G38" s="101">
        <v>2.6229053000000001E-5</v>
      </c>
      <c r="H38" s="101">
        <v>4.1535643E-5</v>
      </c>
      <c r="I38" s="101">
        <v>0.29626944999999999</v>
      </c>
      <c r="J38" s="101">
        <v>4.8935476999999996E-4</v>
      </c>
      <c r="K38" s="101">
        <v>0.10012527</v>
      </c>
      <c r="L38" s="101">
        <v>2.9026926E-4</v>
      </c>
      <c r="M38" s="101">
        <v>49.190182</v>
      </c>
      <c r="N38" s="101">
        <v>9.9936473999999997E-2</v>
      </c>
      <c r="O38" s="101">
        <v>0.29185115</v>
      </c>
      <c r="P38" s="101">
        <v>49.096117999999997</v>
      </c>
      <c r="Q38" s="106">
        <f t="shared" ref="Q38:Q39" si="86">(L38/P38)*1000000</f>
        <v>5.9122649982224669</v>
      </c>
      <c r="R38" s="113">
        <f t="shared" ref="R38:R39" si="87">J38-((G38+H38)/2)</f>
        <v>4.5547242199999995E-4</v>
      </c>
      <c r="S38" s="113">
        <f t="shared" ref="S38:S39" si="88">I38-((F38+G38)/2)</f>
        <v>0.29625861533999998</v>
      </c>
      <c r="T38" s="113">
        <f t="shared" ref="T38:T39" si="89">K38-((C38+D38)/2)</f>
        <v>0.10008047333300001</v>
      </c>
      <c r="U38" s="113">
        <f t="shared" ref="U38:U39" si="90">N38-((D38+C38)/2)</f>
        <v>9.9891677333000001E-2</v>
      </c>
      <c r="V38" s="113">
        <f t="shared" ref="V38:V39" si="91">O38-((E38+D38/2))</f>
        <v>0.29170621929750001</v>
      </c>
      <c r="W38" s="101">
        <f t="shared" ref="W38:W39" si="92">IF(AND(A38&gt;0,NOT(A38="***")),S38/T38,"")</f>
        <v>2.9602039785948255</v>
      </c>
      <c r="X38" s="101">
        <f t="shared" ref="X38:X39" si="93">IF(AND(A38&gt;0,NOT(A38="***")),V38/U38,"")</f>
        <v>2.920225459074683</v>
      </c>
      <c r="Y38" s="101">
        <f t="shared" ref="Y38:Y39" si="94">IF(AND(A38&gt;0,NOT(A38="***")),P38/U38,"")</f>
        <v>491.49357895285544</v>
      </c>
      <c r="Z38" s="101">
        <f t="shared" ref="Z38:Z39" si="95">IF(AND(A38&gt;0,NOT(A38="***")),(W38-$W$2*X38+$W$2*$W$7-W38*$W$3*$W$7)/(3*$W$2*X38-2*$W$2*$W$7),"")</f>
        <v>1.9910830337236334E-6</v>
      </c>
      <c r="AA38" s="2">
        <f t="shared" ref="AA38:AA39" si="96">IF(AND(A38&gt;0,NOT(A38="***")),($W$2*Y38+5*Z38*$W$2*Y38-W38*$W$4)/($W$2+2*Z38*$W$2-W38*$W$3),"")</f>
        <v>491.56077350152759</v>
      </c>
      <c r="AB38" s="2">
        <f t="shared" ref="AB38:AB39" si="97">IF(AND(A38&gt;0,NOT(A38="***")),-(3*W38*$W$8*(5*$W$9*Y38-9*X38*$W$8+4*$W$9*$W$8)*((-3+2*$W$3*X38)*Y38+X38*$W$4))/AG38,"")</f>
        <v>-482.38823507688983</v>
      </c>
      <c r="AC38" s="2">
        <f t="shared" ref="AC38:AC39" si="98">IF(AND(A38&gt;0,NOT(A38="***")),((3*W38*$W$8*(5*$W$9*Y38-9*X38*$W$8+4*$W$9*Y38)*(-5*W38*Y38+2*$W$2*X38*Y38+3*W38*X38*$W$4)))/AG38,"")</f>
        <v>1423.0509865441707</v>
      </c>
      <c r="AD38" s="2">
        <f t="shared" ref="AD38:AD39" si="99">IF(AND(A38&gt;0,NOT(A38="***")),(3*W38*(-$W$2*X38+W38*(-2+3*$W$3*X38))*$W$8*(-5*$W$9*Y38+9*X38*$W$8-4*$W$9*$W$8))/AG38,"")</f>
        <v>-2.9103669704287229</v>
      </c>
      <c r="AE38" s="2">
        <f t="shared" ref="AE38:AE39" si="100">IF(AND(A38&gt;0,NOT(A38="***")),(3*$W$8*(3*$W$2*Y38-5*W38*$W$3*Y38+2*W38*$W$4)*(2*$W$2*X38*(-Y38+$W$8)+W38*(5*Y38+4*$W$8-6*$W$3*X38*$W$8-3*X38*$W$4)))/AG38,"")</f>
        <v>169.16146209366624</v>
      </c>
      <c r="AF38" s="2">
        <f t="shared" ref="AF38:AF39" si="101">IF(AND(A38&gt;0,NOT(A38="***")),-($W$9*(3*$W$2*Y38-5*W38*$W$3*Y38+2*W38*$W$4)*(6*$W$2*(-X38+$W$9)*Y38+W38*(5*(3-2*$W$3*$W$9)*Y38-9*X38*$W$4+4*$W$9*$W$4)))/AG38,"")</f>
        <v>-1.7586334794503285E-3</v>
      </c>
      <c r="AG38">
        <f t="shared" ref="AG38:AG39" si="102">IF(AND(A38&gt;0,NOT(A38="***")),(3*$W$2*($W$9*Y38-X38*$W$8)+W38*(-5*$W$3*$W$9*Y38-6*$W$8+9*$W$3*X38*$W$8+2*$W$9*$W$4))^2,"")</f>
        <v>171584153.22110611</v>
      </c>
    </row>
    <row r="39" spans="1:33" ht="15">
      <c r="A39">
        <v>24</v>
      </c>
      <c r="C39" s="101">
        <v>1.6402842999999999E-5</v>
      </c>
      <c r="D39" s="101">
        <v>4.8103194999999997E-5</v>
      </c>
      <c r="E39" s="101">
        <v>1.1431822E-4</v>
      </c>
      <c r="F39" s="101">
        <v>-4.9134962000000002E-6</v>
      </c>
      <c r="G39" s="101">
        <v>2.7749191000000001E-5</v>
      </c>
      <c r="H39" s="101">
        <v>4.4310195999999997E-5</v>
      </c>
      <c r="I39" s="101">
        <v>0.29392520999999999</v>
      </c>
      <c r="J39" s="101">
        <v>5.0302466999999995E-4</v>
      </c>
      <c r="K39" s="101">
        <v>9.9323051999999995E-2</v>
      </c>
      <c r="L39" s="101">
        <v>2.8345331999999999E-4</v>
      </c>
      <c r="M39" s="101">
        <v>48.796399000000001</v>
      </c>
      <c r="N39" s="101">
        <v>9.9223327E-2</v>
      </c>
      <c r="O39" s="101">
        <v>0.28982074000000002</v>
      </c>
      <c r="P39" s="101">
        <v>48.748888999999998</v>
      </c>
      <c r="Q39" s="106">
        <f t="shared" si="86"/>
        <v>5.8145595892452038</v>
      </c>
      <c r="R39" s="113">
        <f t="shared" si="87"/>
        <v>4.6699497649999998E-4</v>
      </c>
      <c r="S39" s="113">
        <f t="shared" si="88"/>
        <v>0.2939137921526</v>
      </c>
      <c r="T39" s="113">
        <f t="shared" si="89"/>
        <v>9.9290798980999989E-2</v>
      </c>
      <c r="U39" s="113">
        <f t="shared" si="90"/>
        <v>9.9191073980999994E-2</v>
      </c>
      <c r="V39" s="113">
        <f t="shared" si="91"/>
        <v>0.28968237018250004</v>
      </c>
      <c r="W39" s="101">
        <f t="shared" si="92"/>
        <v>2.9601312021755661</v>
      </c>
      <c r="X39" s="101">
        <f t="shared" si="93"/>
        <v>2.9204479652875679</v>
      </c>
      <c r="Y39" s="101">
        <f t="shared" si="94"/>
        <v>491.46447400436278</v>
      </c>
      <c r="Z39" s="101">
        <f t="shared" si="95"/>
        <v>-3.1674999924423815E-5</v>
      </c>
      <c r="AA39" s="2">
        <f t="shared" si="96"/>
        <v>491.48202072335357</v>
      </c>
      <c r="AB39" s="2">
        <f t="shared" si="97"/>
        <v>-482.37592183069688</v>
      </c>
      <c r="AC39" s="2">
        <f t="shared" si="98"/>
        <v>1422.883429891996</v>
      </c>
      <c r="AD39" s="2">
        <f t="shared" si="99"/>
        <v>-2.9104915981630399</v>
      </c>
      <c r="AE39" s="2">
        <f t="shared" si="100"/>
        <v>169.14083564109833</v>
      </c>
      <c r="AF39" s="2">
        <f t="shared" si="101"/>
        <v>-1.758230866182054E-3</v>
      </c>
      <c r="AG39">
        <f t="shared" si="102"/>
        <v>171587324.5729014</v>
      </c>
    </row>
    <row r="40" spans="1:33" ht="15">
      <c r="A40">
        <v>25</v>
      </c>
      <c r="C40" s="101">
        <v>3.6220178E-6</v>
      </c>
      <c r="D40" s="101">
        <v>4.5808323999999999E-5</v>
      </c>
      <c r="E40" s="101">
        <v>1.0169696E-4</v>
      </c>
      <c r="F40" s="101">
        <v>4.5252509999999998E-6</v>
      </c>
      <c r="G40" s="101">
        <v>2.6981814000000001E-5</v>
      </c>
      <c r="H40" s="101">
        <v>5.4832301999999999E-5</v>
      </c>
      <c r="I40" s="101">
        <v>0.29163676999999999</v>
      </c>
      <c r="J40" s="101">
        <v>5.0575136999999996E-4</v>
      </c>
      <c r="K40" s="101">
        <v>9.8543924000000005E-2</v>
      </c>
      <c r="L40" s="101">
        <v>2.8167239000000002E-4</v>
      </c>
      <c r="M40" s="101">
        <v>48.419722</v>
      </c>
      <c r="N40" s="101">
        <v>9.8315233000000002E-2</v>
      </c>
      <c r="O40" s="101">
        <v>0.28723344000000001</v>
      </c>
      <c r="P40" s="101">
        <v>48.315677000000001</v>
      </c>
      <c r="Q40" s="106">
        <f t="shared" ref="Q40:Q43" si="103">(L40/P40)*1000000</f>
        <v>5.8298342792547446</v>
      </c>
      <c r="R40" s="113">
        <f t="shared" ref="R40:R43" si="104">J40-((G40+H40)/2)</f>
        <v>4.6484431199999996E-4</v>
      </c>
      <c r="S40" s="113">
        <f t="shared" ref="S40:S43" si="105">I40-((F40+G40)/2)</f>
        <v>0.29162101646749999</v>
      </c>
      <c r="T40" s="113">
        <f t="shared" ref="T40:T43" si="106">K40-((C40+D40)/2)</f>
        <v>9.8519208829100008E-2</v>
      </c>
      <c r="U40" s="113">
        <f t="shared" ref="U40:U43" si="107">N40-((D40+C40)/2)</f>
        <v>9.8290517829100005E-2</v>
      </c>
      <c r="V40" s="113">
        <f t="shared" ref="V40:V43" si="108">O40-((E40+D40/2))</f>
        <v>0.28710883887799998</v>
      </c>
      <c r="W40" s="101">
        <f t="shared" ref="W40:W43" si="109">IF(AND(A40&gt;0,NOT(A40="***")),S40/T40,"")</f>
        <v>2.9600422083511773</v>
      </c>
      <c r="X40" s="101">
        <f t="shared" ref="X40:X43" si="110">IF(AND(A40&gt;0,NOT(A40="***")),V40/U40,"")</f>
        <v>2.9210227519322136</v>
      </c>
      <c r="Y40" s="101">
        <f t="shared" ref="Y40:Y43" si="111">IF(AND(A40&gt;0,NOT(A40="***")),P40/U40,"")</f>
        <v>491.55989882978929</v>
      </c>
      <c r="Z40" s="101">
        <f t="shared" ref="Z40:Z43" si="112">IF(AND(A40&gt;0,NOT(A40="***")),(W40-$W$2*X40+$W$2*$W$7-W40*$W$3*$W$7)/(3*$W$2*X40-2*$W$2*$W$7),"")</f>
        <v>-1.074929145658873E-4</v>
      </c>
      <c r="AA40" s="2">
        <f t="shared" ref="AA40:AA43" si="113">IF(AND(A40&gt;0,NOT(A40="***")),($W$2*Y40+5*Z40*$W$2*Y40-W40*$W$4)/($W$2+2*Z40*$W$2-W40*$W$3),"")</f>
        <v>491.4656038577379</v>
      </c>
      <c r="AB40" s="2">
        <f t="shared" ref="AB40:AB43" si="114">IF(AND(A40&gt;0,NOT(A40="***")),-(3*W40*$W$8*(5*$W$9*Y40-9*X40*$W$8+4*$W$9*$W$8)*((-3+2*$W$3*X40)*Y40+X40*$W$4))/AG40,"")</f>
        <v>-482.50628545319682</v>
      </c>
      <c r="AC40" s="2">
        <f t="shared" ref="AC40:AC43" si="115">IF(AND(A40&gt;0,NOT(A40="***")),((3*W40*$W$8*(5*$W$9*Y40-9*X40*$W$8+4*$W$9*Y40)*(-5*W40*Y40+2*$W$2*X40*Y40+3*W40*X40*$W$4)))/AG40,"")</f>
        <v>1423.0073387686109</v>
      </c>
      <c r="AD40" s="2">
        <f t="shared" ref="AD40:AD43" si="116">IF(AND(A40&gt;0,NOT(A40="***")),(3*W40*(-$W$2*X40+W40*(-2+3*$W$3*X40))*$W$8*(-5*$W$9*Y40+9*X40*$W$8-4*$W$9*$W$8))/AG40,"")</f>
        <v>-2.91084642441256</v>
      </c>
      <c r="AE40" s="2">
        <f t="shared" ref="AE40:AE43" si="117">IF(AND(A40&gt;0,NOT(A40="***")),(3*$W$8*(3*$W$2*Y40-5*W40*$W$3*Y40+2*W40*$W$4)*(2*$W$2*X40*(-Y40+$W$8)+W40*(5*Y40+4*$W$8-6*$W$3*X40*$W$8-3*X40*$W$4)))/AG40,"")</f>
        <v>169.16408474765774</v>
      </c>
      <c r="AF40" s="2">
        <f t="shared" ref="AF40:AF43" si="118">IF(AND(A40&gt;0,NOT(A40="***")),-($W$9*(3*$W$2*Y40-5*W40*$W$3*Y40+2*W40*$W$4)*(6*$W$2*(-X40+$W$9)*Y40+W40*(5*(3-2*$W$3*$W$9)*Y40-9*X40*$W$4+4*$W$9*$W$4)))/AG40,"")</f>
        <v>-1.758433302275114E-3</v>
      </c>
      <c r="AG40">
        <f t="shared" ref="AG40:AG43" si="119">IF(AND(A40&gt;0,NOT(A40="***")),(3*$W$2*($W$9*Y40-X40*$W$8)+W40*(-5*$W$3*$W$9*Y40-6*$W$8+9*$W$3*X40*$W$8+2*$W$9*$W$4))^2,"")</f>
        <v>171602958.85633075</v>
      </c>
    </row>
    <row r="41" spans="1:33" ht="15">
      <c r="A41">
        <v>26</v>
      </c>
      <c r="C41" s="101">
        <v>5.7451129000000002E-5</v>
      </c>
      <c r="D41" s="101">
        <v>2.2266419999999999E-5</v>
      </c>
      <c r="E41" s="101">
        <v>1.1544182E-4</v>
      </c>
      <c r="F41" s="101">
        <v>2.9091117999999999E-5</v>
      </c>
      <c r="G41" s="101">
        <v>6.6478521999999997E-6</v>
      </c>
      <c r="H41" s="101">
        <v>3.5291452000000001E-5</v>
      </c>
      <c r="I41" s="101">
        <v>0.28901669000000002</v>
      </c>
      <c r="J41" s="101">
        <v>4.6884752999999999E-4</v>
      </c>
      <c r="K41" s="101">
        <v>9.7657019999999997E-2</v>
      </c>
      <c r="L41" s="101">
        <v>1.925335E-4</v>
      </c>
      <c r="M41" s="101">
        <v>47.983801</v>
      </c>
      <c r="N41" s="101">
        <v>9.7456083999999998E-2</v>
      </c>
      <c r="O41" s="101">
        <v>0.28477985</v>
      </c>
      <c r="P41" s="101">
        <v>47.899433999999999</v>
      </c>
      <c r="Q41" s="106">
        <f t="shared" si="103"/>
        <v>4.0195360137240872</v>
      </c>
      <c r="R41" s="113">
        <f t="shared" si="104"/>
        <v>4.4787787789999999E-4</v>
      </c>
      <c r="S41" s="113">
        <f t="shared" si="105"/>
        <v>0.2889988205149</v>
      </c>
      <c r="T41" s="113">
        <f t="shared" si="106"/>
        <v>9.7617161225500002E-2</v>
      </c>
      <c r="U41" s="113">
        <f t="shared" si="107"/>
        <v>9.7416225225500003E-2</v>
      </c>
      <c r="V41" s="113">
        <f t="shared" si="108"/>
        <v>0.28465327496999998</v>
      </c>
      <c r="W41" s="101">
        <f t="shared" si="109"/>
        <v>2.9605329317792783</v>
      </c>
      <c r="X41" s="101">
        <f t="shared" si="110"/>
        <v>2.9220314615053282</v>
      </c>
      <c r="Y41" s="101">
        <f t="shared" si="111"/>
        <v>491.69872769266038</v>
      </c>
      <c r="Z41" s="101">
        <f t="shared" si="112"/>
        <v>-1.6780459726877843E-4</v>
      </c>
      <c r="AA41" s="2">
        <f t="shared" si="113"/>
        <v>491.51539839293031</v>
      </c>
      <c r="AB41" s="2">
        <f t="shared" si="114"/>
        <v>-482.67181420908156</v>
      </c>
      <c r="AC41" s="2">
        <f t="shared" si="115"/>
        <v>1423.5586154640512</v>
      </c>
      <c r="AD41" s="2">
        <f t="shared" si="116"/>
        <v>-2.9116803223018013</v>
      </c>
      <c r="AE41" s="2">
        <f t="shared" si="117"/>
        <v>169.17939068286861</v>
      </c>
      <c r="AF41" s="2">
        <f t="shared" si="118"/>
        <v>-1.7587114189917628E-3</v>
      </c>
      <c r="AG41">
        <f t="shared" si="119"/>
        <v>171680435.21632263</v>
      </c>
    </row>
    <row r="42" spans="1:33" ht="15">
      <c r="A42">
        <v>27</v>
      </c>
      <c r="C42" s="101">
        <v>1.9277533999999999E-5</v>
      </c>
      <c r="D42" s="101">
        <v>1.7095330000000001E-5</v>
      </c>
      <c r="E42" s="101">
        <v>1.0726355E-4</v>
      </c>
      <c r="F42" s="101">
        <v>-2.2508665999999999E-6</v>
      </c>
      <c r="G42" s="101">
        <v>4.0359996000000002E-6</v>
      </c>
      <c r="H42" s="101">
        <v>4.5976419000000001E-5</v>
      </c>
      <c r="I42" s="101">
        <v>0.28655313999999998</v>
      </c>
      <c r="J42" s="101">
        <v>4.6347963999999998E-4</v>
      </c>
      <c r="K42" s="101">
        <v>9.6839678999999998E-2</v>
      </c>
      <c r="L42" s="101">
        <v>2.2395971000000001E-4</v>
      </c>
      <c r="M42" s="101">
        <v>47.583275999999998</v>
      </c>
      <c r="N42" s="101">
        <v>9.656621E-2</v>
      </c>
      <c r="O42" s="101">
        <v>0.28215147000000002</v>
      </c>
      <c r="P42" s="101">
        <v>47.464454000000003</v>
      </c>
      <c r="Q42" s="106">
        <f t="shared" si="103"/>
        <v>4.7184722697958348</v>
      </c>
      <c r="R42" s="113">
        <f t="shared" si="104"/>
        <v>4.3847343069999996E-4</v>
      </c>
      <c r="S42" s="113">
        <f t="shared" si="105"/>
        <v>0.2865522474335</v>
      </c>
      <c r="T42" s="113">
        <f t="shared" si="106"/>
        <v>9.6821492568000003E-2</v>
      </c>
      <c r="U42" s="113">
        <f t="shared" si="107"/>
        <v>9.6548023568000005E-2</v>
      </c>
      <c r="V42" s="113">
        <f t="shared" si="108"/>
        <v>0.28203565878500003</v>
      </c>
      <c r="W42" s="101">
        <f t="shared" si="109"/>
        <v>2.9595933695429002</v>
      </c>
      <c r="X42" s="101">
        <f t="shared" si="110"/>
        <v>2.9211955704754402</v>
      </c>
      <c r="Y42" s="101">
        <f t="shared" si="111"/>
        <v>491.6149730042913</v>
      </c>
      <c r="Z42" s="101">
        <f t="shared" si="112"/>
        <v>-1.7771190297429478E-4</v>
      </c>
      <c r="AA42" s="2">
        <f t="shared" si="113"/>
        <v>491.41703191589204</v>
      </c>
      <c r="AB42" s="2">
        <f t="shared" si="114"/>
        <v>-482.59431290195027</v>
      </c>
      <c r="AC42" s="2">
        <f t="shared" si="115"/>
        <v>1422.8488732690921</v>
      </c>
      <c r="AD42" s="2">
        <f t="shared" si="116"/>
        <v>-2.9108152416727138</v>
      </c>
      <c r="AE42" s="2">
        <f t="shared" si="117"/>
        <v>169.19124118884878</v>
      </c>
      <c r="AF42" s="2">
        <f t="shared" si="118"/>
        <v>-1.7585994743047381E-3</v>
      </c>
      <c r="AG42">
        <f t="shared" si="119"/>
        <v>171575008.4696402</v>
      </c>
    </row>
    <row r="43" spans="1:33" ht="15">
      <c r="A43">
        <v>28</v>
      </c>
      <c r="C43" s="101">
        <v>-1.1696105999999999E-6</v>
      </c>
      <c r="D43" s="101">
        <v>1.0366179E-5</v>
      </c>
      <c r="E43" s="101">
        <v>1.0587492999999999E-4</v>
      </c>
      <c r="F43" s="101">
        <v>-1.0997811999999999E-5</v>
      </c>
      <c r="G43" s="101">
        <v>6.0381684999999997E-6</v>
      </c>
      <c r="H43" s="101">
        <v>1.9680790999999998E-5</v>
      </c>
      <c r="I43" s="101">
        <v>0.28417219999999999</v>
      </c>
      <c r="J43" s="101">
        <v>4.5904532000000002E-4</v>
      </c>
      <c r="K43" s="101">
        <v>9.6036228000000001E-2</v>
      </c>
      <c r="L43" s="101">
        <v>2.5040282000000002E-4</v>
      </c>
      <c r="M43" s="101">
        <v>47.183086000000003</v>
      </c>
      <c r="N43" s="101">
        <v>9.5879589000000001E-2</v>
      </c>
      <c r="O43" s="101">
        <v>0.28003568000000001</v>
      </c>
      <c r="P43" s="101">
        <v>47.111082000000003</v>
      </c>
      <c r="Q43" s="106">
        <f t="shared" si="103"/>
        <v>5.3151574824793881</v>
      </c>
      <c r="R43" s="113">
        <f t="shared" si="104"/>
        <v>4.4618584025000004E-4</v>
      </c>
      <c r="S43" s="113">
        <f t="shared" si="105"/>
        <v>0.28417467982174999</v>
      </c>
      <c r="T43" s="113">
        <f t="shared" si="106"/>
        <v>9.6031629715799996E-2</v>
      </c>
      <c r="U43" s="113">
        <f t="shared" si="107"/>
        <v>9.5874990715799996E-2</v>
      </c>
      <c r="V43" s="113">
        <f t="shared" si="108"/>
        <v>0.2799246219805</v>
      </c>
      <c r="W43" s="101">
        <f t="shared" si="109"/>
        <v>2.9591779360898944</v>
      </c>
      <c r="X43" s="101">
        <f t="shared" si="110"/>
        <v>2.9196834324633629</v>
      </c>
      <c r="Y43" s="101">
        <f t="shared" si="111"/>
        <v>491.38030312462075</v>
      </c>
      <c r="Z43" s="101">
        <f t="shared" si="112"/>
        <v>-5.1263818472183969E-5</v>
      </c>
      <c r="AA43" s="2">
        <f t="shared" si="113"/>
        <v>491.36894326336983</v>
      </c>
      <c r="AB43" s="2">
        <f t="shared" si="114"/>
        <v>-482.30269878175835</v>
      </c>
      <c r="AC43" s="2">
        <f t="shared" si="115"/>
        <v>1422.1521723308456</v>
      </c>
      <c r="AD43" s="2">
        <f t="shared" si="116"/>
        <v>-2.90966967665172</v>
      </c>
      <c r="AE43" s="2">
        <f t="shared" si="117"/>
        <v>169.14998705479894</v>
      </c>
      <c r="AF43" s="2">
        <f t="shared" si="118"/>
        <v>-1.7580557450127131E-3</v>
      </c>
      <c r="AG43">
        <f t="shared" si="119"/>
        <v>171483676.63664645</v>
      </c>
    </row>
    <row r="44" spans="1:33" ht="15">
      <c r="A44">
        <v>29</v>
      </c>
      <c r="C44" s="101">
        <v>6.8716978000000003E-7</v>
      </c>
      <c r="D44" s="101">
        <v>3.1148412999999997E-5</v>
      </c>
      <c r="E44" s="101">
        <v>9.8456825000000004E-5</v>
      </c>
      <c r="F44" s="101">
        <v>-1.6113211E-5</v>
      </c>
      <c r="G44" s="101">
        <v>3.4027725E-7</v>
      </c>
      <c r="H44" s="101">
        <v>4.3264969999999998E-5</v>
      </c>
      <c r="I44" s="101">
        <v>0.28202748</v>
      </c>
      <c r="J44" s="101">
        <v>4.5435505E-4</v>
      </c>
      <c r="K44" s="101">
        <v>9.5298987000000002E-2</v>
      </c>
      <c r="L44" s="101">
        <v>2.417241E-4</v>
      </c>
      <c r="M44" s="101">
        <v>46.824764999999999</v>
      </c>
      <c r="N44" s="101">
        <v>9.5101165000000001E-2</v>
      </c>
      <c r="O44" s="101">
        <v>0.27790970999999998</v>
      </c>
      <c r="P44" s="101">
        <v>46.748828000000003</v>
      </c>
      <c r="Q44" s="106">
        <f t="shared" ref="Q44:Q45" si="120">(L44/P44)*1000000</f>
        <v>5.1706986108828223</v>
      </c>
      <c r="R44" s="113">
        <f t="shared" ref="R44:R45" si="121">J44-((G44+H44)/2)</f>
        <v>4.3255242637499998E-4</v>
      </c>
      <c r="S44" s="113">
        <f t="shared" ref="S44:S45" si="122">I44-((F44+G44)/2)</f>
        <v>0.28203536646687499</v>
      </c>
      <c r="T44" s="113">
        <f t="shared" ref="T44:T45" si="123">K44-((C44+D44)/2)</f>
        <v>9.5283069208610002E-2</v>
      </c>
      <c r="U44" s="113">
        <f t="shared" ref="U44:U45" si="124">N44-((D44+C44)/2)</f>
        <v>9.5085247208610002E-2</v>
      </c>
      <c r="V44" s="113">
        <f t="shared" ref="V44:V45" si="125">O44-((E44+D44/2))</f>
        <v>0.27779567896849999</v>
      </c>
      <c r="W44" s="101">
        <f t="shared" ref="W44:W45" si="126">IF(AND(A44&gt;0,NOT(A44="***")),S44/T44,"")</f>
        <v>2.9599735693798328</v>
      </c>
      <c r="X44" s="101">
        <f t="shared" ref="X44:X45" si="127">IF(AND(A44&gt;0,NOT(A44="***")),V44/U44,"")</f>
        <v>2.9215434268055991</v>
      </c>
      <c r="Y44" s="101">
        <f t="shared" ref="Y44:Y45" si="128">IF(AND(A44&gt;0,NOT(A44="***")),P44/U44,"")</f>
        <v>491.65174800919988</v>
      </c>
      <c r="Z44" s="101">
        <f t="shared" ref="Z44:Z45" si="129">IF(AND(A44&gt;0,NOT(A44="***")),(W44-$W$2*X44+$W$2*$W$7-W44*$W$3*$W$7)/(3*$W$2*X44-2*$W$2*$W$7),"")</f>
        <v>-1.7480164840597673E-4</v>
      </c>
      <c r="AA44" s="2">
        <f t="shared" ref="AA44:AA45" si="130">IF(AND(A44&gt;0,NOT(A44="***")),($W$2*Y44+5*Z44*$W$2*Y44-W44*$W$4)/($W$2+2*Z44*$W$2-W44*$W$3),"")</f>
        <v>491.45809613706348</v>
      </c>
      <c r="AB44" s="2">
        <f t="shared" ref="AB44:AB45" si="131">IF(AND(A44&gt;0,NOT(A44="***")),-(3*W44*$W$8*(5*$W$9*Y44-9*X44*$W$8+4*$W$9*$W$8)*((-3+2*$W$3*X44)*Y44+X44*$W$4))/AG44,"")</f>
        <v>-482.62903765098361</v>
      </c>
      <c r="AC44" s="2">
        <f t="shared" ref="AC44:AC45" si="132">IF(AND(A44&gt;0,NOT(A44="***")),((3*W44*$W$8*(5*$W$9*Y44-9*X44*$W$8+4*$W$9*Y44)*(-5*W44*Y44+2*$W$2*X44*Y44+3*W44*X44*$W$4)))/AG44,"")</f>
        <v>1423.1428043255601</v>
      </c>
      <c r="AD44" s="2">
        <f t="shared" ref="AD44:AD45" si="133">IF(AND(A44&gt;0,NOT(A44="***")),(3*W44*(-$W$2*X44+W44*(-2+3*$W$3*X44))*$W$8*(-5*$W$9*Y44+9*X44*$W$8-4*$W$9*$W$8))/AG44,"")</f>
        <v>-2.9111717223458204</v>
      </c>
      <c r="AE44" s="2">
        <f t="shared" ref="AE44:AE45" si="134">IF(AND(A44&gt;0,NOT(A44="***")),(3*$W$8*(3*$W$2*Y44-5*W44*$W$3*Y44+2*W44*$W$4)*(2*$W$2*X44*(-Y44+$W$8)+W44*(5*Y44+4*$W$8-6*$W$3*X44*$W$8-3*X44*$W$4)))/AG44,"")</f>
        <v>169.18739663513719</v>
      </c>
      <c r="AF44" s="2">
        <f t="shared" ref="AF44:AF45" si="135">IF(AND(A44&gt;0,NOT(A44="***")),-($W$9*(3*$W$2*Y44-5*W44*$W$3*Y44+2*W44*$W$4)*(6*$W$2*(-X44+$W$9)*Y44+W44*(5*(3-2*$W$3*$W$9)*Y44-9*X44*$W$4+4*$W$9*$W$4)))/AG44,"")</f>
        <v>-1.7586576755526683E-3</v>
      </c>
      <c r="AG44">
        <f t="shared" ref="AG44:AG45" si="136">IF(AND(A44&gt;0,NOT(A44="***")),(3*$W$2*($W$9*Y44-X44*$W$8)+W44*(-5*$W$3*$W$9*Y44-6*$W$8+9*$W$3*X44*$W$8+2*$W$9*$W$4))^2,"")</f>
        <v>171618040.90840325</v>
      </c>
    </row>
    <row r="45" spans="1:33" ht="15">
      <c r="A45">
        <v>30</v>
      </c>
      <c r="C45" s="101">
        <v>4.8556168999999996E-6</v>
      </c>
      <c r="D45" s="101">
        <v>1.0787689999999999E-5</v>
      </c>
      <c r="E45" s="101">
        <v>1.059334E-4</v>
      </c>
      <c r="F45" s="101">
        <v>-1.2295307E-5</v>
      </c>
      <c r="G45" s="101">
        <v>2.7253500999999998E-7</v>
      </c>
      <c r="H45" s="101">
        <v>3.7293960999999999E-5</v>
      </c>
      <c r="I45" s="101">
        <v>0.27975644</v>
      </c>
      <c r="J45" s="101">
        <v>4.4702985000000001E-4</v>
      </c>
      <c r="K45" s="101">
        <v>9.4537092000000003E-2</v>
      </c>
      <c r="L45" s="101">
        <v>2.3853462999999999E-4</v>
      </c>
      <c r="M45" s="101">
        <v>46.451864999999998</v>
      </c>
      <c r="N45" s="101">
        <v>9.4333621000000006E-2</v>
      </c>
      <c r="O45" s="101">
        <v>0.27564594999999997</v>
      </c>
      <c r="P45" s="101">
        <v>46.374360000000003</v>
      </c>
      <c r="Q45" s="106">
        <f t="shared" si="120"/>
        <v>5.1436748668876504</v>
      </c>
      <c r="R45" s="113">
        <f t="shared" si="121"/>
        <v>4.2824660199500004E-4</v>
      </c>
      <c r="S45" s="113">
        <f t="shared" si="122"/>
        <v>0.27976245138599498</v>
      </c>
      <c r="T45" s="113">
        <f t="shared" si="123"/>
        <v>9.4529270346550009E-2</v>
      </c>
      <c r="U45" s="113">
        <f t="shared" si="124"/>
        <v>9.4325799346550013E-2</v>
      </c>
      <c r="V45" s="113">
        <f t="shared" si="125"/>
        <v>0.27553462275499996</v>
      </c>
      <c r="W45" s="101">
        <f t="shared" si="126"/>
        <v>2.9595325380209636</v>
      </c>
      <c r="X45" s="101">
        <f t="shared" si="127"/>
        <v>2.9210950202785395</v>
      </c>
      <c r="Y45" s="101">
        <f t="shared" si="128"/>
        <v>491.64025453547515</v>
      </c>
      <c r="Z45" s="101">
        <f t="shared" si="129"/>
        <v>-1.7303935683699156E-4</v>
      </c>
      <c r="AA45" s="2">
        <f t="shared" si="130"/>
        <v>491.44919876509135</v>
      </c>
      <c r="AB45" s="2">
        <f t="shared" si="131"/>
        <v>-482.61688435509154</v>
      </c>
      <c r="AC45" s="2">
        <f t="shared" si="132"/>
        <v>1422.8992817702683</v>
      </c>
      <c r="AD45" s="2">
        <f t="shared" si="133"/>
        <v>-2.9107283612612642</v>
      </c>
      <c r="AE45" s="2">
        <f t="shared" si="134"/>
        <v>169.20792453011282</v>
      </c>
      <c r="AF45" s="2">
        <f t="shared" si="135"/>
        <v>-1.758849783370665E-3</v>
      </c>
      <c r="AG45">
        <f t="shared" si="136"/>
        <v>171566318.2530261</v>
      </c>
    </row>
    <row r="46" spans="1:33" ht="15"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6"/>
      <c r="R46" s="113"/>
      <c r="S46" s="113"/>
      <c r="T46" s="113"/>
      <c r="U46" s="113"/>
      <c r="V46" s="113"/>
      <c r="W46" s="101"/>
      <c r="X46" s="101"/>
      <c r="Y46" s="101"/>
      <c r="Z46" s="1"/>
      <c r="AA46" s="2"/>
    </row>
    <row r="47" spans="1:33" ht="15"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6"/>
      <c r="R47" s="113"/>
      <c r="S47" s="113"/>
      <c r="T47" s="113"/>
      <c r="U47" s="113"/>
      <c r="V47" s="113"/>
      <c r="W47" s="101"/>
      <c r="X47" s="101"/>
      <c r="Y47" s="101"/>
      <c r="Z47" s="1"/>
      <c r="AA47" s="2"/>
    </row>
  </sheetData>
  <phoneticPr fontId="1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>
    <pageSetUpPr autoPageBreaks="0"/>
  </sheetPr>
  <dimension ref="A1:P112"/>
  <sheetViews>
    <sheetView topLeftCell="A40" zoomScaleNormal="100" workbookViewId="0">
      <selection activeCell="C41" sqref="C41"/>
    </sheetView>
  </sheetViews>
  <sheetFormatPr defaultColWidth="11" defaultRowHeight="12.75"/>
  <cols>
    <col min="1" max="1" width="16.625" customWidth="1"/>
    <col min="2" max="2" width="16.375" customWidth="1"/>
    <col min="3" max="3" width="21.375" bestFit="1" customWidth="1"/>
    <col min="4" max="4" width="14.375" customWidth="1"/>
    <col min="5" max="7" width="13.25" bestFit="1" customWidth="1"/>
    <col min="8" max="8" width="12.625" bestFit="1" customWidth="1"/>
    <col min="9" max="9" width="12" bestFit="1" customWidth="1"/>
    <col min="10" max="10" width="12.25" bestFit="1" customWidth="1"/>
    <col min="11" max="11" width="12" bestFit="1" customWidth="1"/>
    <col min="12" max="12" width="12.25" bestFit="1" customWidth="1"/>
    <col min="13" max="13" width="11.75" bestFit="1" customWidth="1"/>
    <col min="14" max="14" width="11.375" bestFit="1" customWidth="1"/>
    <col min="15" max="15" width="11.125" bestFit="1" customWidth="1"/>
  </cols>
  <sheetData>
    <row r="1" spans="1:11" s="99" customFormat="1" ht="15.75">
      <c r="A1" s="104"/>
    </row>
    <row r="2" spans="1:11" ht="15">
      <c r="B2" s="17"/>
      <c r="C2" s="14"/>
      <c r="F2" s="167" t="s">
        <v>176</v>
      </c>
      <c r="H2" s="5" t="s">
        <v>167</v>
      </c>
      <c r="I2" t="s">
        <v>130</v>
      </c>
      <c r="J2" t="s">
        <v>131</v>
      </c>
      <c r="K2" t="s">
        <v>132</v>
      </c>
    </row>
    <row r="3" spans="1:11" ht="15">
      <c r="A3" s="12" t="s">
        <v>139</v>
      </c>
      <c r="B3" s="5" t="s">
        <v>128</v>
      </c>
      <c r="C3" s="57">
        <f t="array" ref="C3">SUM(_v65*_a65)</f>
        <v>1.5407105733458213E-2</v>
      </c>
      <c r="H3" t="s">
        <v>116</v>
      </c>
      <c r="I3" s="31">
        <v>491.54806463917743</v>
      </c>
      <c r="J3" s="31">
        <v>0.04</v>
      </c>
      <c r="K3" s="51">
        <f>D43</f>
        <v>160.80437646528989</v>
      </c>
    </row>
    <row r="4" spans="1:11" ht="15">
      <c r="B4" s="5" t="s">
        <v>143</v>
      </c>
      <c r="C4" s="57">
        <f t="array" ref="C4">2*SQRT(1/SUM(C12:C16^-2))</f>
        <v>3.1861903673928106E-5</v>
      </c>
      <c r="D4" s="47">
        <f>C4/C3*10^6</f>
        <v>2068.0005852583004</v>
      </c>
      <c r="I4" s="137" t="s">
        <v>3</v>
      </c>
    </row>
    <row r="5" spans="1:11" ht="15">
      <c r="B5" s="5" t="s">
        <v>145</v>
      </c>
      <c r="C5" s="57">
        <f t="array" ref="C5">2*SQRT(MMULT(MMULT(TRANSPOSE(_a65),_cov65),_a65))</f>
        <v>3.4814492169946503E-5</v>
      </c>
      <c r="D5" s="47">
        <f>C5/C3*10^6</f>
        <v>2259.6386869951202</v>
      </c>
      <c r="H5" s="5" t="s">
        <v>129</v>
      </c>
      <c r="I5" t="s">
        <v>130</v>
      </c>
      <c r="J5" t="s">
        <v>131</v>
      </c>
      <c r="K5" t="s">
        <v>132</v>
      </c>
    </row>
    <row r="6" spans="1:11" ht="15">
      <c r="B6" s="5" t="s">
        <v>147</v>
      </c>
      <c r="C6" s="58">
        <f>SUM(M26:M27)/(SUM(_u65)-1)</f>
        <v>1.1263226460367786</v>
      </c>
      <c r="H6" t="s">
        <v>144</v>
      </c>
      <c r="I6">
        <v>1.0190600000000001</v>
      </c>
      <c r="J6">
        <v>8.0000000000000007E-5</v>
      </c>
      <c r="K6" s="6">
        <f>J6/I6*10^6</f>
        <v>78.503719113693009</v>
      </c>
    </row>
    <row r="7" spans="1:11" ht="15">
      <c r="B7" s="5" t="s">
        <v>148</v>
      </c>
      <c r="C7" s="59">
        <f t="array" ref="C7">MMULT(MMULT(TRANSPOSE(_resid65),_covinv65),_resid65)/(SUM(_u65)-1)</f>
        <v>1.1263226330698346</v>
      </c>
      <c r="H7" t="s">
        <v>146</v>
      </c>
      <c r="I7">
        <v>4.5479999999999998E-5</v>
      </c>
      <c r="J7" s="4">
        <v>3.7E-8</v>
      </c>
      <c r="K7" s="6">
        <f>J7/I7*10^6</f>
        <v>813.54441512752862</v>
      </c>
    </row>
    <row r="8" spans="1:11">
      <c r="H8" t="s">
        <v>11</v>
      </c>
      <c r="I8">
        <v>2.3481000000000001E-4</v>
      </c>
      <c r="J8">
        <v>1.9000000000000001E-7</v>
      </c>
      <c r="K8" s="6">
        <f>J8/I8*10^6</f>
        <v>809.16485669264512</v>
      </c>
    </row>
    <row r="9" spans="1:11" ht="15">
      <c r="J9" s="5"/>
      <c r="K9" s="5"/>
    </row>
    <row r="10" spans="1:11" ht="15">
      <c r="B10" s="5" t="s">
        <v>99</v>
      </c>
      <c r="C10" s="5" t="s">
        <v>113</v>
      </c>
      <c r="D10" s="5" t="s">
        <v>114</v>
      </c>
      <c r="E10" s="5" t="s">
        <v>100</v>
      </c>
      <c r="F10" s="5" t="s">
        <v>78</v>
      </c>
      <c r="G10" s="5" t="s">
        <v>79</v>
      </c>
      <c r="H10" t="s">
        <v>23</v>
      </c>
      <c r="I10" s="5"/>
      <c r="K10" s="15"/>
    </row>
    <row r="11" spans="1:11" ht="15">
      <c r="B11" s="50" t="s">
        <v>24</v>
      </c>
      <c r="C11" t="s">
        <v>115</v>
      </c>
      <c r="D11" t="s">
        <v>115</v>
      </c>
      <c r="E11" s="16"/>
      <c r="F11" s="15" t="s">
        <v>77</v>
      </c>
      <c r="G11" s="15" t="s">
        <v>80</v>
      </c>
      <c r="H11" s="15"/>
      <c r="K11" s="17"/>
    </row>
    <row r="12" spans="1:11" s="157" customFormat="1">
      <c r="A12" s="153" t="s">
        <v>171</v>
      </c>
      <c r="B12" s="154">
        <f>'IC A'!Z11</f>
        <v>1.472121052821897E-2</v>
      </c>
      <c r="C12" s="154">
        <f>'IC A'!Z12</f>
        <v>5.716090007065586E-5</v>
      </c>
      <c r="D12" s="154">
        <f>SQRT(C12^2+E12^2*$J$3^2)</f>
        <v>5.7162298721933683E-5</v>
      </c>
      <c r="E12" s="155">
        <f>'IC A'!AC12</f>
        <v>9.9968209970664281E-6</v>
      </c>
      <c r="F12" s="155">
        <f>'IC A'!V12</f>
        <v>490.56507879918888</v>
      </c>
      <c r="G12" s="156">
        <f>'IC A'!W12</f>
        <v>1.4710938802055696E-2</v>
      </c>
      <c r="H12" s="154">
        <f>'IC A'!Z12</f>
        <v>5.716090007065586E-5</v>
      </c>
    </row>
    <row r="13" spans="1:11" s="157" customFormat="1">
      <c r="A13" s="153" t="s">
        <v>172</v>
      </c>
      <c r="B13" s="158">
        <f>'IC B'!Z11</f>
        <v>1.4388832378771376E-2</v>
      </c>
      <c r="C13" s="158">
        <f>'IC B'!Z12</f>
        <v>1.0428581401422863E-4</v>
      </c>
      <c r="D13" s="158">
        <f t="shared" ref="D13" si="0">SQRT(C13^2+E13^2*$J$3^2)</f>
        <v>1.0428654361539074E-4</v>
      </c>
      <c r="E13" s="159">
        <f>'IC B'!AC12</f>
        <v>9.752391838350738E-6</v>
      </c>
      <c r="F13" s="159">
        <f>'IC B'!V12</f>
        <v>491.92569064466301</v>
      </c>
      <c r="G13" s="160">
        <f>'IC B'!W12</f>
        <v>1.4392594597007881E-2</v>
      </c>
      <c r="H13" s="158">
        <f>'IC B'!Z12</f>
        <v>1.0428581401422863E-4</v>
      </c>
      <c r="K13" s="161"/>
    </row>
    <row r="14" spans="1:11" s="157" customFormat="1">
      <c r="A14" s="153" t="s">
        <v>29</v>
      </c>
      <c r="B14" s="158">
        <f>'IC D'!Z11</f>
        <v>1.4783244695752684E-2</v>
      </c>
      <c r="C14" s="158">
        <f>'IC D'!Z12</f>
        <v>6.4537869657310042E-5</v>
      </c>
      <c r="D14" s="158">
        <f t="shared" ref="D14" si="1">SQRT(C14^2+E14^2*$J$3^2)</f>
        <v>6.4539115501007331E-5</v>
      </c>
      <c r="E14" s="159">
        <f>'IC D'!AC12</f>
        <v>1.0025272702795912E-5</v>
      </c>
      <c r="F14" s="159">
        <f>'IC D'!V12</f>
        <v>491.52537984305508</v>
      </c>
      <c r="G14" s="160">
        <f>'IC D'!W12</f>
        <v>1.4783011982111727E-2</v>
      </c>
      <c r="H14" s="158">
        <f>'IC D'!Z12</f>
        <v>6.4537869657310042E-5</v>
      </c>
      <c r="K14" s="161"/>
    </row>
    <row r="15" spans="1:11">
      <c r="A15" s="132" t="s">
        <v>30</v>
      </c>
      <c r="B15" s="54">
        <f>'IC E'!Z11</f>
        <v>1.5378590444060454E-2</v>
      </c>
      <c r="C15" s="54">
        <f>'IC E'!Z12</f>
        <v>3.201198239160268E-5</v>
      </c>
      <c r="D15" s="54">
        <f t="shared" ref="D15" si="2">SQRT(C15^2+E15^2*$J$3^2)</f>
        <v>3.2014658161841795E-5</v>
      </c>
      <c r="E15" s="40">
        <f>'IC E'!AC12</f>
        <v>1.0347722554493767E-5</v>
      </c>
      <c r="F15" s="40">
        <f>'IC E'!V12</f>
        <v>491.4816899243155</v>
      </c>
      <c r="G15" s="4">
        <f>'IC E'!W12</f>
        <v>1.5256923534746255E-2</v>
      </c>
      <c r="H15" s="54">
        <f>'IC E'!Z12</f>
        <v>3.201198239160268E-5</v>
      </c>
      <c r="K15" s="17"/>
    </row>
    <row r="16" spans="1:11">
      <c r="A16" s="132" t="s">
        <v>31</v>
      </c>
      <c r="B16" s="54">
        <f>'IC F'!Z11</f>
        <v>1.5419067549556787E-2</v>
      </c>
      <c r="C16" s="54">
        <f>'IC F'!Z12</f>
        <v>2.0733423351573161E-5</v>
      </c>
      <c r="D16" s="54">
        <f t="shared" ref="D16" si="3">SQRT(C16^2+E16^2*$J$3^2)</f>
        <v>2.0737636506697892E-5</v>
      </c>
      <c r="E16" s="40">
        <f>'IC F'!AC12</f>
        <v>1.045000025029489E-5</v>
      </c>
      <c r="F16" s="40">
        <f>'IC F'!V12</f>
        <v>491.98400512480305</v>
      </c>
      <c r="G16" s="4">
        <f>'IC F'!W12</f>
        <v>1.5423585261239691E-2</v>
      </c>
      <c r="H16" s="54">
        <f>'IC F'!Z12</f>
        <v>2.0733423351573161E-5</v>
      </c>
      <c r="K16" s="17"/>
    </row>
    <row r="17" spans="1:13">
      <c r="A17" s="52"/>
      <c r="B17" s="54"/>
      <c r="C17" s="54"/>
      <c r="D17" s="54" t="s">
        <v>26</v>
      </c>
      <c r="E17" s="40">
        <f t="array" ref="E17">SUM(E15:E16*_a65)</f>
        <v>1.0419775090339472E-5</v>
      </c>
      <c r="F17" s="20"/>
      <c r="G17" s="4"/>
      <c r="H17" s="4"/>
    </row>
    <row r="18" spans="1:13">
      <c r="A18" s="53"/>
      <c r="B18" s="21"/>
      <c r="C18" s="21"/>
      <c r="D18" s="56"/>
      <c r="E18" s="21"/>
      <c r="F18" s="21"/>
      <c r="G18" s="19"/>
      <c r="H18" s="19"/>
    </row>
    <row r="20" spans="1:13">
      <c r="F20" s="121">
        <f>AVERAGE(F15:F16)</f>
        <v>491.73284752455925</v>
      </c>
      <c r="G20" s="121">
        <f>AVERAGE(G15:G16)</f>
        <v>1.5340254397992973E-2</v>
      </c>
      <c r="H20" s="121">
        <f>AVERAGE(H15:H16)</f>
        <v>2.6372702871587922E-5</v>
      </c>
    </row>
    <row r="22" spans="1:13" ht="18">
      <c r="A22" t="s">
        <v>117</v>
      </c>
      <c r="B22" t="s">
        <v>171</v>
      </c>
      <c r="C22" t="s">
        <v>172</v>
      </c>
      <c r="D22" t="s">
        <v>29</v>
      </c>
      <c r="E22" t="s">
        <v>30</v>
      </c>
      <c r="F22" t="s">
        <v>31</v>
      </c>
      <c r="I22" s="35" t="s">
        <v>61</v>
      </c>
      <c r="J22" s="36" t="s">
        <v>62</v>
      </c>
      <c r="K22" s="36" t="s">
        <v>63</v>
      </c>
      <c r="L22" s="36" t="s">
        <v>64</v>
      </c>
      <c r="M22" s="36" t="s">
        <v>65</v>
      </c>
    </row>
    <row r="23" spans="1:13" s="157" customFormat="1">
      <c r="A23" s="153" t="s">
        <v>171</v>
      </c>
      <c r="B23" s="162">
        <f>D12^2</f>
        <v>3.2675283951755813E-9</v>
      </c>
      <c r="C23" s="163">
        <f>B24</f>
        <v>1.5598866480199029E-13</v>
      </c>
      <c r="D23" s="163">
        <f>B25</f>
        <v>1.6035337065060333E-13</v>
      </c>
      <c r="E23" s="163">
        <f>B26</f>
        <v>1.6551092816732985E-13</v>
      </c>
      <c r="F23" s="163">
        <f>B27</f>
        <v>1.6714685107439584E-13</v>
      </c>
      <c r="G23" s="163"/>
      <c r="I23" s="157">
        <v>1</v>
      </c>
      <c r="J23" s="164">
        <v>0</v>
      </c>
      <c r="K23" s="165">
        <f>B12-$C$3</f>
        <v>-6.8589520523924287E-4</v>
      </c>
      <c r="L23" s="157">
        <f t="shared" ref="L23:L27" si="4">1/C12^2</f>
        <v>306056693.92742199</v>
      </c>
      <c r="M23" s="166">
        <f>K23^2*L23</f>
        <v>143.98505495120489</v>
      </c>
    </row>
    <row r="24" spans="1:13" s="157" customFormat="1">
      <c r="A24" s="153" t="s">
        <v>172</v>
      </c>
      <c r="B24" s="163">
        <f>$J$3^2*$E$12*E13</f>
        <v>1.5598866480199029E-13</v>
      </c>
      <c r="C24" s="163">
        <f>D13^2</f>
        <v>1.0875683179244795E-8</v>
      </c>
      <c r="D24" s="163">
        <f>C25</f>
        <v>1.5643262029437969E-13</v>
      </c>
      <c r="E24" s="163">
        <f>C26</f>
        <v>1.6146407197754061E-13</v>
      </c>
      <c r="F24" s="163">
        <f>C27</f>
        <v>1.630599954427825E-13</v>
      </c>
      <c r="G24" s="163"/>
      <c r="I24" s="157">
        <v>1</v>
      </c>
      <c r="J24" s="164">
        <v>0</v>
      </c>
      <c r="K24" s="165">
        <f t="shared" ref="K24:K27" si="5">B13-$C$3</f>
        <v>-1.0182733546868373E-3</v>
      </c>
      <c r="L24" s="157">
        <f t="shared" si="4"/>
        <v>91949533.275762483</v>
      </c>
      <c r="M24" s="166">
        <f t="shared" ref="M24:M27" si="6">K24^2*L24</f>
        <v>95.340689519034768</v>
      </c>
    </row>
    <row r="25" spans="1:13" s="157" customFormat="1">
      <c r="A25" s="153" t="s">
        <v>29</v>
      </c>
      <c r="B25" s="163">
        <f>$J$3^2*$E$12*E14</f>
        <v>1.6035337065060333E-13</v>
      </c>
      <c r="C25" s="163">
        <f>$J$3^2*$E$13*E14</f>
        <v>1.5643262029437969E-13</v>
      </c>
      <c r="D25" s="163">
        <f>D14^2</f>
        <v>4.1652974296523645E-9</v>
      </c>
      <c r="E25" s="163">
        <f>D26</f>
        <v>1.6598198473867513E-13</v>
      </c>
      <c r="F25" s="163">
        <f>D27</f>
        <v>1.676225636055869E-13</v>
      </c>
      <c r="G25" s="163"/>
      <c r="I25" s="157">
        <v>1</v>
      </c>
      <c r="J25" s="164">
        <v>0</v>
      </c>
      <c r="K25" s="165">
        <f t="shared" si="5"/>
        <v>-6.2386103770552953E-4</v>
      </c>
      <c r="L25" s="157">
        <f t="shared" si="4"/>
        <v>240088163.06800109</v>
      </c>
      <c r="M25" s="166">
        <f t="shared" si="6"/>
        <v>93.442935942878208</v>
      </c>
    </row>
    <row r="26" spans="1:13">
      <c r="A26" s="132" t="s">
        <v>30</v>
      </c>
      <c r="B26" s="42">
        <f>$J$3^2*$E$12*E15</f>
        <v>1.6551092816732985E-13</v>
      </c>
      <c r="C26" s="42">
        <f>$J$3^2*$E$13*E15</f>
        <v>1.6146407197754061E-13</v>
      </c>
      <c r="D26" s="42">
        <f>$J$3^2*$E$14*E15</f>
        <v>1.6598198473867513E-13</v>
      </c>
      <c r="E26" s="42">
        <f>D15^2</f>
        <v>1.0249383372195834E-9</v>
      </c>
      <c r="F26" s="42">
        <f>E27</f>
        <v>1.7301392525510712E-13</v>
      </c>
      <c r="G26" s="42"/>
      <c r="I26">
        <v>1</v>
      </c>
      <c r="J26" s="45">
        <f t="array" ref="J26:J27">MMULT(_covinv65,_u65)/MMULT(MMULT(TRANSPOSE(_u65),_covinv65),_u65)</f>
        <v>0.29552054060925859</v>
      </c>
      <c r="K26" s="55">
        <f t="shared" si="5"/>
        <v>-2.8515289397759019E-5</v>
      </c>
      <c r="L26">
        <f t="shared" si="4"/>
        <v>975831563.43040872</v>
      </c>
      <c r="M26" s="100">
        <f t="shared" si="6"/>
        <v>0.79346984849667057</v>
      </c>
    </row>
    <row r="27" spans="1:13">
      <c r="A27" s="132" t="s">
        <v>31</v>
      </c>
      <c r="B27" s="101">
        <f>$J$3^2*$E$12*E16</f>
        <v>1.6714685107439584E-13</v>
      </c>
      <c r="C27" s="101">
        <f>$J$3^2*$E$13*E16</f>
        <v>1.630599954427825E-13</v>
      </c>
      <c r="D27" s="101">
        <f>$J$3^2*$E$14*E16</f>
        <v>1.676225636055869E-13</v>
      </c>
      <c r="E27" s="101">
        <f>$J$3^2*E$15*E16</f>
        <v>1.7301392525510712E-13</v>
      </c>
      <c r="F27" s="42">
        <f>D16^2</f>
        <v>4.3004956788392912E-10</v>
      </c>
      <c r="G27" s="42"/>
      <c r="I27">
        <v>1</v>
      </c>
      <c r="J27" s="45">
        <v>0.70447945939074141</v>
      </c>
      <c r="K27" s="55">
        <f t="shared" si="5"/>
        <v>1.1961816098573705E-5</v>
      </c>
      <c r="L27">
        <f t="shared" si="4"/>
        <v>2326258477.8966069</v>
      </c>
      <c r="M27" s="100">
        <f t="shared" si="6"/>
        <v>0.33285279754010799</v>
      </c>
    </row>
    <row r="28" spans="1:13">
      <c r="B28" s="42"/>
      <c r="C28" s="42"/>
      <c r="D28" s="42"/>
      <c r="E28" s="42"/>
      <c r="F28" s="42"/>
      <c r="G28" s="42"/>
      <c r="J28" s="45"/>
      <c r="K28" s="55"/>
      <c r="M28" s="100"/>
    </row>
    <row r="30" spans="1:13">
      <c r="A30" t="s">
        <v>118</v>
      </c>
      <c r="B30" t="s">
        <v>171</v>
      </c>
      <c r="C30" t="s">
        <v>172</v>
      </c>
      <c r="D30" t="s">
        <v>29</v>
      </c>
      <c r="E30" t="s">
        <v>30</v>
      </c>
      <c r="F30" t="s">
        <v>31</v>
      </c>
    </row>
    <row r="31" spans="1:13">
      <c r="A31" s="52" t="s">
        <v>171</v>
      </c>
    </row>
    <row r="32" spans="1:13">
      <c r="A32" s="132" t="s">
        <v>172</v>
      </c>
      <c r="H32" t="s">
        <v>27</v>
      </c>
    </row>
    <row r="33" spans="1:16">
      <c r="A33" s="132" t="s">
        <v>29</v>
      </c>
      <c r="H33">
        <f t="array" ref="H33">MMULT(MMULT(TRANSPOSE(_a65),_cov65),_a65)</f>
        <v>3.0301221626281664E-10</v>
      </c>
    </row>
    <row r="34" spans="1:16">
      <c r="A34" s="132" t="s">
        <v>30</v>
      </c>
      <c r="E34">
        <f t="array" ref="E34:F35">MINVERSE(_cov65)</f>
        <v>975668517.41019571</v>
      </c>
      <c r="F34">
        <v>-392522.75214593223</v>
      </c>
    </row>
    <row r="35" spans="1:16">
      <c r="A35" s="132" t="s">
        <v>31</v>
      </c>
      <c r="E35">
        <v>-392522.75214593229</v>
      </c>
      <c r="F35">
        <v>2325313504.748837</v>
      </c>
    </row>
    <row r="38" spans="1:16" s="22" customFormat="1" ht="15">
      <c r="B38" s="23"/>
      <c r="C38" s="24"/>
    </row>
    <row r="39" spans="1:16" s="22" customFormat="1"/>
    <row r="41" spans="1:16" ht="15">
      <c r="A41" s="133" t="s">
        <v>170</v>
      </c>
      <c r="B41" s="5" t="s">
        <v>128</v>
      </c>
      <c r="C41" s="48">
        <f t="array" ref="C41">SUM(data85*a)</f>
        <v>491.54806463921386</v>
      </c>
      <c r="D41" s="31"/>
      <c r="E41" s="1">
        <f>(491.81/C41-1)*100</f>
        <v>5.3287842965743515E-2</v>
      </c>
      <c r="H41" s="5" t="s">
        <v>129</v>
      </c>
      <c r="I41" t="s">
        <v>130</v>
      </c>
      <c r="J41" t="s">
        <v>131</v>
      </c>
      <c r="K41" t="s">
        <v>132</v>
      </c>
    </row>
    <row r="42" spans="1:16" ht="15">
      <c r="B42" s="5" t="s">
        <v>143</v>
      </c>
      <c r="C42" s="48">
        <f t="array" ref="C42">2*SQRT(1/SUM(C49:C52^-2))</f>
        <v>1.4982631427802423E-2</v>
      </c>
      <c r="D42" s="46">
        <f>C42/C41*10^6</f>
        <v>30.480501309265382</v>
      </c>
      <c r="H42" t="s">
        <v>10</v>
      </c>
      <c r="I42">
        <v>1.0190600000000001</v>
      </c>
      <c r="J42">
        <v>8.0000000000000007E-5</v>
      </c>
      <c r="K42" s="6">
        <f>J42/I42*10^6</f>
        <v>78.503719113693009</v>
      </c>
    </row>
    <row r="43" spans="1:16" ht="15">
      <c r="B43" s="5" t="s">
        <v>145</v>
      </c>
      <c r="C43" s="48">
        <f t="array" ref="C43">2*SQRT(MMULT(MMULT(TRANSPOSE(a),cov),a))</f>
        <v>7.9043080037028798E-2</v>
      </c>
      <c r="D43" s="47">
        <f>C43/C41*10^6</f>
        <v>160.80437646528989</v>
      </c>
      <c r="H43" t="s">
        <v>146</v>
      </c>
      <c r="I43">
        <v>4.5479999999999998E-5</v>
      </c>
      <c r="J43">
        <v>3.7E-8</v>
      </c>
      <c r="K43" s="6">
        <f>J43/I43*10^6</f>
        <v>813.54441512752862</v>
      </c>
    </row>
    <row r="44" spans="1:16" ht="15">
      <c r="B44" s="5" t="s">
        <v>147</v>
      </c>
      <c r="C44" s="72">
        <f>SUM(F99:F102)/(SUM(u)-1)</f>
        <v>0.65741482689712316</v>
      </c>
      <c r="H44" t="s">
        <v>11</v>
      </c>
      <c r="I44">
        <v>2.3481000000000001E-4</v>
      </c>
      <c r="J44">
        <v>1.9000000000000001E-7</v>
      </c>
      <c r="K44" s="6">
        <f>J44/I44*10^6</f>
        <v>809.16485669264512</v>
      </c>
    </row>
    <row r="45" spans="1:16" ht="15">
      <c r="B45" s="5" t="s">
        <v>148</v>
      </c>
      <c r="C45" s="49">
        <f t="array" ref="C45">MMULT(MMULT(TRANSPOSE(resid),covinv),resid)/(SUM(u)-1)</f>
        <v>0.65650442686350752</v>
      </c>
    </row>
    <row r="47" spans="1:16" ht="15">
      <c r="B47" s="5" t="s">
        <v>104</v>
      </c>
      <c r="C47" s="5" t="s">
        <v>105</v>
      </c>
      <c r="D47" s="5"/>
      <c r="E47" s="5" t="s">
        <v>106</v>
      </c>
      <c r="F47" s="5"/>
      <c r="G47" s="5" t="s">
        <v>107</v>
      </c>
      <c r="H47" s="5"/>
      <c r="I47" s="32" t="s">
        <v>53</v>
      </c>
      <c r="J47" s="32" t="s">
        <v>54</v>
      </c>
      <c r="K47" s="32" t="s">
        <v>55</v>
      </c>
      <c r="L47" s="32" t="s">
        <v>56</v>
      </c>
      <c r="M47" s="32" t="s">
        <v>57</v>
      </c>
      <c r="N47" s="5" t="s">
        <v>111</v>
      </c>
      <c r="O47" s="5" t="s">
        <v>112</v>
      </c>
      <c r="P47" s="5" t="s">
        <v>110</v>
      </c>
    </row>
    <row r="48" spans="1:16">
      <c r="B48" s="15" t="s">
        <v>121</v>
      </c>
      <c r="C48" s="16" t="s">
        <v>108</v>
      </c>
      <c r="D48" s="16"/>
      <c r="E48" s="16" t="s">
        <v>109</v>
      </c>
      <c r="F48" s="16"/>
      <c r="G48" s="16" t="s">
        <v>109</v>
      </c>
      <c r="H48" s="16"/>
      <c r="I48" s="16"/>
      <c r="J48" s="16"/>
      <c r="K48" s="16"/>
      <c r="L48" s="16"/>
      <c r="M48" s="16"/>
      <c r="N48" s="16" t="s">
        <v>103</v>
      </c>
      <c r="O48" s="16" t="s">
        <v>103</v>
      </c>
      <c r="P48" s="16" t="s">
        <v>103</v>
      </c>
    </row>
    <row r="49" spans="1:16">
      <c r="A49" s="30" t="s">
        <v>32</v>
      </c>
      <c r="B49" s="37">
        <f>'ID 1'!AC3</f>
        <v>491.54471426103282</v>
      </c>
      <c r="C49" s="38">
        <f>'ID 1'!AC6</f>
        <v>1.1962601729709949E-2</v>
      </c>
      <c r="D49" s="28"/>
      <c r="E49" s="28">
        <f>'ID 1'!AC7</f>
        <v>3.8796579261795749E-2</v>
      </c>
      <c r="F49" s="28"/>
      <c r="G49" s="28">
        <f>'ID 1'!AC8</f>
        <v>4.059899509298795E-2</v>
      </c>
      <c r="I49" s="28">
        <f>'ID 1'!AB12</f>
        <v>-482.71718222688008</v>
      </c>
      <c r="J49" s="28">
        <f>'ID 1'!AC12</f>
        <v>1706.7726374393451</v>
      </c>
      <c r="K49" s="28">
        <f>'ID 1'!AD12</f>
        <v>-3.4876794896555738</v>
      </c>
      <c r="L49" s="28">
        <f>'ID 1'!AE12</f>
        <v>141.21057536028638</v>
      </c>
      <c r="M49" s="28">
        <f>'ID 1'!AF12</f>
        <v>-1.4680227155238156E-3</v>
      </c>
      <c r="N49" s="28">
        <f>'ID 1'!W12</f>
        <v>3.5470971011910515</v>
      </c>
      <c r="O49" s="28">
        <f>'ID 1'!X12</f>
        <v>3.4979825885705758</v>
      </c>
      <c r="P49" s="28">
        <f>'ID 1'!Y12</f>
        <v>491.72519891900146</v>
      </c>
    </row>
    <row r="50" spans="1:16">
      <c r="A50" s="30" t="s">
        <v>33</v>
      </c>
      <c r="B50" s="39">
        <f>'ID 2'!AD3</f>
        <v>491.55326819066966</v>
      </c>
      <c r="C50" s="40">
        <f>'ID 2'!AD6</f>
        <v>1.6395595349914489E-2</v>
      </c>
      <c r="D50" s="2"/>
      <c r="E50" s="29">
        <f>'ID 2'!AD7</f>
        <v>3.8800028558649093E-2</v>
      </c>
      <c r="F50" s="2"/>
      <c r="G50" s="2">
        <f>'ID 2'!AD8</f>
        <v>4.2121939212601822E-2</v>
      </c>
      <c r="I50" s="29">
        <f>'ID 2'!AB12</f>
        <v>-482.76830728628528</v>
      </c>
      <c r="J50" s="29">
        <f>'ID 2'!AC12</f>
        <v>1709.9795229072579</v>
      </c>
      <c r="K50" s="29">
        <f>'ID 2'!AD12</f>
        <v>-3.4941449562834825</v>
      </c>
      <c r="L50" s="29">
        <f>'ID 2'!AE12</f>
        <v>140.96463175179278</v>
      </c>
      <c r="M50" s="29">
        <f>'ID 2'!AF12</f>
        <v>-1.4654829656466091E-3</v>
      </c>
      <c r="N50" s="29">
        <f>'ID 2'!W12</f>
        <v>3.5535525367565399</v>
      </c>
      <c r="O50" s="29">
        <f>'ID 2'!W12</f>
        <v>3.5535525367565399</v>
      </c>
      <c r="P50" s="29">
        <f>'ID 2'!Y12</f>
        <v>491.76372823487998</v>
      </c>
    </row>
    <row r="51" spans="1:16">
      <c r="A51" s="30" t="s">
        <v>34</v>
      </c>
      <c r="B51" s="39">
        <f>'ID 3'!AD3</f>
        <v>491.5615373879682</v>
      </c>
      <c r="C51" s="40">
        <f>'ID 3'!AD6</f>
        <v>1.5360984182879138E-2</v>
      </c>
      <c r="D51" s="2"/>
      <c r="E51" s="29">
        <f>'ID 3'!AD7</f>
        <v>3.8800129702388206E-2</v>
      </c>
      <c r="F51" s="2"/>
      <c r="G51" s="2">
        <f>'ID 3'!AD8</f>
        <v>4.1730203689759417E-2</v>
      </c>
      <c r="I51" s="29">
        <f>'ID 3'!AB12</f>
        <v>-482.68821540769727</v>
      </c>
      <c r="J51" s="29">
        <f>'ID 3'!AC12</f>
        <v>1679.3686228600807</v>
      </c>
      <c r="K51" s="29">
        <f>'ID 3'!AD12</f>
        <v>-3.4318101055947481</v>
      </c>
      <c r="L51" s="29">
        <f>'ID 3'!AE12</f>
        <v>143.50625154473477</v>
      </c>
      <c r="M51" s="29">
        <f>'ID 3'!AF12</f>
        <v>-1.4919222999018392E-3</v>
      </c>
      <c r="N51" s="29">
        <f>'ID 3'!W12</f>
        <v>3.4903637894047206</v>
      </c>
      <c r="O51" s="29">
        <f>'ID 3'!W12</f>
        <v>3.4903637894047206</v>
      </c>
      <c r="P51" s="29">
        <f>'ID 3'!Y12</f>
        <v>491.70879429392545</v>
      </c>
    </row>
    <row r="52" spans="1:16">
      <c r="A52" s="30" t="s">
        <v>35</v>
      </c>
      <c r="B52" s="39">
        <f>'ID 4'!AB3</f>
        <v>491.52918737826514</v>
      </c>
      <c r="C52" s="40">
        <f>'ID 4'!AB6</f>
        <v>1.8656410135904661E-2</v>
      </c>
      <c r="D52" s="2"/>
      <c r="E52" s="29">
        <f>'ID 4'!AB7</f>
        <v>3.8840817358013438E-2</v>
      </c>
      <c r="F52" s="2"/>
      <c r="G52" s="2">
        <f>'ID 4'!AB8</f>
        <v>4.3089102244043609E-2</v>
      </c>
      <c r="I52" s="29">
        <f>'ID 4'!AB12</f>
        <v>-482.29855041028611</v>
      </c>
      <c r="J52" s="29">
        <f>'ID 4'!AC12</f>
        <v>1423.1126778997129</v>
      </c>
      <c r="K52" s="29">
        <f>'ID 4'!AD12</f>
        <v>-2.910675524378334</v>
      </c>
      <c r="L52" s="29">
        <f>'ID 4'!AE12</f>
        <v>169.10835941959553</v>
      </c>
      <c r="M52" s="29">
        <f>'ID 4'!AF12</f>
        <v>-1.7580059254222974E-3</v>
      </c>
      <c r="N52" s="29">
        <f>'ID 4'!W12</f>
        <v>2.9606993080041466</v>
      </c>
      <c r="O52" s="29">
        <f>'ID 4'!X12</f>
        <v>2.9204459115390629</v>
      </c>
      <c r="P52" s="29">
        <f>'ID 4'!Y12</f>
        <v>491.41720669476945</v>
      </c>
    </row>
    <row r="53" spans="1:16">
      <c r="A53" s="30"/>
      <c r="B53" s="39"/>
      <c r="C53" s="40"/>
      <c r="D53" s="2"/>
      <c r="E53" s="29"/>
      <c r="F53" s="2"/>
      <c r="G53" s="2"/>
      <c r="H53" t="s">
        <v>140</v>
      </c>
      <c r="I53" s="140">
        <f t="array" ref="I53">MMULT(TRANSPOSE(a),I49:I52)</f>
        <v>-482.65484151538112</v>
      </c>
      <c r="J53" s="140">
        <f t="array" ref="J53">MMULT(TRANSPOSE(a),J49:J52)</f>
        <v>1656.1170442272</v>
      </c>
      <c r="K53" s="140">
        <f t="array" ref="K53">MMULT(TRANSPOSE(a),K49:K52)</f>
        <v>-3.3845968477462041</v>
      </c>
      <c r="L53" s="140">
        <f t="array" ref="L53">MMULT(TRANSPOSE(a),L49:L52)</f>
        <v>146.11161447408242</v>
      </c>
      <c r="M53" s="140">
        <f t="array" ref="M53">MMULT(TRANSPOSE(a),M49:M52)</f>
        <v>-1.5189788819676676E-3</v>
      </c>
      <c r="N53" s="29"/>
      <c r="O53" s="29"/>
      <c r="P53" s="29"/>
    </row>
    <row r="54" spans="1:16">
      <c r="A54" s="30"/>
      <c r="B54" s="39"/>
      <c r="C54" s="40"/>
      <c r="E54" s="29"/>
      <c r="G54" s="29"/>
      <c r="H54" t="s">
        <v>141</v>
      </c>
      <c r="I54" s="29">
        <f>I53^2*J42^2</f>
        <v>1.4909164546447213E-3</v>
      </c>
      <c r="J54" s="29">
        <f>J53^2*J43^2</f>
        <v>3.7547886962621975E-9</v>
      </c>
      <c r="K54" s="29">
        <f>K53^2*J44^2</f>
        <v>4.135433991660249E-13</v>
      </c>
      <c r="L54" s="29">
        <f>L53^2*(C5/2)^2</f>
        <v>6.4688877770753529E-6</v>
      </c>
      <c r="M54" s="29"/>
      <c r="N54" s="29"/>
      <c r="O54" s="29"/>
      <c r="P54" s="29"/>
    </row>
    <row r="55" spans="1:16">
      <c r="A55" s="30"/>
      <c r="B55" s="39"/>
      <c r="C55" s="40"/>
      <c r="E55" s="29"/>
      <c r="G55" s="29"/>
      <c r="H55" t="s">
        <v>142</v>
      </c>
      <c r="I55" s="29">
        <f>I54/SUM($I$54:$L$54)*100</f>
        <v>99.56773807224954</v>
      </c>
      <c r="J55" s="29">
        <f t="shared" ref="J55:L55" si="7">J54/SUM($I$54:$L$54)*100</f>
        <v>2.5075571220733892E-4</v>
      </c>
      <c r="K55" s="29">
        <f t="shared" si="7"/>
        <v>2.7617631237078581E-8</v>
      </c>
      <c r="L55" s="29">
        <f t="shared" si="7"/>
        <v>0.4320111444206306</v>
      </c>
      <c r="M55" s="29"/>
      <c r="N55" s="29"/>
      <c r="O55" s="29"/>
      <c r="P55" s="29"/>
    </row>
    <row r="56" spans="1:16">
      <c r="A56" s="30"/>
      <c r="B56" s="39"/>
      <c r="C56" s="40"/>
      <c r="E56" s="29"/>
      <c r="G56" s="29"/>
      <c r="I56" s="29"/>
      <c r="J56" s="29"/>
      <c r="K56" s="29"/>
      <c r="L56" s="29"/>
      <c r="M56" s="29"/>
      <c r="N56" s="29"/>
      <c r="O56" s="29"/>
      <c r="P56" s="29"/>
    </row>
    <row r="57" spans="1:16">
      <c r="A57" s="30"/>
      <c r="B57" s="39"/>
      <c r="C57" s="40"/>
      <c r="E57" s="29"/>
      <c r="G57" s="29"/>
      <c r="I57" s="29"/>
      <c r="J57" s="29"/>
      <c r="K57" s="29"/>
      <c r="L57" s="29"/>
      <c r="M57" s="29"/>
      <c r="N57" s="29"/>
      <c r="O57" s="29"/>
      <c r="P57" s="29"/>
    </row>
    <row r="58" spans="1:16">
      <c r="A58" s="30"/>
      <c r="B58" s="39"/>
      <c r="C58" s="40"/>
      <c r="E58" s="29"/>
      <c r="G58" s="29"/>
      <c r="I58" s="29"/>
      <c r="J58" s="29"/>
      <c r="K58" s="29"/>
      <c r="L58" s="29"/>
      <c r="M58" s="29"/>
      <c r="N58" s="29"/>
      <c r="O58" s="29"/>
      <c r="P58" s="29"/>
    </row>
    <row r="59" spans="1:16">
      <c r="A59" s="30"/>
      <c r="B59" s="39"/>
      <c r="C59" s="40"/>
      <c r="E59" s="29"/>
      <c r="G59" s="29"/>
      <c r="I59" s="29"/>
      <c r="J59" s="29"/>
      <c r="K59" s="29"/>
      <c r="L59" s="29"/>
      <c r="M59" s="29"/>
      <c r="N59" s="29"/>
      <c r="O59" s="29"/>
      <c r="P59" s="29"/>
    </row>
    <row r="60" spans="1:16">
      <c r="A60" s="30"/>
      <c r="B60" s="39"/>
      <c r="C60" s="40"/>
      <c r="E60" s="29"/>
      <c r="G60" s="29"/>
      <c r="I60" s="29"/>
      <c r="J60" s="29"/>
      <c r="K60" s="29"/>
      <c r="L60" s="29"/>
      <c r="M60" s="29"/>
      <c r="N60" s="29"/>
      <c r="O60" s="29"/>
      <c r="P60" s="29"/>
    </row>
    <row r="61" spans="1:16">
      <c r="A61" s="30"/>
      <c r="B61" s="39"/>
      <c r="C61" s="40"/>
      <c r="E61" s="29"/>
      <c r="G61" s="29"/>
      <c r="I61" s="29"/>
      <c r="J61" s="29"/>
      <c r="K61" s="29"/>
      <c r="L61" s="29"/>
      <c r="M61" s="29"/>
      <c r="N61" s="29"/>
      <c r="O61" s="29"/>
      <c r="P61" s="29"/>
    </row>
    <row r="62" spans="1:16">
      <c r="A62" s="30"/>
      <c r="B62" s="39"/>
      <c r="C62" s="40"/>
      <c r="E62" s="29"/>
      <c r="G62" s="29"/>
      <c r="I62" s="29"/>
      <c r="J62" s="29"/>
      <c r="K62" s="29"/>
      <c r="L62" s="29"/>
      <c r="M62" s="29"/>
      <c r="N62" s="29"/>
      <c r="O62" s="29"/>
      <c r="P62" s="29"/>
    </row>
    <row r="65" spans="1:15">
      <c r="A65" t="s">
        <v>59</v>
      </c>
      <c r="B65" s="30">
        <v>1</v>
      </c>
      <c r="C65" s="30">
        <v>2</v>
      </c>
      <c r="D65" s="30">
        <v>3</v>
      </c>
      <c r="E65" s="30">
        <v>4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spans="1:15">
      <c r="A66" s="30" t="str">
        <f t="shared" ref="A66:A69" si="8">A49</f>
        <v>ID 1</v>
      </c>
      <c r="B66" s="101">
        <f>G49^2</f>
        <v>1.6482784025604596E-3</v>
      </c>
      <c r="C66" s="101">
        <f>B67</f>
        <v>1.5053083598779028E-3</v>
      </c>
      <c r="D66" s="34">
        <f>B68</f>
        <v>1.5053104777316469E-3</v>
      </c>
      <c r="E66" s="34">
        <f>B69</f>
        <v>1.5066205551848919E-3</v>
      </c>
      <c r="F66" s="34"/>
      <c r="G66" s="34"/>
      <c r="H66" s="34"/>
      <c r="I66" s="34"/>
      <c r="J66" s="34"/>
      <c r="K66" s="34"/>
      <c r="L66" s="34"/>
      <c r="M66" s="34"/>
      <c r="N66" s="34"/>
      <c r="O66" s="34"/>
    </row>
    <row r="67" spans="1:15">
      <c r="A67" s="30" t="str">
        <f t="shared" si="8"/>
        <v>ID 2</v>
      </c>
      <c r="B67" s="101">
        <f>$J$42^2*$I$49*I50+$J$43^2*$J$49*J50+$J$44^2*$K$49*K50+$H$20^2*$L$49*L50+$I$20^2*$M$49*M50</f>
        <v>1.5053083598779028E-3</v>
      </c>
      <c r="C67" s="101">
        <f>G50^2</f>
        <v>1.774257763030123E-3</v>
      </c>
      <c r="D67" s="34">
        <f>B69</f>
        <v>1.5066205551848919E-3</v>
      </c>
      <c r="E67" s="34">
        <f>C69</f>
        <v>1.5067494422691316E-3</v>
      </c>
      <c r="F67" s="34"/>
      <c r="G67" s="34"/>
      <c r="H67" s="34"/>
      <c r="I67" s="34"/>
      <c r="J67" s="34"/>
      <c r="K67" s="34"/>
      <c r="L67" s="34"/>
      <c r="M67" s="34"/>
      <c r="N67" s="34"/>
      <c r="O67" s="34"/>
    </row>
    <row r="68" spans="1:15">
      <c r="A68" s="30" t="str">
        <f t="shared" si="8"/>
        <v>ID 3</v>
      </c>
      <c r="B68" s="34">
        <f>$J$42^2*$I$49*I51+$J$43^2*$J$49*J51+$J$44^2*$K$49*K51+$H$20^2*$L$49*L51+$I$20^2*$M$49*M51</f>
        <v>1.5053104777316469E-3</v>
      </c>
      <c r="C68" s="34">
        <f>$J$42^2*$I$50*I51+$J$43^2*$J$50*J51+$J$44^2*$K$50*K51+$H$20^2*$L$50*L51+$I$20^2*$M$50*M51</f>
        <v>1.5054438728993988E-3</v>
      </c>
      <c r="D68" s="33">
        <f>G51^2</f>
        <v>1.7414098999888104E-3</v>
      </c>
      <c r="E68" s="34">
        <f>D69</f>
        <v>1.5068011027936476E-3</v>
      </c>
      <c r="F68" s="34"/>
      <c r="G68" s="34"/>
      <c r="H68" s="34"/>
      <c r="I68" s="34"/>
      <c r="J68" s="34"/>
      <c r="K68" s="34"/>
      <c r="L68" s="34"/>
      <c r="M68" s="34"/>
      <c r="N68" s="34"/>
      <c r="O68" s="34"/>
    </row>
    <row r="69" spans="1:15">
      <c r="A69" s="30" t="str">
        <f t="shared" si="8"/>
        <v>ID 4</v>
      </c>
      <c r="B69" s="34">
        <f>$J$42^2*$I$49*I52+$J$43^2*$J$49*J52+$J$44^2*$K$49*K52+$H$20^2*$L$49*L52+$I$20^2*$M$49*M52</f>
        <v>1.5066205551848919E-3</v>
      </c>
      <c r="C69" s="34">
        <f>$J$42^2*$I$50*I52+$J$43^2*$J$50*J52+$J$44^2*$K$50*K52+$H$20^2*$L$50*L52+$I$20^2*$M$50*M52</f>
        <v>1.5067494422691316E-3</v>
      </c>
      <c r="D69" s="34">
        <f>$J$42^2*$I$51*I52+$J$43^2*$J$51*J52+$J$44^2*$K$51*K52+$H$20^2*$L$51*L52+$I$20^2*$M$51*M52</f>
        <v>1.5068011027936476E-3</v>
      </c>
      <c r="E69" s="33">
        <f>G52^2</f>
        <v>1.856670732197644E-3</v>
      </c>
      <c r="F69" s="34"/>
      <c r="G69" s="34"/>
      <c r="H69" s="34"/>
      <c r="I69" s="34"/>
      <c r="J69" s="34"/>
      <c r="K69" s="34"/>
      <c r="L69" s="34"/>
      <c r="M69" s="34"/>
      <c r="N69" s="34"/>
      <c r="O69" s="34"/>
    </row>
    <row r="70" spans="1:15">
      <c r="A70" s="30"/>
      <c r="B70" s="34"/>
      <c r="C70" s="34"/>
      <c r="D70" s="34"/>
      <c r="E70" s="34"/>
      <c r="F70" s="33"/>
      <c r="G70" s="34"/>
      <c r="H70" s="34"/>
      <c r="I70" s="34"/>
      <c r="J70" s="34"/>
      <c r="K70" s="34"/>
      <c r="L70" s="34"/>
      <c r="M70" s="34"/>
      <c r="N70" s="34"/>
      <c r="O70" s="34"/>
    </row>
    <row r="71" spans="1:15">
      <c r="A71" s="30"/>
      <c r="B71" s="34"/>
      <c r="C71" s="34"/>
      <c r="D71" s="34"/>
      <c r="E71" s="34"/>
      <c r="F71" s="34"/>
      <c r="G71" s="33"/>
      <c r="H71" s="34"/>
      <c r="I71" s="34"/>
      <c r="J71" s="34"/>
      <c r="K71" s="34"/>
      <c r="L71" s="34"/>
      <c r="M71" s="34"/>
      <c r="N71" s="34"/>
      <c r="O71" s="34"/>
    </row>
    <row r="72" spans="1:15">
      <c r="A72" s="30"/>
      <c r="B72" s="34"/>
      <c r="C72" s="34"/>
      <c r="D72" s="34"/>
      <c r="E72" s="34"/>
      <c r="F72" s="34"/>
      <c r="G72" s="34"/>
      <c r="H72" s="33"/>
      <c r="I72" s="34"/>
      <c r="J72" s="34"/>
      <c r="K72" s="34"/>
      <c r="L72" s="34"/>
      <c r="M72" s="34"/>
      <c r="N72" s="34"/>
      <c r="O72" s="34"/>
    </row>
    <row r="73" spans="1:15">
      <c r="A73" s="30"/>
      <c r="B73" s="34"/>
      <c r="C73" s="34"/>
      <c r="D73" s="34"/>
      <c r="E73" s="34"/>
      <c r="F73" s="34"/>
      <c r="G73" s="34"/>
      <c r="H73" s="34"/>
      <c r="I73" s="33"/>
      <c r="J73" s="34"/>
      <c r="K73" s="34"/>
      <c r="L73" s="34"/>
      <c r="M73" s="34"/>
      <c r="N73" s="34"/>
      <c r="O73" s="34"/>
    </row>
    <row r="74" spans="1:15">
      <c r="A74" s="30"/>
      <c r="B74" s="34"/>
      <c r="C74" s="34"/>
      <c r="D74" s="34"/>
      <c r="E74" s="34"/>
      <c r="F74" s="34"/>
      <c r="G74" s="34"/>
      <c r="H74" s="34"/>
      <c r="I74" s="34"/>
      <c r="J74" s="33"/>
      <c r="K74" s="34"/>
      <c r="L74" s="34"/>
      <c r="M74" s="34"/>
      <c r="N74" s="34"/>
      <c r="O74" s="34"/>
    </row>
    <row r="75" spans="1:15">
      <c r="A75" s="30"/>
      <c r="B75" s="34"/>
      <c r="C75" s="34"/>
      <c r="D75" s="34"/>
      <c r="E75" s="34"/>
      <c r="F75" s="34"/>
      <c r="G75" s="34"/>
      <c r="H75" s="34"/>
      <c r="I75" s="34"/>
      <c r="J75" s="34"/>
      <c r="K75" s="33"/>
      <c r="L75" s="34"/>
      <c r="M75" s="34"/>
      <c r="N75" s="34"/>
      <c r="O75" s="34"/>
    </row>
    <row r="76" spans="1:15">
      <c r="A76" s="30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3"/>
      <c r="M76" s="34"/>
      <c r="N76" s="34"/>
      <c r="O76" s="34"/>
    </row>
    <row r="77" spans="1:15">
      <c r="A77" s="30"/>
      <c r="B77" s="34"/>
      <c r="C77" s="34"/>
      <c r="D77" s="34"/>
      <c r="E77" s="34"/>
      <c r="F77" s="34"/>
      <c r="G77" s="101" t="s">
        <v>28</v>
      </c>
      <c r="H77" s="34"/>
      <c r="I77" s="34"/>
      <c r="J77" s="34"/>
      <c r="K77" s="34"/>
      <c r="L77" s="34"/>
      <c r="M77" s="33"/>
      <c r="N77" s="34"/>
      <c r="O77" s="34"/>
    </row>
    <row r="78" spans="1:15">
      <c r="A78" s="30"/>
      <c r="B78" s="34"/>
      <c r="C78" s="34"/>
      <c r="D78" s="34"/>
      <c r="E78" s="34"/>
      <c r="F78" s="34"/>
      <c r="G78" s="34">
        <f t="array" ref="G78">MMULT(MMULT(TRANSPOSE(a),cov),a)</f>
        <v>1.5619521254350349E-3</v>
      </c>
      <c r="H78" s="34"/>
      <c r="I78" s="34"/>
      <c r="J78" s="34"/>
      <c r="K78" s="34"/>
      <c r="L78" s="34"/>
      <c r="M78" s="34"/>
      <c r="N78" s="33"/>
      <c r="O78" s="34"/>
    </row>
    <row r="79" spans="1:15">
      <c r="A79" s="30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3"/>
    </row>
    <row r="82" spans="1:15">
      <c r="A82" t="s">
        <v>60</v>
      </c>
      <c r="B82" s="30">
        <v>1</v>
      </c>
      <c r="C82" s="30">
        <v>2</v>
      </c>
      <c r="D82" s="30">
        <v>3</v>
      </c>
      <c r="E82" s="30">
        <v>4</v>
      </c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spans="1:15">
      <c r="A83" s="30" t="str">
        <f t="shared" ref="A83:A86" si="9">A49</f>
        <v>ID 1</v>
      </c>
      <c r="B83">
        <f t="array" ref="B83:E86">MINVERSE(cov)</f>
        <v>4343.5904107085116</v>
      </c>
      <c r="C83">
        <v>-1407.8621728391925</v>
      </c>
      <c r="D83">
        <v>-1596.6255047154359</v>
      </c>
      <c r="E83">
        <v>-1086.3800167297354</v>
      </c>
    </row>
    <row r="84" spans="1:15">
      <c r="A84" s="30" t="str">
        <f t="shared" si="9"/>
        <v>ID 2</v>
      </c>
      <c r="B84">
        <v>-1400.842568714399</v>
      </c>
      <c r="C84">
        <v>2974.2060722755969</v>
      </c>
      <c r="D84">
        <v>-864.35788536751534</v>
      </c>
      <c r="E84">
        <v>-575.45460192976736</v>
      </c>
    </row>
    <row r="85" spans="1:15">
      <c r="A85" s="30" t="str">
        <f t="shared" si="9"/>
        <v>ID 3</v>
      </c>
      <c r="B85">
        <v>-1603.6460975286043</v>
      </c>
      <c r="C85">
        <v>-853.78336405490654</v>
      </c>
      <c r="D85">
        <v>3269.679426054608</v>
      </c>
      <c r="E85">
        <v>-659.36989383394859</v>
      </c>
    </row>
    <row r="86" spans="1:15">
      <c r="A86" s="30" t="str">
        <f t="shared" si="9"/>
        <v>ID 4</v>
      </c>
      <c r="B86">
        <v>-1086.3790190336269</v>
      </c>
      <c r="C86">
        <v>-578.34031581471561</v>
      </c>
      <c r="D86">
        <v>-656.48527646197385</v>
      </c>
      <c r="E86">
        <v>2422.2752961213719</v>
      </c>
    </row>
    <row r="87" spans="1:15">
      <c r="A87" s="30"/>
    </row>
    <row r="88" spans="1:15">
      <c r="A88" s="30"/>
    </row>
    <row r="89" spans="1:15">
      <c r="A89" s="30"/>
    </row>
    <row r="90" spans="1:15">
      <c r="A90" s="30"/>
    </row>
    <row r="91" spans="1:15">
      <c r="A91" s="30"/>
    </row>
    <row r="92" spans="1:15">
      <c r="A92" s="30"/>
    </row>
    <row r="93" spans="1:15">
      <c r="A93" s="30"/>
    </row>
    <row r="94" spans="1:15">
      <c r="A94" s="30"/>
    </row>
    <row r="95" spans="1:15">
      <c r="A95" s="30"/>
    </row>
    <row r="96" spans="1:15">
      <c r="A96" s="30"/>
    </row>
    <row r="98" spans="1:6" ht="18">
      <c r="A98" t="s">
        <v>66</v>
      </c>
      <c r="B98" s="35" t="s">
        <v>61</v>
      </c>
      <c r="C98" s="36" t="s">
        <v>62</v>
      </c>
      <c r="D98" s="36" t="s">
        <v>63</v>
      </c>
      <c r="E98" s="36" t="s">
        <v>64</v>
      </c>
      <c r="F98" s="36" t="s">
        <v>65</v>
      </c>
    </row>
    <row r="99" spans="1:6">
      <c r="A99" s="30" t="str">
        <f t="shared" ref="A99:A102" si="10">A49</f>
        <v>ID 1</v>
      </c>
      <c r="B99">
        <v>1</v>
      </c>
      <c r="C99">
        <f t="array" ref="C99:C102">MMULT(covinv,u)/MMULT(MMULT(TRANSPOSE(u),covinv),u)</f>
        <v>0.39474078406441299</v>
      </c>
      <c r="D99" s="41">
        <f>B49-$C$41</f>
        <v>-3.3503781810395594E-3</v>
      </c>
      <c r="E99" s="43">
        <f>1/C49^2</f>
        <v>6987.9326718005432</v>
      </c>
      <c r="F99" s="44">
        <f>D99^2*E99</f>
        <v>7.8439781523104699E-2</v>
      </c>
    </row>
    <row r="100" spans="1:6">
      <c r="A100" s="30" t="str">
        <f t="shared" si="10"/>
        <v>ID 2</v>
      </c>
      <c r="B100">
        <v>1</v>
      </c>
      <c r="C100">
        <v>0.20860029370743116</v>
      </c>
      <c r="D100" s="41">
        <f t="shared" ref="D100:D102" si="11">B50-$C$41</f>
        <v>5.2035514557928764E-3</v>
      </c>
      <c r="E100" s="43">
        <f t="shared" ref="E100:E102" si="12">1/C50^2</f>
        <v>3720.0229362229966</v>
      </c>
      <c r="F100" s="44">
        <f t="shared" ref="F100:F102" si="13">D100^2*E100</f>
        <v>0.10072686668438481</v>
      </c>
    </row>
    <row r="101" spans="1:6">
      <c r="A101" s="30" t="str">
        <f t="shared" si="10"/>
        <v>ID 3</v>
      </c>
      <c r="B101">
        <v>1</v>
      </c>
      <c r="C101">
        <v>0.23879135126835291</v>
      </c>
      <c r="D101" s="41">
        <f t="shared" si="11"/>
        <v>1.3472748754338681E-2</v>
      </c>
      <c r="E101" s="43">
        <f t="shared" si="12"/>
        <v>4238.0094040898157</v>
      </c>
      <c r="F101" s="44">
        <f t="shared" si="13"/>
        <v>0.76926210321452848</v>
      </c>
    </row>
    <row r="102" spans="1:6">
      <c r="A102" s="30" t="str">
        <f t="shared" si="10"/>
        <v>ID 4</v>
      </c>
      <c r="B102">
        <v>1</v>
      </c>
      <c r="C102">
        <v>0.15786757095980311</v>
      </c>
      <c r="D102" s="41">
        <f t="shared" si="11"/>
        <v>-1.8877260948727326E-2</v>
      </c>
      <c r="E102" s="43">
        <f t="shared" si="12"/>
        <v>2873.0543314568968</v>
      </c>
      <c r="F102" s="44">
        <f t="shared" si="13"/>
        <v>1.0238157292693515</v>
      </c>
    </row>
    <row r="103" spans="1:6">
      <c r="A103" s="30"/>
      <c r="D103" s="41"/>
      <c r="E103" s="43"/>
      <c r="F103" s="44"/>
    </row>
    <row r="104" spans="1:6">
      <c r="A104" s="30"/>
      <c r="D104" s="41"/>
      <c r="E104" s="43"/>
      <c r="F104" s="44"/>
    </row>
    <row r="105" spans="1:6">
      <c r="A105" s="30"/>
      <c r="D105" s="41"/>
      <c r="E105" s="43"/>
      <c r="F105" s="44"/>
    </row>
    <row r="106" spans="1:6">
      <c r="A106" s="30"/>
      <c r="D106" s="41"/>
      <c r="E106" s="43"/>
      <c r="F106" s="44"/>
    </row>
    <row r="107" spans="1:6">
      <c r="A107" s="30"/>
      <c r="D107" s="41"/>
      <c r="E107" s="43"/>
      <c r="F107" s="44"/>
    </row>
    <row r="108" spans="1:6">
      <c r="A108" s="30"/>
      <c r="D108" s="41"/>
      <c r="E108" s="43"/>
      <c r="F108" s="44"/>
    </row>
    <row r="109" spans="1:6">
      <c r="A109" s="30"/>
      <c r="D109" s="41"/>
      <c r="E109" s="43"/>
      <c r="F109" s="44"/>
    </row>
    <row r="110" spans="1:6">
      <c r="A110" s="30"/>
      <c r="D110" s="41"/>
      <c r="E110" s="43"/>
      <c r="F110" s="44"/>
    </row>
    <row r="111" spans="1:6">
      <c r="A111" s="30"/>
      <c r="D111" s="41"/>
      <c r="E111" s="43"/>
      <c r="F111" s="44"/>
    </row>
    <row r="112" spans="1:6">
      <c r="A112" s="30"/>
      <c r="D112" s="41"/>
      <c r="E112" s="43"/>
      <c r="F112" s="44"/>
    </row>
  </sheetData>
  <phoneticPr fontId="10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>
    <pageSetUpPr autoPageBreaks="0"/>
  </sheetPr>
  <dimension ref="B1:K27"/>
  <sheetViews>
    <sheetView tabSelected="1" zoomScaleNormal="100" workbookViewId="0">
      <selection activeCell="B2" sqref="B2"/>
    </sheetView>
  </sheetViews>
  <sheetFormatPr defaultColWidth="7.625" defaultRowHeight="14.25"/>
  <cols>
    <col min="1" max="1" width="1.125" style="63" customWidth="1"/>
    <col min="2" max="2" width="8.625" style="63" customWidth="1"/>
    <col min="3" max="3" width="9.75" style="63" customWidth="1"/>
    <col min="4" max="6" width="10.25" style="63" customWidth="1"/>
    <col min="7" max="7" width="10.25" style="71" customWidth="1"/>
    <col min="8" max="8" width="10.25" style="71" bestFit="1" customWidth="1"/>
    <col min="9" max="9" width="8.625" style="71" customWidth="1"/>
    <col min="10" max="10" width="14.625" style="63" customWidth="1"/>
    <col min="11" max="11" width="9.625" style="63" customWidth="1"/>
    <col min="12" max="12" width="11.875" style="63" customWidth="1"/>
    <col min="13" max="13" width="10.25" style="63" customWidth="1"/>
    <col min="14" max="15" width="7.75" style="63" customWidth="1"/>
    <col min="16" max="16" width="13.75" style="63" customWidth="1"/>
    <col min="17" max="17" width="10.25" style="63" customWidth="1"/>
    <col min="18" max="18" width="7.75" style="63" customWidth="1"/>
    <col min="19" max="16384" width="7.625" style="63"/>
  </cols>
  <sheetData>
    <row r="1" spans="2:11">
      <c r="B1" s="60"/>
      <c r="C1" s="60"/>
      <c r="D1" s="60"/>
      <c r="E1" s="60"/>
      <c r="F1" s="60"/>
      <c r="G1" s="61"/>
      <c r="H1" s="62"/>
      <c r="I1" s="62"/>
    </row>
    <row r="2" spans="2:11" ht="21.75" customHeight="1" thickBot="1">
      <c r="B2" s="79" t="s">
        <v>167</v>
      </c>
      <c r="C2" s="64" t="s">
        <v>0</v>
      </c>
      <c r="D2" s="64" t="s">
        <v>1</v>
      </c>
      <c r="E2" s="64" t="s">
        <v>2</v>
      </c>
      <c r="F2" s="65" t="s">
        <v>71</v>
      </c>
      <c r="G2" s="97" t="s">
        <v>21</v>
      </c>
      <c r="H2" s="66" t="s">
        <v>102</v>
      </c>
      <c r="I2" s="67"/>
      <c r="J2" s="96" t="s">
        <v>20</v>
      </c>
    </row>
    <row r="3" spans="2:11" ht="15.75" thickTop="1">
      <c r="B3" s="75">
        <v>1</v>
      </c>
      <c r="C3" s="78">
        <f>'ID 1'!T12</f>
        <v>7.9732145483227476E-2</v>
      </c>
      <c r="D3" s="115">
        <f>'ID 1'!W12</f>
        <v>3.5470971011910515</v>
      </c>
      <c r="E3" s="115">
        <f>'ID 1'!X12</f>
        <v>3.4979825885705758</v>
      </c>
      <c r="F3" s="116">
        <f>'ID 1'!Y12</f>
        <v>491.72519891900146</v>
      </c>
      <c r="G3" s="117">
        <f>SampleStats!B49</f>
        <v>491.54471426103282</v>
      </c>
      <c r="H3" s="103">
        <f>2*'ID 1'!AD6</f>
        <v>48.673503681934648</v>
      </c>
      <c r="I3" s="69">
        <f>(G3/1000000)*H3</f>
        <v>2.3925203459419894E-2</v>
      </c>
      <c r="J3" s="86" t="s">
        <v>15</v>
      </c>
      <c r="K3" s="70"/>
    </row>
    <row r="4" spans="2:11" ht="15">
      <c r="B4" s="76">
        <v>2</v>
      </c>
      <c r="C4" s="78">
        <f>'ID 2'!T12</f>
        <v>6.8652741462078684E-2</v>
      </c>
      <c r="D4" s="115">
        <f>'ID 2'!W12</f>
        <v>3.5535525367565399</v>
      </c>
      <c r="E4" s="115">
        <f>'ID 1'!X12</f>
        <v>3.4979825885705758</v>
      </c>
      <c r="F4" s="116">
        <f>'ID 2'!Y12</f>
        <v>491.76372823487998</v>
      </c>
      <c r="G4" s="118">
        <f>SampleStats!B50</f>
        <v>491.55326819066966</v>
      </c>
      <c r="H4" s="103">
        <f>2*'ID 2'!AE6</f>
        <v>66.709333091260277</v>
      </c>
      <c r="I4" s="69">
        <f t="shared" ref="I4:I6" si="0">(G4/1000000)*H4</f>
        <v>3.2791190699828977E-2</v>
      </c>
      <c r="J4" s="63" t="s">
        <v>89</v>
      </c>
      <c r="K4" s="70" t="str">
        <f>TEXT(SampleStats!C41,"0.000")</f>
        <v>491.548</v>
      </c>
    </row>
    <row r="5" spans="2:11" ht="15">
      <c r="B5" s="76">
        <v>3</v>
      </c>
      <c r="C5" s="78">
        <f>'ID 3'!T12</f>
        <v>7.571327937479555E-2</v>
      </c>
      <c r="D5" s="115">
        <f>'ID 3'!W12</f>
        <v>3.4903637894047206</v>
      </c>
      <c r="E5" s="115">
        <f>'ID 3'!X12</f>
        <v>3.4420411062899166</v>
      </c>
      <c r="F5" s="116">
        <f>'ID 3'!Y12</f>
        <v>491.70879429392545</v>
      </c>
      <c r="G5" s="118">
        <f>SampleStats!B51</f>
        <v>491.5615373879682</v>
      </c>
      <c r="H5" s="103">
        <f>2*'ID 3'!AE6</f>
        <v>62.498723006293233</v>
      </c>
      <c r="I5" s="69">
        <f t="shared" si="0"/>
        <v>3.0721968365758277E-2</v>
      </c>
      <c r="J5" s="63" t="s">
        <v>173</v>
      </c>
      <c r="K5" s="70" t="str">
        <f>TEXT(SampleStats!C42,"0.000")</f>
        <v>0.015</v>
      </c>
    </row>
    <row r="6" spans="2:11" ht="15">
      <c r="B6" s="136">
        <v>4</v>
      </c>
      <c r="C6" s="148">
        <f>'ID 4'!T12</f>
        <v>9.7050820915163677E-2</v>
      </c>
      <c r="D6" s="149">
        <f>'ID 4'!W12</f>
        <v>2.9606993080041466</v>
      </c>
      <c r="E6" s="149">
        <f>'ID 4'!X12</f>
        <v>2.9204459115390629</v>
      </c>
      <c r="F6" s="150">
        <f>'ID 4'!Y12</f>
        <v>491.41720669476945</v>
      </c>
      <c r="G6" s="151">
        <f>SampleStats!B52</f>
        <v>491.52918737826514</v>
      </c>
      <c r="H6" s="152">
        <f>'ID 4'!AC6</f>
        <v>37.955854128245868</v>
      </c>
      <c r="I6" s="69">
        <f t="shared" si="0"/>
        <v>1.8656410135904661E-2</v>
      </c>
      <c r="J6" s="63" t="s">
        <v>92</v>
      </c>
      <c r="K6" s="70" t="str">
        <f>TEXT(SampleStats!C45,"0.0")</f>
        <v>0.7</v>
      </c>
    </row>
    <row r="7" spans="2:11" ht="15">
      <c r="B7" s="77"/>
      <c r="C7" s="78"/>
      <c r="D7" s="80"/>
      <c r="E7" s="80"/>
      <c r="F7" s="80"/>
      <c r="G7" s="74"/>
      <c r="H7" s="68"/>
      <c r="I7" s="69"/>
      <c r="J7" s="63" t="s">
        <v>174</v>
      </c>
      <c r="K7" s="147" t="str">
        <f>TEXT(SampleStats!C43,"0.000")</f>
        <v>0.079</v>
      </c>
    </row>
    <row r="8" spans="2:11" ht="15">
      <c r="B8" s="73"/>
      <c r="C8" s="78"/>
      <c r="D8" s="80"/>
      <c r="E8" s="80"/>
      <c r="F8" s="80"/>
      <c r="G8" s="74"/>
      <c r="H8" s="68"/>
      <c r="I8" s="69"/>
      <c r="J8" s="63" t="s">
        <v>175</v>
      </c>
      <c r="K8" s="147"/>
    </row>
    <row r="9" spans="2:11">
      <c r="B9" s="141" t="str">
        <f>"Weighted Mean: "&amp;K4&amp;" ± "&amp;K5&amp;"/"&amp;K7&amp;" (2σ absolute), MSWD = "&amp;K6</f>
        <v>Weighted Mean: 491.548 ± 0.015/0.079 (2σ absolute), MSWD = 0.7</v>
      </c>
      <c r="C9" s="142"/>
      <c r="D9" s="142"/>
      <c r="E9" s="142"/>
      <c r="F9" s="142"/>
      <c r="G9" s="142"/>
      <c r="H9" s="143"/>
    </row>
    <row r="10" spans="2:11">
      <c r="B10" s="122" t="s">
        <v>168</v>
      </c>
      <c r="C10" s="134"/>
      <c r="D10" s="134"/>
      <c r="E10" s="130">
        <f>99.79311/0.20291</f>
        <v>491.80971859445071</v>
      </c>
      <c r="F10" s="134"/>
      <c r="H10" s="134"/>
    </row>
    <row r="12" spans="2:11" ht="18.75" thickBot="1">
      <c r="B12" s="79" t="s">
        <v>167</v>
      </c>
      <c r="C12" s="95" t="s">
        <v>38</v>
      </c>
      <c r="D12" s="94" t="s">
        <v>18</v>
      </c>
      <c r="E12" s="97"/>
      <c r="F12" s="66"/>
      <c r="G12" s="98" t="s">
        <v>22</v>
      </c>
      <c r="H12" s="83" t="s">
        <v>169</v>
      </c>
    </row>
    <row r="13" spans="2:11" ht="18" thickTop="1">
      <c r="B13" s="135" t="s">
        <v>36</v>
      </c>
      <c r="C13" s="67">
        <f>'IC E'!S12</f>
        <v>1.2762450652625719E-3</v>
      </c>
      <c r="D13" s="116">
        <f>'IC E'!V12</f>
        <v>491.4816899243155</v>
      </c>
      <c r="E13" s="126"/>
      <c r="F13" s="124"/>
      <c r="G13" s="125">
        <f>SampleStats!B15</f>
        <v>1.5378590444060454E-2</v>
      </c>
      <c r="H13" s="123">
        <f>(G13/1000000)*'IC E'!Z12/'IC E'!Z11*10^6*2</f>
        <v>6.4023964783205373E-5</v>
      </c>
      <c r="J13" s="96" t="s">
        <v>19</v>
      </c>
    </row>
    <row r="14" spans="2:11" ht="15">
      <c r="B14" s="135" t="s">
        <v>37</v>
      </c>
      <c r="C14" s="67">
        <f>'IC F'!S12</f>
        <v>1.3713422897594372E-3</v>
      </c>
      <c r="D14" s="116">
        <f>'IC F'!V12</f>
        <v>491.98400512480305</v>
      </c>
      <c r="E14" s="126"/>
      <c r="F14" s="124"/>
      <c r="G14" s="125">
        <f>SampleStats!B16</f>
        <v>1.5419067549556787E-2</v>
      </c>
      <c r="H14" s="123">
        <f>(G14/1000000)*'IC F'!Z12/'IC F'!Z11*10^6*2</f>
        <v>4.1466846703146329E-5</v>
      </c>
      <c r="J14" s="86" t="s">
        <v>16</v>
      </c>
    </row>
    <row r="15" spans="2:11" ht="15">
      <c r="B15" s="92"/>
      <c r="C15" s="84"/>
      <c r="D15" s="93"/>
      <c r="E15" s="88"/>
      <c r="F15" s="87"/>
      <c r="G15" s="89"/>
      <c r="H15" s="87"/>
      <c r="J15" s="63" t="s">
        <v>89</v>
      </c>
      <c r="K15" s="70" t="str">
        <f>TEXT(SampleStats!C3,"0.000000")</f>
        <v>0.015407</v>
      </c>
    </row>
    <row r="16" spans="2:11" ht="15">
      <c r="B16" s="92"/>
      <c r="C16" s="84"/>
      <c r="D16" s="93"/>
      <c r="E16" s="88"/>
      <c r="F16" s="87"/>
      <c r="G16" s="89"/>
      <c r="H16" s="87"/>
      <c r="J16" s="63" t="s">
        <v>90</v>
      </c>
      <c r="K16" s="70" t="str">
        <f>TEXT(SampleStats!C4,"0.000000")</f>
        <v>0.000032</v>
      </c>
    </row>
    <row r="17" spans="2:11" ht="15">
      <c r="B17" s="92"/>
      <c r="C17" s="84"/>
      <c r="D17" s="93"/>
      <c r="E17" s="88"/>
      <c r="F17" s="87"/>
      <c r="G17" s="89"/>
      <c r="H17" s="87"/>
      <c r="J17" s="63" t="s">
        <v>91</v>
      </c>
      <c r="K17" s="70" t="str">
        <f>TEXT(SampleStats!C5,"0.000000")</f>
        <v>0.000035</v>
      </c>
    </row>
    <row r="18" spans="2:11" ht="15">
      <c r="B18" s="92"/>
      <c r="C18" s="84"/>
      <c r="D18" s="93"/>
      <c r="E18" s="88"/>
      <c r="F18" s="87"/>
      <c r="G18" s="89"/>
      <c r="H18" s="87"/>
      <c r="J18" s="63" t="s">
        <v>92</v>
      </c>
      <c r="K18" s="70" t="str">
        <f>TEXT(SampleStats!C7,"0.0")</f>
        <v>1.1</v>
      </c>
    </row>
    <row r="19" spans="2:11" ht="15.95" customHeight="1">
      <c r="B19" s="91" t="s">
        <v>17</v>
      </c>
      <c r="C19" s="144" t="str">
        <f>"Weighted Mean: "&amp;K15&amp;" ± "&amp;K16&amp;"/"&amp;K17&amp;" (2σ absolute), MSWD = "&amp;K18&amp;"/"&amp;K19</f>
        <v>Weighted Mean: 0.015407 ± 0.000032/0.000035 (2σ absolute), MSWD = 1.1/1.1</v>
      </c>
      <c r="D19" s="145"/>
      <c r="E19" s="145"/>
      <c r="F19" s="145"/>
      <c r="G19" s="145"/>
      <c r="H19" s="146"/>
      <c r="J19" s="63" t="s">
        <v>39</v>
      </c>
      <c r="K19" s="63" t="str">
        <f>TEXT(SampleStats!C7,"0.0")</f>
        <v>1.1</v>
      </c>
    </row>
    <row r="20" spans="2:11" ht="15">
      <c r="B20" s="122" t="s">
        <v>168</v>
      </c>
      <c r="C20" s="81"/>
      <c r="D20" s="81"/>
      <c r="E20" s="130">
        <f>0.00322/0.20291</f>
        <v>1.5869104529101574E-2</v>
      </c>
      <c r="F20" s="129"/>
      <c r="H20" s="82"/>
      <c r="I20" s="69"/>
      <c r="J20" s="86"/>
    </row>
    <row r="21" spans="2:11">
      <c r="K21" s="70"/>
    </row>
    <row r="22" spans="2:11">
      <c r="K22" s="70"/>
    </row>
    <row r="23" spans="2:11">
      <c r="K23" s="70"/>
    </row>
    <row r="24" spans="2:11">
      <c r="K24" s="70"/>
    </row>
    <row r="26" spans="2:11">
      <c r="I26" s="85"/>
    </row>
    <row r="27" spans="2:11">
      <c r="I27" s="90"/>
    </row>
  </sheetData>
  <mergeCells count="3">
    <mergeCell ref="B9:H9"/>
    <mergeCell ref="C19:H19"/>
    <mergeCell ref="K7:K8"/>
  </mergeCells>
  <phoneticPr fontId="10" type="noConversion"/>
  <pageMargins left="0.75" right="0.75" top="1" bottom="1" header="0.5" footer="0.5"/>
  <pageSetup paperSize="9" orientation="portrait" r:id="rId1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35</vt:i4>
      </vt:variant>
    </vt:vector>
  </HeadingPairs>
  <TitlesOfParts>
    <vt:vector size="46" baseType="lpstr">
      <vt:lpstr>IC A</vt:lpstr>
      <vt:lpstr>IC B</vt:lpstr>
      <vt:lpstr>IC D</vt:lpstr>
      <vt:lpstr>IC E</vt:lpstr>
      <vt:lpstr>IC F</vt:lpstr>
      <vt:lpstr>ID 1</vt:lpstr>
      <vt:lpstr>ID 2</vt:lpstr>
      <vt:lpstr>ID 3</vt:lpstr>
      <vt:lpstr>ID 4</vt:lpstr>
      <vt:lpstr>SampleStats</vt:lpstr>
      <vt:lpstr>Table</vt:lpstr>
      <vt:lpstr>_a65</vt:lpstr>
      <vt:lpstr>_cov65</vt:lpstr>
      <vt:lpstr>_covinv65</vt:lpstr>
      <vt:lpstr>_resid65</vt:lpstr>
      <vt:lpstr>_u65</vt:lpstr>
      <vt:lpstr>_v65</vt:lpstr>
      <vt:lpstr>a</vt:lpstr>
      <vt:lpstr>cov</vt:lpstr>
      <vt:lpstr>covinv</vt:lpstr>
      <vt:lpstr>data85</vt:lpstr>
      <vt:lpstr>resid</vt:lpstr>
      <vt:lpstr>u</vt:lpstr>
      <vt:lpstr>'IC A'!U500_16a_U3568_stat_fast_U500</vt:lpstr>
      <vt:lpstr>'IC B'!U500_16a_U3568_stat_fast_U500</vt:lpstr>
      <vt:lpstr>'IC D'!U500_16a_U3568_stat_fast_U500</vt:lpstr>
      <vt:lpstr>'IC E'!U500_16a_U3568_stat_fast_U500</vt:lpstr>
      <vt:lpstr>'IC F'!U500_16a_U3568_stat_fast_U500</vt:lpstr>
      <vt:lpstr>'ID 1'!U500_16a_U3568_stat_fast_U500</vt:lpstr>
      <vt:lpstr>'ID 2'!U500_16a_U3568_stat_fast_U500</vt:lpstr>
      <vt:lpstr>'ID 3'!U500_16a_U3568_stat_fast_U500</vt:lpstr>
      <vt:lpstr>'ID 4'!U500_16a_U3568_stat_fast_U500</vt:lpstr>
      <vt:lpstr>'IC A'!U500_IC_1a_U4568_stat_fast_U500</vt:lpstr>
      <vt:lpstr>'IC B'!U500_IC_1a_U4568_stat_fast_U500</vt:lpstr>
      <vt:lpstr>'IC D'!U500_IC_1a_U4568_stat_fast_U500</vt:lpstr>
      <vt:lpstr>'IC E'!U500_IC_1a_U4568_stat_fast_U500</vt:lpstr>
      <vt:lpstr>'IC F'!U500_IC_1a_U4568_stat_fast_U500</vt:lpstr>
      <vt:lpstr>'ID 1'!U500_IC_1a_U4568_stat_fast_U500</vt:lpstr>
      <vt:lpstr>'ID 2'!U500_IC_1a_U4568_stat_fast_U500</vt:lpstr>
      <vt:lpstr>'ID 3'!U500_IC_1a_U4568_stat_fast_U500</vt:lpstr>
      <vt:lpstr>'ID 4'!U500_IC_1a_U4568_stat_fast_U500</vt:lpstr>
      <vt:lpstr>'IC A'!U500_IC_1a_U4568_stat_fast_U500_1</vt:lpstr>
      <vt:lpstr>'IC B'!U500_IC_1a_U4568_stat_fast_U500_1</vt:lpstr>
      <vt:lpstr>'IC D'!U500_IC_1a_U4568_stat_fast_U500_1</vt:lpstr>
      <vt:lpstr>'IC E'!U500_IC_1a_U4568_stat_fast_U500_1</vt:lpstr>
      <vt:lpstr>'IC F'!U500_IC_1a_U4568_stat_fast_U500_1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McLean</dc:creator>
  <cp:lastModifiedBy>Noah McLean</cp:lastModifiedBy>
  <dcterms:created xsi:type="dcterms:W3CDTF">2010-02-17T19:58:31Z</dcterms:created>
  <dcterms:modified xsi:type="dcterms:W3CDTF">2013-09-12T20:53:09Z</dcterms:modified>
</cp:coreProperties>
</file>