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apta\Downloads\"/>
    </mc:Choice>
  </mc:AlternateContent>
  <xr:revisionPtr revIDLastSave="0" documentId="13_ncr:1_{AD34EF92-150F-4830-A977-CC70FFC72A3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oliticalData" sheetId="1" r:id="rId1"/>
    <sheet name="Copy of PoliticalData" sheetId="2" r:id="rId2"/>
    <sheet name="EmailList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4" l="1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K34" i="2"/>
  <c r="BJ34" i="2"/>
  <c r="BI34" i="2"/>
  <c r="BF34" i="2"/>
  <c r="BE34" i="2"/>
  <c r="BD34" i="2"/>
  <c r="BC34" i="2"/>
  <c r="BB34" i="2"/>
  <c r="BA34" i="2"/>
  <c r="AZ34" i="2"/>
  <c r="AY34" i="2"/>
  <c r="AX34" i="2"/>
  <c r="AT34" i="2"/>
  <c r="AM34" i="2"/>
  <c r="AJ34" i="2"/>
  <c r="AI34" i="2"/>
  <c r="AO34" i="2" s="1"/>
  <c r="AG34" i="2"/>
  <c r="AH34" i="2" s="1"/>
  <c r="AN34" i="2" s="1"/>
  <c r="AF34" i="2"/>
  <c r="AE34" i="2"/>
  <c r="BK33" i="2"/>
  <c r="BJ33" i="2"/>
  <c r="BI33" i="2"/>
  <c r="BF33" i="2"/>
  <c r="BE33" i="2"/>
  <c r="BD33" i="2"/>
  <c r="BC33" i="2"/>
  <c r="BB33" i="2"/>
  <c r="BA33" i="2"/>
  <c r="AZ33" i="2"/>
  <c r="AY33" i="2"/>
  <c r="AX33" i="2"/>
  <c r="AV33" i="2"/>
  <c r="AO33" i="2"/>
  <c r="AK33" i="2"/>
  <c r="AJ33" i="2"/>
  <c r="AI33" i="2"/>
  <c r="BL33" i="2" s="1"/>
  <c r="AG33" i="2"/>
  <c r="AE33" i="2"/>
  <c r="BK32" i="2"/>
  <c r="BJ32" i="2"/>
  <c r="BI32" i="2"/>
  <c r="BF32" i="2"/>
  <c r="BE32" i="2"/>
  <c r="BD32" i="2"/>
  <c r="BC32" i="2"/>
  <c r="BB32" i="2"/>
  <c r="BA32" i="2"/>
  <c r="AZ32" i="2"/>
  <c r="AY32" i="2"/>
  <c r="AX32" i="2"/>
  <c r="AT32" i="2"/>
  <c r="AP32" i="2"/>
  <c r="AO32" i="2"/>
  <c r="AJ32" i="2"/>
  <c r="AI32" i="2"/>
  <c r="BL32" i="2" s="1"/>
  <c r="AH32" i="2"/>
  <c r="AG32" i="2"/>
  <c r="AE32" i="2"/>
  <c r="AR32" i="2" s="1"/>
  <c r="BH32" i="2" s="1"/>
  <c r="BK31" i="2"/>
  <c r="BJ31" i="2"/>
  <c r="BI31" i="2"/>
  <c r="BF31" i="2"/>
  <c r="BE31" i="2"/>
  <c r="BD31" i="2"/>
  <c r="BC31" i="2"/>
  <c r="BB31" i="2"/>
  <c r="BA31" i="2"/>
  <c r="AZ31" i="2"/>
  <c r="AY31" i="2"/>
  <c r="AX31" i="2"/>
  <c r="AT31" i="2"/>
  <c r="AO31" i="2"/>
  <c r="AM31" i="2"/>
  <c r="AJ31" i="2"/>
  <c r="AI31" i="2"/>
  <c r="AV31" i="2" s="1"/>
  <c r="AG31" i="2"/>
  <c r="AE31" i="2"/>
  <c r="BK30" i="2"/>
  <c r="BJ30" i="2"/>
  <c r="BI30" i="2"/>
  <c r="BF30" i="2"/>
  <c r="BE30" i="2"/>
  <c r="BD30" i="2"/>
  <c r="BC30" i="2"/>
  <c r="BB30" i="2"/>
  <c r="BA30" i="2"/>
  <c r="AZ30" i="2"/>
  <c r="AY30" i="2"/>
  <c r="AX30" i="2"/>
  <c r="AR30" i="2"/>
  <c r="AO30" i="2"/>
  <c r="AL30" i="2"/>
  <c r="AK30" i="2"/>
  <c r="AJ30" i="2"/>
  <c r="AI30" i="2"/>
  <c r="AV30" i="2" s="1"/>
  <c r="AG30" i="2"/>
  <c r="AT30" i="2" s="1"/>
  <c r="AF30" i="2"/>
  <c r="AE30" i="2"/>
  <c r="BK29" i="2"/>
  <c r="BJ29" i="2"/>
  <c r="BI29" i="2"/>
  <c r="BF29" i="2"/>
  <c r="BE29" i="2"/>
  <c r="BD29" i="2"/>
  <c r="BC29" i="2"/>
  <c r="BB29" i="2"/>
  <c r="BA29" i="2"/>
  <c r="AZ29" i="2"/>
  <c r="AY29" i="2"/>
  <c r="AX29" i="2"/>
  <c r="AR29" i="2"/>
  <c r="AO29" i="2"/>
  <c r="AL29" i="2"/>
  <c r="AK29" i="2"/>
  <c r="AI29" i="2"/>
  <c r="AG29" i="2"/>
  <c r="AF29" i="2"/>
  <c r="AE29" i="2"/>
  <c r="BL28" i="2"/>
  <c r="BK28" i="2"/>
  <c r="BJ28" i="2"/>
  <c r="BI28" i="2"/>
  <c r="BF28" i="2"/>
  <c r="BE28" i="2"/>
  <c r="BD28" i="2"/>
  <c r="BC28" i="2"/>
  <c r="BB28" i="2"/>
  <c r="BA28" i="2"/>
  <c r="AZ28" i="2"/>
  <c r="AY28" i="2"/>
  <c r="AX28" i="2"/>
  <c r="AR28" i="2"/>
  <c r="BH28" i="2" s="1"/>
  <c r="AN28" i="2"/>
  <c r="AM28" i="2"/>
  <c r="AL28" i="2"/>
  <c r="AK28" i="2"/>
  <c r="AI28" i="2"/>
  <c r="AH28" i="2"/>
  <c r="AG28" i="2"/>
  <c r="AT28" i="2" s="1"/>
  <c r="AF28" i="2"/>
  <c r="AE28" i="2"/>
  <c r="BK27" i="2"/>
  <c r="BJ27" i="2"/>
  <c r="BI27" i="2"/>
  <c r="BF27" i="2"/>
  <c r="BE27" i="2"/>
  <c r="BD27" i="2"/>
  <c r="BC27" i="2"/>
  <c r="BB27" i="2"/>
  <c r="BA27" i="2"/>
  <c r="AZ27" i="2"/>
  <c r="AY27" i="2"/>
  <c r="AX27" i="2"/>
  <c r="AT27" i="2"/>
  <c r="AR27" i="2"/>
  <c r="BH27" i="2" s="1"/>
  <c r="AN27" i="2"/>
  <c r="AM27" i="2"/>
  <c r="AK27" i="2"/>
  <c r="AI27" i="2"/>
  <c r="BL27" i="2" s="1"/>
  <c r="AH27" i="2"/>
  <c r="AG27" i="2"/>
  <c r="AF27" i="2"/>
  <c r="AE27" i="2"/>
  <c r="AL27" i="2" s="1"/>
  <c r="BK26" i="2"/>
  <c r="BJ26" i="2"/>
  <c r="BI26" i="2"/>
  <c r="BF26" i="2"/>
  <c r="BE26" i="2"/>
  <c r="BD26" i="2"/>
  <c r="BC26" i="2"/>
  <c r="BB26" i="2"/>
  <c r="BA26" i="2"/>
  <c r="AZ26" i="2"/>
  <c r="AY26" i="2"/>
  <c r="AX26" i="2"/>
  <c r="AV26" i="2"/>
  <c r="AP26" i="2"/>
  <c r="AO26" i="2"/>
  <c r="AN26" i="2"/>
  <c r="AM26" i="2"/>
  <c r="AK26" i="2"/>
  <c r="AJ26" i="2"/>
  <c r="AI26" i="2"/>
  <c r="BL26" i="2" s="1"/>
  <c r="AH26" i="2"/>
  <c r="AT26" i="2" s="1"/>
  <c r="AG26" i="2"/>
  <c r="AF26" i="2"/>
  <c r="AE26" i="2"/>
  <c r="AL26" i="2" s="1"/>
  <c r="BK25" i="2"/>
  <c r="BJ25" i="2"/>
  <c r="BI25" i="2"/>
  <c r="BF25" i="2"/>
  <c r="BE25" i="2"/>
  <c r="BD25" i="2"/>
  <c r="BC25" i="2"/>
  <c r="BB25" i="2"/>
  <c r="BA25" i="2"/>
  <c r="AZ25" i="2"/>
  <c r="AY25" i="2"/>
  <c r="AX25" i="2"/>
  <c r="AV25" i="2"/>
  <c r="AT25" i="2"/>
  <c r="AP25" i="2"/>
  <c r="AO25" i="2"/>
  <c r="AM25" i="2"/>
  <c r="AJ25" i="2"/>
  <c r="AI25" i="2"/>
  <c r="BL25" i="2" s="1"/>
  <c r="AH25" i="2"/>
  <c r="AG25" i="2"/>
  <c r="AE25" i="2"/>
  <c r="BK24" i="2"/>
  <c r="BJ24" i="2"/>
  <c r="BI24" i="2"/>
  <c r="BF24" i="2"/>
  <c r="BE24" i="2"/>
  <c r="BD24" i="2"/>
  <c r="BC24" i="2"/>
  <c r="BB24" i="2"/>
  <c r="BA24" i="2"/>
  <c r="AZ24" i="2"/>
  <c r="AY24" i="2"/>
  <c r="AX24" i="2"/>
  <c r="AT24" i="2"/>
  <c r="AO24" i="2"/>
  <c r="AM24" i="2"/>
  <c r="AJ24" i="2"/>
  <c r="AP24" i="2" s="1"/>
  <c r="AI24" i="2"/>
  <c r="BL24" i="2" s="1"/>
  <c r="AH24" i="2"/>
  <c r="AG24" i="2"/>
  <c r="AE24" i="2"/>
  <c r="BK23" i="2"/>
  <c r="BJ23" i="2"/>
  <c r="BI23" i="2"/>
  <c r="BF23" i="2"/>
  <c r="BE23" i="2"/>
  <c r="BD23" i="2"/>
  <c r="BC23" i="2"/>
  <c r="BB23" i="2"/>
  <c r="BA23" i="2"/>
  <c r="AZ23" i="2"/>
  <c r="AY23" i="2"/>
  <c r="AX23" i="2"/>
  <c r="AT23" i="2"/>
  <c r="AO23" i="2"/>
  <c r="AJ23" i="2"/>
  <c r="AI23" i="2"/>
  <c r="AV23" i="2" s="1"/>
  <c r="AG23" i="2"/>
  <c r="AE23" i="2"/>
  <c r="BK22" i="2"/>
  <c r="BJ22" i="2"/>
  <c r="BI22" i="2"/>
  <c r="BF22" i="2"/>
  <c r="BE22" i="2"/>
  <c r="BD22" i="2"/>
  <c r="BC22" i="2"/>
  <c r="BB22" i="2"/>
  <c r="BA22" i="2"/>
  <c r="AZ22" i="2"/>
  <c r="AY22" i="2"/>
  <c r="AX22" i="2"/>
  <c r="AR22" i="2"/>
  <c r="AO22" i="2"/>
  <c r="AL22" i="2"/>
  <c r="AK22" i="2"/>
  <c r="AJ22" i="2"/>
  <c r="AI22" i="2"/>
  <c r="AV22" i="2" s="1"/>
  <c r="AG22" i="2"/>
  <c r="AT22" i="2" s="1"/>
  <c r="AF22" i="2"/>
  <c r="AE22" i="2"/>
  <c r="BK21" i="2"/>
  <c r="BJ21" i="2"/>
  <c r="BI21" i="2"/>
  <c r="BF21" i="2"/>
  <c r="BE21" i="2"/>
  <c r="BD21" i="2"/>
  <c r="BC21" i="2"/>
  <c r="BB21" i="2"/>
  <c r="BA21" i="2"/>
  <c r="AZ21" i="2"/>
  <c r="AY21" i="2"/>
  <c r="AX21" i="2"/>
  <c r="AR21" i="2"/>
  <c r="AL21" i="2"/>
  <c r="AK21" i="2"/>
  <c r="AI21" i="2"/>
  <c r="AG21" i="2"/>
  <c r="AF21" i="2"/>
  <c r="AE21" i="2"/>
  <c r="BK20" i="2"/>
  <c r="BJ20" i="2"/>
  <c r="BI20" i="2"/>
  <c r="BF20" i="2"/>
  <c r="BE20" i="2"/>
  <c r="BD20" i="2"/>
  <c r="BC20" i="2"/>
  <c r="BB20" i="2"/>
  <c r="BA20" i="2"/>
  <c r="AZ20" i="2"/>
  <c r="AY20" i="2"/>
  <c r="AX20" i="2"/>
  <c r="AR20" i="2"/>
  <c r="AN20" i="2"/>
  <c r="AM20" i="2"/>
  <c r="AL20" i="2"/>
  <c r="AK20" i="2"/>
  <c r="AI20" i="2"/>
  <c r="AH20" i="2"/>
  <c r="AG20" i="2"/>
  <c r="AT20" i="2" s="1"/>
  <c r="AF20" i="2"/>
  <c r="AE20" i="2"/>
  <c r="BK19" i="2"/>
  <c r="BJ19" i="2"/>
  <c r="BI19" i="2"/>
  <c r="BF19" i="2"/>
  <c r="BE19" i="2"/>
  <c r="BD19" i="2"/>
  <c r="BC19" i="2"/>
  <c r="BB19" i="2"/>
  <c r="BA19" i="2"/>
  <c r="AZ19" i="2"/>
  <c r="AY19" i="2"/>
  <c r="AX19" i="2"/>
  <c r="AT19" i="2"/>
  <c r="AR19" i="2"/>
  <c r="BH19" i="2" s="1"/>
  <c r="AN19" i="2"/>
  <c r="AM19" i="2"/>
  <c r="AK19" i="2"/>
  <c r="AI19" i="2"/>
  <c r="AV19" i="2" s="1"/>
  <c r="AH19" i="2"/>
  <c r="AG19" i="2"/>
  <c r="AF19" i="2"/>
  <c r="AE19" i="2"/>
  <c r="AL19" i="2" s="1"/>
  <c r="BK18" i="2"/>
  <c r="BJ18" i="2"/>
  <c r="BI18" i="2"/>
  <c r="BF18" i="2"/>
  <c r="BE18" i="2"/>
  <c r="BD18" i="2"/>
  <c r="BC18" i="2"/>
  <c r="BB18" i="2"/>
  <c r="BA18" i="2"/>
  <c r="AZ18" i="2"/>
  <c r="AY18" i="2"/>
  <c r="AX18" i="2"/>
  <c r="AV18" i="2"/>
  <c r="AP18" i="2"/>
  <c r="AO18" i="2"/>
  <c r="AN18" i="2"/>
  <c r="AM18" i="2"/>
  <c r="AK18" i="2"/>
  <c r="AJ18" i="2"/>
  <c r="AI18" i="2"/>
  <c r="BL18" i="2" s="1"/>
  <c r="AH18" i="2"/>
  <c r="AT18" i="2" s="1"/>
  <c r="AG18" i="2"/>
  <c r="AF18" i="2"/>
  <c r="AE18" i="2"/>
  <c r="AL18" i="2" s="1"/>
  <c r="BK17" i="2"/>
  <c r="BJ17" i="2"/>
  <c r="BI17" i="2"/>
  <c r="BF17" i="2"/>
  <c r="BE17" i="2"/>
  <c r="BD17" i="2"/>
  <c r="BC17" i="2"/>
  <c r="BB17" i="2"/>
  <c r="BA17" i="2"/>
  <c r="AZ17" i="2"/>
  <c r="AY17" i="2"/>
  <c r="AX17" i="2"/>
  <c r="AV17" i="2"/>
  <c r="AP17" i="2"/>
  <c r="AO17" i="2"/>
  <c r="AM17" i="2"/>
  <c r="AK17" i="2"/>
  <c r="AJ17" i="2"/>
  <c r="AI17" i="2"/>
  <c r="BL17" i="2" s="1"/>
  <c r="AH17" i="2"/>
  <c r="AT17" i="2" s="1"/>
  <c r="AG17" i="2"/>
  <c r="AN17" i="2" s="1"/>
  <c r="AE17" i="2"/>
  <c r="BK16" i="2"/>
  <c r="BJ16" i="2"/>
  <c r="BI16" i="2"/>
  <c r="BF16" i="2"/>
  <c r="BE16" i="2"/>
  <c r="BD16" i="2"/>
  <c r="BC16" i="2"/>
  <c r="BB16" i="2"/>
  <c r="BA16" i="2"/>
  <c r="AZ16" i="2"/>
  <c r="AY16" i="2"/>
  <c r="AX16" i="2"/>
  <c r="AV16" i="2"/>
  <c r="AT16" i="2"/>
  <c r="AN16" i="2"/>
  <c r="AM16" i="2"/>
  <c r="AK16" i="2"/>
  <c r="AI16" i="2"/>
  <c r="AH16" i="2"/>
  <c r="AG16" i="2"/>
  <c r="AF16" i="2"/>
  <c r="AE16" i="2"/>
  <c r="BK15" i="2"/>
  <c r="BJ15" i="2"/>
  <c r="BI15" i="2"/>
  <c r="BF15" i="2"/>
  <c r="BE15" i="2"/>
  <c r="BD15" i="2"/>
  <c r="BC15" i="2"/>
  <c r="BB15" i="2"/>
  <c r="BA15" i="2"/>
  <c r="AZ15" i="2"/>
  <c r="AY15" i="2"/>
  <c r="AX15" i="2"/>
  <c r="AV15" i="2"/>
  <c r="AT15" i="2"/>
  <c r="AP15" i="2"/>
  <c r="AO15" i="2"/>
  <c r="AN15" i="2"/>
  <c r="AM15" i="2"/>
  <c r="AK15" i="2"/>
  <c r="AJ15" i="2"/>
  <c r="AI15" i="2"/>
  <c r="BL15" i="2" s="1"/>
  <c r="AH15" i="2"/>
  <c r="AG15" i="2"/>
  <c r="AF15" i="2"/>
  <c r="AE15" i="2"/>
  <c r="AL15" i="2" s="1"/>
  <c r="BK14" i="2"/>
  <c r="BJ14" i="2"/>
  <c r="BI14" i="2"/>
  <c r="BF14" i="2"/>
  <c r="BE14" i="2"/>
  <c r="BD14" i="2"/>
  <c r="BC14" i="2"/>
  <c r="BB14" i="2"/>
  <c r="BA14" i="2"/>
  <c r="AZ14" i="2"/>
  <c r="AY14" i="2"/>
  <c r="AX14" i="2"/>
  <c r="AN14" i="2"/>
  <c r="AM14" i="2"/>
  <c r="AL14" i="2"/>
  <c r="AI14" i="2"/>
  <c r="AH14" i="2"/>
  <c r="AG14" i="2"/>
  <c r="AF14" i="2"/>
  <c r="AR14" i="2" s="1"/>
  <c r="AE14" i="2"/>
  <c r="AK14" i="2" s="1"/>
  <c r="BL13" i="2"/>
  <c r="BK13" i="2"/>
  <c r="BJ13" i="2"/>
  <c r="BI13" i="2"/>
  <c r="BF13" i="2"/>
  <c r="BE13" i="2"/>
  <c r="BD13" i="2"/>
  <c r="BC13" i="2"/>
  <c r="BB13" i="2"/>
  <c r="BA13" i="2"/>
  <c r="AZ13" i="2"/>
  <c r="AY13" i="2"/>
  <c r="AX13" i="2"/>
  <c r="AT13" i="2"/>
  <c r="AN13" i="2"/>
  <c r="AM13" i="2"/>
  <c r="AJ13" i="2"/>
  <c r="AV13" i="2" s="1"/>
  <c r="AI13" i="2"/>
  <c r="AH13" i="2"/>
  <c r="AG13" i="2"/>
  <c r="AF13" i="2"/>
  <c r="AR13" i="2" s="1"/>
  <c r="BH13" i="2" s="1"/>
  <c r="AE13" i="2"/>
  <c r="AK13" i="2" s="1"/>
  <c r="BK12" i="2"/>
  <c r="BJ12" i="2"/>
  <c r="BI12" i="2"/>
  <c r="BF12" i="2"/>
  <c r="BE12" i="2"/>
  <c r="BD12" i="2"/>
  <c r="BC12" i="2"/>
  <c r="BB12" i="2"/>
  <c r="BA12" i="2"/>
  <c r="AZ12" i="2"/>
  <c r="AY12" i="2"/>
  <c r="AX12" i="2"/>
  <c r="AO12" i="2"/>
  <c r="AM12" i="2"/>
  <c r="AI12" i="2"/>
  <c r="AV12" i="2" s="1"/>
  <c r="AH12" i="2"/>
  <c r="AG12" i="2"/>
  <c r="AE12" i="2"/>
  <c r="AF12" i="2" s="1"/>
  <c r="BK11" i="2"/>
  <c r="BJ11" i="2"/>
  <c r="BI11" i="2"/>
  <c r="BF11" i="2"/>
  <c r="BE11" i="2"/>
  <c r="BD11" i="2"/>
  <c r="BC11" i="2"/>
  <c r="BB11" i="2"/>
  <c r="BA11" i="2"/>
  <c r="AZ11" i="2"/>
  <c r="AY11" i="2"/>
  <c r="AX11" i="2"/>
  <c r="AN11" i="2"/>
  <c r="AM11" i="2"/>
  <c r="AI11" i="2"/>
  <c r="AH11" i="2"/>
  <c r="AT11" i="2" s="1"/>
  <c r="AG11" i="2"/>
  <c r="AE11" i="2"/>
  <c r="AK11" i="2" s="1"/>
  <c r="BL10" i="2"/>
  <c r="BK10" i="2"/>
  <c r="BJ10" i="2"/>
  <c r="BI10" i="2"/>
  <c r="BF10" i="2"/>
  <c r="BE10" i="2"/>
  <c r="BD10" i="2"/>
  <c r="BC10" i="2"/>
  <c r="BB10" i="2"/>
  <c r="BA10" i="2"/>
  <c r="AZ10" i="2"/>
  <c r="AY10" i="2"/>
  <c r="AX10" i="2"/>
  <c r="AO10" i="2"/>
  <c r="AK10" i="2"/>
  <c r="AJ10" i="2"/>
  <c r="AV10" i="2" s="1"/>
  <c r="AI10" i="2"/>
  <c r="AH10" i="2"/>
  <c r="AT10" i="2" s="1"/>
  <c r="AG10" i="2"/>
  <c r="AM10" i="2" s="1"/>
  <c r="AF10" i="2"/>
  <c r="AR10" i="2" s="1"/>
  <c r="BH10" i="2" s="1"/>
  <c r="AE10" i="2"/>
  <c r="BL9" i="2"/>
  <c r="BK9" i="2"/>
  <c r="BJ9" i="2"/>
  <c r="BI9" i="2"/>
  <c r="BF9" i="2"/>
  <c r="BE9" i="2"/>
  <c r="BD9" i="2"/>
  <c r="BC9" i="2"/>
  <c r="BB9" i="2"/>
  <c r="BA9" i="2"/>
  <c r="AZ9" i="2"/>
  <c r="AY9" i="2"/>
  <c r="AX9" i="2"/>
  <c r="AV9" i="2"/>
  <c r="AP9" i="2"/>
  <c r="AM9" i="2"/>
  <c r="AI9" i="2"/>
  <c r="AJ9" i="2" s="1"/>
  <c r="AH9" i="2"/>
  <c r="AG9" i="2"/>
  <c r="AE9" i="2"/>
  <c r="AF9" i="2" s="1"/>
  <c r="BK8" i="2"/>
  <c r="BJ8" i="2"/>
  <c r="BI8" i="2"/>
  <c r="BF8" i="2"/>
  <c r="BE8" i="2"/>
  <c r="BD8" i="2"/>
  <c r="BC8" i="2"/>
  <c r="BB8" i="2"/>
  <c r="BA8" i="2"/>
  <c r="AZ8" i="2"/>
  <c r="AY8" i="2"/>
  <c r="AX8" i="2"/>
  <c r="AN8" i="2"/>
  <c r="AM8" i="2"/>
  <c r="AK8" i="2"/>
  <c r="AI8" i="2"/>
  <c r="AJ8" i="2" s="1"/>
  <c r="AG8" i="2"/>
  <c r="AH8" i="2" s="1"/>
  <c r="AF8" i="2"/>
  <c r="AR8" i="2" s="1"/>
  <c r="AE8" i="2"/>
  <c r="BK7" i="2"/>
  <c r="BJ7" i="2"/>
  <c r="BI7" i="2"/>
  <c r="BF7" i="2"/>
  <c r="BE7" i="2"/>
  <c r="BD7" i="2"/>
  <c r="BC7" i="2"/>
  <c r="BB7" i="2"/>
  <c r="BA7" i="2"/>
  <c r="AZ7" i="2"/>
  <c r="AY7" i="2"/>
  <c r="AX7" i="2"/>
  <c r="AV7" i="2"/>
  <c r="AP7" i="2"/>
  <c r="AO7" i="2"/>
  <c r="AL7" i="2"/>
  <c r="AK7" i="2"/>
  <c r="AJ7" i="2"/>
  <c r="AI7" i="2"/>
  <c r="BL7" i="2" s="1"/>
  <c r="AG7" i="2"/>
  <c r="AM7" i="2" s="1"/>
  <c r="AF7" i="2"/>
  <c r="AR7" i="2" s="1"/>
  <c r="AE7" i="2"/>
  <c r="BK6" i="2"/>
  <c r="BJ6" i="2"/>
  <c r="BI6" i="2"/>
  <c r="BF6" i="2"/>
  <c r="BE6" i="2"/>
  <c r="BD6" i="2"/>
  <c r="BC6" i="2"/>
  <c r="BB6" i="2"/>
  <c r="BA6" i="2"/>
  <c r="AZ6" i="2"/>
  <c r="AY6" i="2"/>
  <c r="AX6" i="2"/>
  <c r="AR6" i="2"/>
  <c r="AM6" i="2"/>
  <c r="AJ6" i="2"/>
  <c r="AP6" i="2" s="1"/>
  <c r="AI6" i="2"/>
  <c r="BL6" i="2" s="1"/>
  <c r="AH6" i="2"/>
  <c r="AT6" i="2" s="1"/>
  <c r="AG6" i="2"/>
  <c r="AF6" i="2"/>
  <c r="AE6" i="2"/>
  <c r="AK6" i="2" s="1"/>
  <c r="BL5" i="2"/>
  <c r="BK5" i="2"/>
  <c r="BJ5" i="2"/>
  <c r="BI5" i="2"/>
  <c r="BF5" i="2"/>
  <c r="BE5" i="2"/>
  <c r="BD5" i="2"/>
  <c r="BC5" i="2"/>
  <c r="BB5" i="2"/>
  <c r="BA5" i="2"/>
  <c r="AZ5" i="2"/>
  <c r="AY5" i="2"/>
  <c r="AX5" i="2"/>
  <c r="AR5" i="2"/>
  <c r="AN5" i="2"/>
  <c r="AK5" i="2"/>
  <c r="AJ5" i="2"/>
  <c r="AI5" i="2"/>
  <c r="AG5" i="2"/>
  <c r="AH5" i="2" s="1"/>
  <c r="AF5" i="2"/>
  <c r="AE5" i="2"/>
  <c r="BK4" i="2"/>
  <c r="BJ4" i="2"/>
  <c r="BI4" i="2"/>
  <c r="BF4" i="2"/>
  <c r="BE4" i="2"/>
  <c r="BD4" i="2"/>
  <c r="BC4" i="2"/>
  <c r="BB4" i="2"/>
  <c r="BA4" i="2"/>
  <c r="AZ4" i="2"/>
  <c r="AY4" i="2"/>
  <c r="AX4" i="2"/>
  <c r="AR4" i="2"/>
  <c r="AO4" i="2"/>
  <c r="AL4" i="2"/>
  <c r="AK4" i="2"/>
  <c r="AI4" i="2"/>
  <c r="AG4" i="2"/>
  <c r="AH4" i="2" s="1"/>
  <c r="AE4" i="2"/>
  <c r="AF4" i="2" s="1"/>
  <c r="BL3" i="2"/>
  <c r="BK3" i="2"/>
  <c r="BJ3" i="2"/>
  <c r="BI3" i="2"/>
  <c r="BF3" i="2"/>
  <c r="BE3" i="2"/>
  <c r="BD3" i="2"/>
  <c r="BC3" i="2"/>
  <c r="BB3" i="2"/>
  <c r="BA3" i="2"/>
  <c r="AZ3" i="2"/>
  <c r="AY3" i="2"/>
  <c r="AX3" i="2"/>
  <c r="AT3" i="2"/>
  <c r="AP3" i="2"/>
  <c r="AM3" i="2"/>
  <c r="AJ3" i="2"/>
  <c r="AI3" i="2"/>
  <c r="AH3" i="2"/>
  <c r="AN3" i="2" s="1"/>
  <c r="AG3" i="2"/>
  <c r="AF3" i="2"/>
  <c r="AL3" i="2" s="1"/>
  <c r="AE3" i="2"/>
  <c r="AK3" i="2" s="1"/>
  <c r="BK34" i="1"/>
  <c r="BJ34" i="1"/>
  <c r="BI34" i="1"/>
  <c r="BF34" i="1"/>
  <c r="BE34" i="1"/>
  <c r="BD34" i="1"/>
  <c r="BC34" i="1"/>
  <c r="BB34" i="1"/>
  <c r="BA34" i="1"/>
  <c r="AZ34" i="1"/>
  <c r="AY34" i="1"/>
  <c r="AX34" i="1"/>
  <c r="AN34" i="1"/>
  <c r="AK34" i="1"/>
  <c r="AI34" i="1"/>
  <c r="BL34" i="1" s="1"/>
  <c r="AG34" i="1"/>
  <c r="AH34" i="1" s="1"/>
  <c r="AE34" i="1"/>
  <c r="BK33" i="1"/>
  <c r="BJ33" i="1"/>
  <c r="BI33" i="1"/>
  <c r="BF33" i="1"/>
  <c r="BE33" i="1"/>
  <c r="BD33" i="1"/>
  <c r="BC33" i="1"/>
  <c r="BB33" i="1"/>
  <c r="BA33" i="1"/>
  <c r="AZ33" i="1"/>
  <c r="AY33" i="1"/>
  <c r="AX33" i="1"/>
  <c r="AO33" i="1"/>
  <c r="AL33" i="1"/>
  <c r="AK33" i="1"/>
  <c r="AJ33" i="1"/>
  <c r="AV33" i="1" s="1"/>
  <c r="AI33" i="1"/>
  <c r="BL33" i="1" s="1"/>
  <c r="AG33" i="1"/>
  <c r="AM33" i="1" s="1"/>
  <c r="AF33" i="1"/>
  <c r="AR33" i="1" s="1"/>
  <c r="AE33" i="1"/>
  <c r="BL32" i="1"/>
  <c r="BK32" i="1"/>
  <c r="BJ32" i="1"/>
  <c r="BI32" i="1"/>
  <c r="BF32" i="1"/>
  <c r="BE32" i="1"/>
  <c r="BD32" i="1"/>
  <c r="BC32" i="1"/>
  <c r="BB32" i="1"/>
  <c r="BA32" i="1"/>
  <c r="AZ32" i="1"/>
  <c r="AY32" i="1"/>
  <c r="AX32" i="1"/>
  <c r="AP32" i="1"/>
  <c r="AI32" i="1"/>
  <c r="AJ32" i="1" s="1"/>
  <c r="AG32" i="1"/>
  <c r="AT32" i="1" s="1"/>
  <c r="B32" i="4" s="1"/>
  <c r="AE32" i="1"/>
  <c r="AF32" i="1" s="1"/>
  <c r="BK31" i="1"/>
  <c r="BJ31" i="1"/>
  <c r="BI31" i="1"/>
  <c r="BF31" i="1"/>
  <c r="BE31" i="1"/>
  <c r="BD31" i="1"/>
  <c r="BC31" i="1"/>
  <c r="BB31" i="1"/>
  <c r="BA31" i="1"/>
  <c r="AZ31" i="1"/>
  <c r="AY31" i="1"/>
  <c r="AX31" i="1"/>
  <c r="AT31" i="1"/>
  <c r="B31" i="4" s="1"/>
  <c r="AN31" i="1"/>
  <c r="AM31" i="1"/>
  <c r="AK31" i="1"/>
  <c r="AI31" i="1"/>
  <c r="AO31" i="1" s="1"/>
  <c r="AH31" i="1"/>
  <c r="AG31" i="1"/>
  <c r="AF31" i="1"/>
  <c r="AE31" i="1"/>
  <c r="AR31" i="1" s="1"/>
  <c r="BK30" i="1"/>
  <c r="BJ30" i="1"/>
  <c r="BI30" i="1"/>
  <c r="BF30" i="1"/>
  <c r="BE30" i="1"/>
  <c r="BD30" i="1"/>
  <c r="BC30" i="1"/>
  <c r="BB30" i="1"/>
  <c r="BA30" i="1"/>
  <c r="AZ30" i="1"/>
  <c r="AY30" i="1"/>
  <c r="AX30" i="1"/>
  <c r="AV30" i="1"/>
  <c r="C30" i="4" s="1"/>
  <c r="AP30" i="1"/>
  <c r="AJ30" i="1"/>
  <c r="AI30" i="1"/>
  <c r="AO30" i="1" s="1"/>
  <c r="AG30" i="1"/>
  <c r="AE30" i="1"/>
  <c r="AK30" i="1" s="1"/>
  <c r="BK29" i="1"/>
  <c r="BJ29" i="1"/>
  <c r="BI29" i="1"/>
  <c r="BF29" i="1"/>
  <c r="BE29" i="1"/>
  <c r="BD29" i="1"/>
  <c r="BC29" i="1"/>
  <c r="BB29" i="1"/>
  <c r="BA29" i="1"/>
  <c r="AZ29" i="1"/>
  <c r="AY29" i="1"/>
  <c r="AX29" i="1"/>
  <c r="AV29" i="1"/>
  <c r="C29" i="4" s="1"/>
  <c r="AO29" i="1"/>
  <c r="AM29" i="1"/>
  <c r="AJ29" i="1"/>
  <c r="AP29" i="1" s="1"/>
  <c r="AI29" i="1"/>
  <c r="BL29" i="1" s="1"/>
  <c r="AH29" i="1"/>
  <c r="AG29" i="1"/>
  <c r="AT29" i="1" s="1"/>
  <c r="B29" i="4" s="1"/>
  <c r="AE29" i="1"/>
  <c r="AR29" i="1" s="1"/>
  <c r="A29" i="4" s="1"/>
  <c r="BK28" i="1"/>
  <c r="BJ28" i="1"/>
  <c r="BI28" i="1"/>
  <c r="BF28" i="1"/>
  <c r="BE28" i="1"/>
  <c r="BD28" i="1"/>
  <c r="BC28" i="1"/>
  <c r="BB28" i="1"/>
  <c r="BA28" i="1"/>
  <c r="AZ28" i="1"/>
  <c r="AY28" i="1"/>
  <c r="AX28" i="1"/>
  <c r="AT28" i="1"/>
  <c r="B28" i="4" s="1"/>
  <c r="AO28" i="1"/>
  <c r="AI28" i="1"/>
  <c r="AH28" i="1"/>
  <c r="AG28" i="1"/>
  <c r="AE28" i="1"/>
  <c r="AF28" i="1" s="1"/>
  <c r="BK27" i="1"/>
  <c r="BJ27" i="1"/>
  <c r="BI27" i="1"/>
  <c r="BF27" i="1"/>
  <c r="BE27" i="1"/>
  <c r="BD27" i="1"/>
  <c r="BC27" i="1"/>
  <c r="BB27" i="1"/>
  <c r="BA27" i="1"/>
  <c r="AZ27" i="1"/>
  <c r="AY27" i="1"/>
  <c r="AX27" i="1"/>
  <c r="AT27" i="1"/>
  <c r="B27" i="4" s="1"/>
  <c r="AR27" i="1"/>
  <c r="A27" i="4" s="1"/>
  <c r="AO27" i="1"/>
  <c r="AM27" i="1"/>
  <c r="AJ27" i="1"/>
  <c r="AI27" i="1"/>
  <c r="AV27" i="1" s="1"/>
  <c r="C27" i="4" s="1"/>
  <c r="AH27" i="1"/>
  <c r="AN27" i="1" s="1"/>
  <c r="AG27" i="1"/>
  <c r="AF27" i="1"/>
  <c r="AL27" i="1" s="1"/>
  <c r="AE27" i="1"/>
  <c r="AK27" i="1" s="1"/>
  <c r="BK26" i="1"/>
  <c r="BJ26" i="1"/>
  <c r="BI26" i="1"/>
  <c r="BF26" i="1"/>
  <c r="BE26" i="1"/>
  <c r="BD26" i="1"/>
  <c r="BC26" i="1"/>
  <c r="BB26" i="1"/>
  <c r="BA26" i="1"/>
  <c r="AZ26" i="1"/>
  <c r="AY26" i="1"/>
  <c r="AX26" i="1"/>
  <c r="AT26" i="1"/>
  <c r="B26" i="4" s="1"/>
  <c r="AO26" i="1"/>
  <c r="AN26" i="1"/>
  <c r="AM26" i="1"/>
  <c r="AL26" i="1"/>
  <c r="AJ26" i="1"/>
  <c r="AV26" i="1" s="1"/>
  <c r="C26" i="4" s="1"/>
  <c r="AI26" i="1"/>
  <c r="BL26" i="1" s="1"/>
  <c r="AG26" i="1"/>
  <c r="AH26" i="1" s="1"/>
  <c r="AF26" i="1"/>
  <c r="AE26" i="1"/>
  <c r="AK26" i="1" s="1"/>
  <c r="BK25" i="1"/>
  <c r="BJ25" i="1"/>
  <c r="BI25" i="1"/>
  <c r="BF25" i="1"/>
  <c r="BE25" i="1"/>
  <c r="BD25" i="1"/>
  <c r="BC25" i="1"/>
  <c r="BB25" i="1"/>
  <c r="BA25" i="1"/>
  <c r="AZ25" i="1"/>
  <c r="AY25" i="1"/>
  <c r="AX25" i="1"/>
  <c r="AV25" i="1"/>
  <c r="C25" i="4" s="1"/>
  <c r="AT25" i="1"/>
  <c r="B25" i="4" s="1"/>
  <c r="AP25" i="1"/>
  <c r="AM25" i="1"/>
  <c r="AK25" i="1"/>
  <c r="AJ25" i="1"/>
  <c r="AI25" i="1"/>
  <c r="AO25" i="1" s="1"/>
  <c r="AH25" i="1"/>
  <c r="AN25" i="1" s="1"/>
  <c r="AG25" i="1"/>
  <c r="AF25" i="1"/>
  <c r="AE25" i="1"/>
  <c r="AL25" i="1" s="1"/>
  <c r="BK24" i="1"/>
  <c r="BJ24" i="1"/>
  <c r="BI24" i="1"/>
  <c r="BF24" i="1"/>
  <c r="BE24" i="1"/>
  <c r="BD24" i="1"/>
  <c r="BC24" i="1"/>
  <c r="BB24" i="1"/>
  <c r="BA24" i="1"/>
  <c r="AZ24" i="1"/>
  <c r="AY24" i="1"/>
  <c r="AX24" i="1"/>
  <c r="AV24" i="1"/>
  <c r="C24" i="4" s="1"/>
  <c r="AP24" i="1"/>
  <c r="AO24" i="1"/>
  <c r="AM24" i="1"/>
  <c r="AJ24" i="1"/>
  <c r="AI24" i="1"/>
  <c r="BL24" i="1" s="1"/>
  <c r="AH24" i="1"/>
  <c r="AG24" i="1"/>
  <c r="AT24" i="1" s="1"/>
  <c r="B24" i="4" s="1"/>
  <c r="AE24" i="1"/>
  <c r="BK23" i="1"/>
  <c r="BJ23" i="1"/>
  <c r="BI23" i="1"/>
  <c r="BF23" i="1"/>
  <c r="BE23" i="1"/>
  <c r="BD23" i="1"/>
  <c r="BC23" i="1"/>
  <c r="BB23" i="1"/>
  <c r="BA23" i="1"/>
  <c r="AZ23" i="1"/>
  <c r="AY23" i="1"/>
  <c r="AX23" i="1"/>
  <c r="AV23" i="1"/>
  <c r="C23" i="4" s="1"/>
  <c r="AT23" i="1"/>
  <c r="B23" i="4" s="1"/>
  <c r="AO23" i="1"/>
  <c r="AM23" i="1"/>
  <c r="AJ23" i="1"/>
  <c r="AP23" i="1" s="1"/>
  <c r="AI23" i="1"/>
  <c r="BL23" i="1" s="1"/>
  <c r="AH23" i="1"/>
  <c r="AG23" i="1"/>
  <c r="AN23" i="1" s="1"/>
  <c r="AE23" i="1"/>
  <c r="AR23" i="1" s="1"/>
  <c r="BK22" i="1"/>
  <c r="BJ22" i="1"/>
  <c r="BI22" i="1"/>
  <c r="BF22" i="1"/>
  <c r="BE22" i="1"/>
  <c r="BD22" i="1"/>
  <c r="BC22" i="1"/>
  <c r="BB22" i="1"/>
  <c r="BA22" i="1"/>
  <c r="AZ22" i="1"/>
  <c r="AY22" i="1"/>
  <c r="AX22" i="1"/>
  <c r="AO22" i="1"/>
  <c r="AJ22" i="1"/>
  <c r="AI22" i="1"/>
  <c r="AV22" i="1" s="1"/>
  <c r="C22" i="4" s="1"/>
  <c r="AG22" i="1"/>
  <c r="AE22" i="1"/>
  <c r="AF22" i="1" s="1"/>
  <c r="BK21" i="1"/>
  <c r="BJ21" i="1"/>
  <c r="BI21" i="1"/>
  <c r="BF21" i="1"/>
  <c r="BE21" i="1"/>
  <c r="BD21" i="1"/>
  <c r="BC21" i="1"/>
  <c r="BB21" i="1"/>
  <c r="BA21" i="1"/>
  <c r="AZ21" i="1"/>
  <c r="AY21" i="1"/>
  <c r="AX21" i="1"/>
  <c r="AT21" i="1"/>
  <c r="B21" i="4" s="1"/>
  <c r="AR21" i="1"/>
  <c r="A21" i="4" s="1"/>
  <c r="AO21" i="1"/>
  <c r="AL21" i="1"/>
  <c r="AJ21" i="1"/>
  <c r="AI21" i="1"/>
  <c r="AV21" i="1" s="1"/>
  <c r="C21" i="4" s="1"/>
  <c r="AG21" i="1"/>
  <c r="AH21" i="1" s="1"/>
  <c r="AF21" i="1"/>
  <c r="AE21" i="1"/>
  <c r="AK21" i="1" s="1"/>
  <c r="BK20" i="1"/>
  <c r="BJ20" i="1"/>
  <c r="BI20" i="1"/>
  <c r="BF20" i="1"/>
  <c r="BE20" i="1"/>
  <c r="BD20" i="1"/>
  <c r="BC20" i="1"/>
  <c r="BB20" i="1"/>
  <c r="BA20" i="1"/>
  <c r="AZ20" i="1"/>
  <c r="AY20" i="1"/>
  <c r="AX20" i="1"/>
  <c r="AR20" i="1"/>
  <c r="AL20" i="1"/>
  <c r="AK20" i="1"/>
  <c r="AI20" i="1"/>
  <c r="AG20" i="1"/>
  <c r="AH20" i="1" s="1"/>
  <c r="AF20" i="1"/>
  <c r="AE20" i="1"/>
  <c r="BK19" i="1"/>
  <c r="BJ19" i="1"/>
  <c r="BI19" i="1"/>
  <c r="BF19" i="1"/>
  <c r="BE19" i="1"/>
  <c r="BD19" i="1"/>
  <c r="BC19" i="1"/>
  <c r="BB19" i="1"/>
  <c r="BA19" i="1"/>
  <c r="AZ19" i="1"/>
  <c r="AY19" i="1"/>
  <c r="AX19" i="1"/>
  <c r="AR19" i="1"/>
  <c r="A19" i="4" s="1"/>
  <c r="AN19" i="1"/>
  <c r="AK19" i="1"/>
  <c r="AI19" i="1"/>
  <c r="AV19" i="1" s="1"/>
  <c r="C19" i="4" s="1"/>
  <c r="AH19" i="1"/>
  <c r="AG19" i="1"/>
  <c r="AM19" i="1" s="1"/>
  <c r="AF19" i="1"/>
  <c r="AL19" i="1" s="1"/>
  <c r="AE19" i="1"/>
  <c r="BK18" i="1"/>
  <c r="BJ18" i="1"/>
  <c r="BI18" i="1"/>
  <c r="BF18" i="1"/>
  <c r="BE18" i="1"/>
  <c r="BD18" i="1"/>
  <c r="BC18" i="1"/>
  <c r="BB18" i="1"/>
  <c r="BA18" i="1"/>
  <c r="AZ18" i="1"/>
  <c r="AY18" i="1"/>
  <c r="AX18" i="1"/>
  <c r="AR18" i="1"/>
  <c r="A18" i="4" s="1"/>
  <c r="AN18" i="1"/>
  <c r="AM18" i="1"/>
  <c r="AK18" i="1"/>
  <c r="AI18" i="1"/>
  <c r="AJ18" i="1" s="1"/>
  <c r="AV18" i="1" s="1"/>
  <c r="C18" i="4" s="1"/>
  <c r="AH18" i="1"/>
  <c r="AG18" i="1"/>
  <c r="AT18" i="1" s="1"/>
  <c r="B18" i="4" s="1"/>
  <c r="AF18" i="1"/>
  <c r="AE18" i="1"/>
  <c r="AL18" i="1" s="1"/>
  <c r="BK17" i="1"/>
  <c r="BJ17" i="1"/>
  <c r="BI17" i="1"/>
  <c r="BF17" i="1"/>
  <c r="BE17" i="1"/>
  <c r="BD17" i="1"/>
  <c r="BC17" i="1"/>
  <c r="BB17" i="1"/>
  <c r="BA17" i="1"/>
  <c r="AZ17" i="1"/>
  <c r="AY17" i="1"/>
  <c r="AX17" i="1"/>
  <c r="AV17" i="1"/>
  <c r="C17" i="4" s="1"/>
  <c r="AP17" i="1"/>
  <c r="AO17" i="1"/>
  <c r="AM17" i="1"/>
  <c r="AK17" i="1"/>
  <c r="AJ17" i="1"/>
  <c r="AI17" i="1"/>
  <c r="BL17" i="1" s="1"/>
  <c r="AH17" i="1"/>
  <c r="AN17" i="1" s="1"/>
  <c r="AG17" i="1"/>
  <c r="AF17" i="1"/>
  <c r="AE17" i="1"/>
  <c r="AL17" i="1" s="1"/>
  <c r="BK16" i="1"/>
  <c r="BJ16" i="1"/>
  <c r="BI16" i="1"/>
  <c r="BF16" i="1"/>
  <c r="BE16" i="1"/>
  <c r="BD16" i="1"/>
  <c r="BC16" i="1"/>
  <c r="BB16" i="1"/>
  <c r="BA16" i="1"/>
  <c r="AZ16" i="1"/>
  <c r="AY16" i="1"/>
  <c r="AX16" i="1"/>
  <c r="AR16" i="1"/>
  <c r="A16" i="4" s="1"/>
  <c r="AN16" i="1"/>
  <c r="AM16" i="1"/>
  <c r="AI16" i="1"/>
  <c r="AV16" i="1" s="1"/>
  <c r="C16" i="4" s="1"/>
  <c r="AH16" i="1"/>
  <c r="AG16" i="1"/>
  <c r="AT16" i="1" s="1"/>
  <c r="AF16" i="1"/>
  <c r="AL16" i="1" s="1"/>
  <c r="AE16" i="1"/>
  <c r="AK16" i="1" s="1"/>
  <c r="BK15" i="1"/>
  <c r="BJ15" i="1"/>
  <c r="BI15" i="1"/>
  <c r="BF15" i="1"/>
  <c r="BE15" i="1"/>
  <c r="BD15" i="1"/>
  <c r="BC15" i="1"/>
  <c r="BB15" i="1"/>
  <c r="BA15" i="1"/>
  <c r="AZ15" i="1"/>
  <c r="AY15" i="1"/>
  <c r="AX15" i="1"/>
  <c r="AT15" i="1"/>
  <c r="B15" i="4" s="1"/>
  <c r="AR15" i="1"/>
  <c r="A15" i="4" s="1"/>
  <c r="AN15" i="1"/>
  <c r="AM15" i="1"/>
  <c r="AK15" i="1"/>
  <c r="AI15" i="1"/>
  <c r="AJ15" i="1" s="1"/>
  <c r="AH15" i="1"/>
  <c r="AG15" i="1"/>
  <c r="AF15" i="1"/>
  <c r="AE15" i="1"/>
  <c r="AL15" i="1" s="1"/>
  <c r="BK14" i="1"/>
  <c r="BJ14" i="1"/>
  <c r="BI14" i="1"/>
  <c r="BF14" i="1"/>
  <c r="BE14" i="1"/>
  <c r="BD14" i="1"/>
  <c r="BC14" i="1"/>
  <c r="BB14" i="1"/>
  <c r="BA14" i="1"/>
  <c r="AZ14" i="1"/>
  <c r="AY14" i="1"/>
  <c r="AX14" i="1"/>
  <c r="AR14" i="1"/>
  <c r="A14" i="4" s="1"/>
  <c r="AL14" i="1"/>
  <c r="AK14" i="1"/>
  <c r="AI14" i="1"/>
  <c r="AG14" i="1"/>
  <c r="AH14" i="1" s="1"/>
  <c r="AF14" i="1"/>
  <c r="AE14" i="1"/>
  <c r="BK13" i="1"/>
  <c r="BJ13" i="1"/>
  <c r="BI13" i="1"/>
  <c r="BF13" i="1"/>
  <c r="BE13" i="1"/>
  <c r="BD13" i="1"/>
  <c r="BC13" i="1"/>
  <c r="BB13" i="1"/>
  <c r="BA13" i="1"/>
  <c r="AZ13" i="1"/>
  <c r="AY13" i="1"/>
  <c r="AX13" i="1"/>
  <c r="AN13" i="1"/>
  <c r="AM13" i="1"/>
  <c r="AL13" i="1"/>
  <c r="AI13" i="1"/>
  <c r="AH13" i="1"/>
  <c r="AG13" i="1"/>
  <c r="AT13" i="1" s="1"/>
  <c r="B13" i="4" s="1"/>
  <c r="AF13" i="1"/>
  <c r="AR13" i="1" s="1"/>
  <c r="AE13" i="1"/>
  <c r="AK13" i="1" s="1"/>
  <c r="BL12" i="1"/>
  <c r="BK12" i="1"/>
  <c r="BJ12" i="1"/>
  <c r="BI12" i="1"/>
  <c r="BF12" i="1"/>
  <c r="BE12" i="1"/>
  <c r="BD12" i="1"/>
  <c r="BC12" i="1"/>
  <c r="BB12" i="1"/>
  <c r="BA12" i="1"/>
  <c r="AZ12" i="1"/>
  <c r="AY12" i="1"/>
  <c r="AX12" i="1"/>
  <c r="AV12" i="1"/>
  <c r="C12" i="4" s="1"/>
  <c r="AT12" i="1"/>
  <c r="B12" i="4" s="1"/>
  <c r="AO12" i="1"/>
  <c r="AJ12" i="1"/>
  <c r="AI12" i="1"/>
  <c r="AP12" i="1" s="1"/>
  <c r="AG12" i="1"/>
  <c r="AH12" i="1" s="1"/>
  <c r="AE12" i="1"/>
  <c r="AK12" i="1" s="1"/>
  <c r="BK11" i="1"/>
  <c r="BJ11" i="1"/>
  <c r="BI11" i="1"/>
  <c r="BF11" i="1"/>
  <c r="BE11" i="1"/>
  <c r="BD11" i="1"/>
  <c r="BC11" i="1"/>
  <c r="BB11" i="1"/>
  <c r="BA11" i="1"/>
  <c r="AZ11" i="1"/>
  <c r="AY11" i="1"/>
  <c r="AX11" i="1"/>
  <c r="AR11" i="1"/>
  <c r="A11" i="4" s="1"/>
  <c r="AO11" i="1"/>
  <c r="AL11" i="1"/>
  <c r="AK11" i="1"/>
  <c r="AI11" i="1"/>
  <c r="AG11" i="1"/>
  <c r="AH11" i="1" s="1"/>
  <c r="AF11" i="1"/>
  <c r="AE11" i="1"/>
  <c r="BL10" i="1"/>
  <c r="BK10" i="1"/>
  <c r="BJ10" i="1"/>
  <c r="BI10" i="1"/>
  <c r="BF10" i="1"/>
  <c r="BE10" i="1"/>
  <c r="BD10" i="1"/>
  <c r="BC10" i="1"/>
  <c r="BB10" i="1"/>
  <c r="BA10" i="1"/>
  <c r="AZ10" i="1"/>
  <c r="AY10" i="1"/>
  <c r="AX10" i="1"/>
  <c r="AO10" i="1"/>
  <c r="AM10" i="1"/>
  <c r="AJ10" i="1"/>
  <c r="AP10" i="1" s="1"/>
  <c r="AI10" i="1"/>
  <c r="AV10" i="1" s="1"/>
  <c r="C10" i="4" s="1"/>
  <c r="AG10" i="1"/>
  <c r="AE10" i="1"/>
  <c r="AF10" i="1" s="1"/>
  <c r="BK9" i="1"/>
  <c r="BJ9" i="1"/>
  <c r="BI9" i="1"/>
  <c r="BF9" i="1"/>
  <c r="BE9" i="1"/>
  <c r="BD9" i="1"/>
  <c r="BC9" i="1"/>
  <c r="BB9" i="1"/>
  <c r="BA9" i="1"/>
  <c r="AZ9" i="1"/>
  <c r="AY9" i="1"/>
  <c r="AX9" i="1"/>
  <c r="AV9" i="1"/>
  <c r="C9" i="4" s="1"/>
  <c r="AT9" i="1"/>
  <c r="B9" i="4" s="1"/>
  <c r="AO9" i="1"/>
  <c r="AJ9" i="1"/>
  <c r="AI9" i="1"/>
  <c r="BL9" i="1" s="1"/>
  <c r="AG9" i="1"/>
  <c r="AH9" i="1" s="1"/>
  <c r="AE9" i="1"/>
  <c r="AK9" i="1" s="1"/>
  <c r="BL8" i="1"/>
  <c r="BK8" i="1"/>
  <c r="BJ8" i="1"/>
  <c r="BI8" i="1"/>
  <c r="BF8" i="1"/>
  <c r="BE8" i="1"/>
  <c r="BD8" i="1"/>
  <c r="BC8" i="1"/>
  <c r="BB8" i="1"/>
  <c r="BA8" i="1"/>
  <c r="AZ8" i="1"/>
  <c r="AY8" i="1"/>
  <c r="AX8" i="1"/>
  <c r="AP8" i="1"/>
  <c r="AM8" i="1"/>
  <c r="AJ8" i="1"/>
  <c r="AV8" i="1" s="1"/>
  <c r="C8" i="4" s="1"/>
  <c r="AI8" i="1"/>
  <c r="AO8" i="1" s="1"/>
  <c r="AH8" i="1"/>
  <c r="AT8" i="1" s="1"/>
  <c r="B8" i="4" s="1"/>
  <c r="AG8" i="1"/>
  <c r="AN8" i="1" s="1"/>
  <c r="AE8" i="1"/>
  <c r="BK7" i="1"/>
  <c r="BJ7" i="1"/>
  <c r="BI7" i="1"/>
  <c r="BF7" i="1"/>
  <c r="BE7" i="1"/>
  <c r="BD7" i="1"/>
  <c r="BC7" i="1"/>
  <c r="BB7" i="1"/>
  <c r="BA7" i="1"/>
  <c r="AZ7" i="1"/>
  <c r="AY7" i="1"/>
  <c r="AX7" i="1"/>
  <c r="AO7" i="1"/>
  <c r="AM7" i="1"/>
  <c r="AJ7" i="1"/>
  <c r="AP7" i="1" s="1"/>
  <c r="AI7" i="1"/>
  <c r="AV7" i="1" s="1"/>
  <c r="C7" i="4" s="1"/>
  <c r="AG7" i="1"/>
  <c r="AE7" i="1"/>
  <c r="AF7" i="1" s="1"/>
  <c r="BL6" i="1"/>
  <c r="BK6" i="1"/>
  <c r="BJ6" i="1"/>
  <c r="BI6" i="1"/>
  <c r="BF6" i="1"/>
  <c r="BE6" i="1"/>
  <c r="BD6" i="1"/>
  <c r="BC6" i="1"/>
  <c r="BB6" i="1"/>
  <c r="BA6" i="1"/>
  <c r="AZ6" i="1"/>
  <c r="AY6" i="1"/>
  <c r="AX6" i="1"/>
  <c r="AV6" i="1"/>
  <c r="C6" i="4" s="1"/>
  <c r="AP6" i="1"/>
  <c r="AO6" i="1"/>
  <c r="AM6" i="1"/>
  <c r="AK6" i="1"/>
  <c r="AJ6" i="1"/>
  <c r="AI6" i="1"/>
  <c r="AH6" i="1"/>
  <c r="AN6" i="1" s="1"/>
  <c r="AG6" i="1"/>
  <c r="AT6" i="1" s="1"/>
  <c r="B6" i="4" s="1"/>
  <c r="AE6" i="1"/>
  <c r="BK5" i="1"/>
  <c r="BJ5" i="1"/>
  <c r="BI5" i="1"/>
  <c r="BF5" i="1"/>
  <c r="BE5" i="1"/>
  <c r="BD5" i="1"/>
  <c r="BC5" i="1"/>
  <c r="BB5" i="1"/>
  <c r="BA5" i="1"/>
  <c r="AZ5" i="1"/>
  <c r="AY5" i="1"/>
  <c r="AX5" i="1"/>
  <c r="AV5" i="1"/>
  <c r="C5" i="4" s="1"/>
  <c r="AT5" i="1"/>
  <c r="B5" i="4" s="1"/>
  <c r="AP5" i="1"/>
  <c r="AM5" i="1"/>
  <c r="AJ5" i="1"/>
  <c r="AI5" i="1"/>
  <c r="BL5" i="1" s="1"/>
  <c r="AH5" i="1"/>
  <c r="AG5" i="1"/>
  <c r="AN5" i="1" s="1"/>
  <c r="AE5" i="1"/>
  <c r="AR5" i="1" s="1"/>
  <c r="BK4" i="1"/>
  <c r="BJ4" i="1"/>
  <c r="BI4" i="1"/>
  <c r="BF4" i="1"/>
  <c r="BE4" i="1"/>
  <c r="BD4" i="1"/>
  <c r="BC4" i="1"/>
  <c r="BB4" i="1"/>
  <c r="BA4" i="1"/>
  <c r="AZ4" i="1"/>
  <c r="AY4" i="1"/>
  <c r="AX4" i="1"/>
  <c r="AN4" i="1"/>
  <c r="AK4" i="1"/>
  <c r="AI4" i="1"/>
  <c r="AO4" i="1" s="1"/>
  <c r="AH4" i="1"/>
  <c r="AG4" i="1"/>
  <c r="AM4" i="1" s="1"/>
  <c r="AF4" i="1"/>
  <c r="AR4" i="1" s="1"/>
  <c r="AE4" i="1"/>
  <c r="AL4" i="1" s="1"/>
  <c r="BK3" i="1"/>
  <c r="BJ3" i="1"/>
  <c r="BI3" i="1"/>
  <c r="BF3" i="1"/>
  <c r="BE3" i="1"/>
  <c r="BD3" i="1"/>
  <c r="BC3" i="1"/>
  <c r="BB3" i="1"/>
  <c r="BA3" i="1"/>
  <c r="AZ3" i="1"/>
  <c r="AY3" i="1"/>
  <c r="AX3" i="1"/>
  <c r="AV3" i="1"/>
  <c r="C3" i="4" s="1"/>
  <c r="AP3" i="1"/>
  <c r="AO3" i="1"/>
  <c r="AM3" i="1"/>
  <c r="AK3" i="1"/>
  <c r="AJ3" i="1"/>
  <c r="AI3" i="1"/>
  <c r="BL3" i="1" s="1"/>
  <c r="AH3" i="1"/>
  <c r="AN3" i="1" s="1"/>
  <c r="AG3" i="1"/>
  <c r="AT3" i="1" s="1"/>
  <c r="AE3" i="1"/>
  <c r="A13" i="4" l="1"/>
  <c r="BH13" i="1"/>
  <c r="BH14" i="2"/>
  <c r="B3" i="4"/>
  <c r="A23" i="4"/>
  <c r="BH23" i="1"/>
  <c r="AV28" i="1"/>
  <c r="C28" i="4" s="1"/>
  <c r="AV4" i="2"/>
  <c r="A5" i="4"/>
  <c r="BH5" i="1"/>
  <c r="AP11" i="1"/>
  <c r="AL6" i="1"/>
  <c r="A4" i="4"/>
  <c r="AN10" i="1"/>
  <c r="AN30" i="1"/>
  <c r="AL3" i="1"/>
  <c r="B16" i="4"/>
  <c r="BH16" i="1"/>
  <c r="A31" i="4"/>
  <c r="BH31" i="1"/>
  <c r="BH6" i="2"/>
  <c r="AL10" i="2"/>
  <c r="AO11" i="2"/>
  <c r="AV21" i="2"/>
  <c r="AJ21" i="2"/>
  <c r="AP21" i="2" s="1"/>
  <c r="AF23" i="2"/>
  <c r="AL23" i="2"/>
  <c r="AK23" i="2"/>
  <c r="AR23" i="2"/>
  <c r="BH23" i="2" s="1"/>
  <c r="A20" i="4"/>
  <c r="AV15" i="1"/>
  <c r="C15" i="4" s="1"/>
  <c r="AV8" i="2"/>
  <c r="AF3" i="1"/>
  <c r="AH7" i="1"/>
  <c r="AN7" i="1" s="1"/>
  <c r="AK8" i="1"/>
  <c r="AM9" i="1"/>
  <c r="AH10" i="1"/>
  <c r="AJ11" i="1"/>
  <c r="AT11" i="1"/>
  <c r="B11" i="4" s="1"/>
  <c r="AM12" i="1"/>
  <c r="AO13" i="1"/>
  <c r="AJ14" i="1"/>
  <c r="AP14" i="1" s="1"/>
  <c r="AT14" i="1"/>
  <c r="B14" i="4" s="1"/>
  <c r="BL14" i="1"/>
  <c r="AO16" i="1"/>
  <c r="AR17" i="1"/>
  <c r="AO19" i="1"/>
  <c r="AJ20" i="1"/>
  <c r="AP20" i="1" s="1"/>
  <c r="AT20" i="1"/>
  <c r="B20" i="4" s="1"/>
  <c r="AM21" i="1"/>
  <c r="BH21" i="1"/>
  <c r="AH22" i="1"/>
  <c r="AN22" i="1" s="1"/>
  <c r="AP22" i="1"/>
  <c r="AK23" i="1"/>
  <c r="AF24" i="1"/>
  <c r="AL24" i="1" s="1"/>
  <c r="AN24" i="1"/>
  <c r="AR25" i="1"/>
  <c r="BL25" i="1"/>
  <c r="AN28" i="1"/>
  <c r="AK29" i="1"/>
  <c r="AH30" i="1"/>
  <c r="AR30" i="1"/>
  <c r="BL30" i="1"/>
  <c r="AL31" i="1"/>
  <c r="AH32" i="1"/>
  <c r="AR32" i="1"/>
  <c r="AM34" i="1"/>
  <c r="AO3" i="2"/>
  <c r="AV3" i="2"/>
  <c r="AT5" i="2"/>
  <c r="BH5" i="2" s="1"/>
  <c r="AN6" i="2"/>
  <c r="AN9" i="2"/>
  <c r="AT9" i="2"/>
  <c r="AR9" i="2"/>
  <c r="BH9" i="2" s="1"/>
  <c r="AN10" i="2"/>
  <c r="AJ11" i="2"/>
  <c r="AP11" i="2" s="1"/>
  <c r="BL12" i="2"/>
  <c r="AJ12" i="2"/>
  <c r="AP12" i="2" s="1"/>
  <c r="AP13" i="2"/>
  <c r="AO13" i="2"/>
  <c r="AT14" i="2"/>
  <c r="BL21" i="2"/>
  <c r="AH23" i="2"/>
  <c r="AN23" i="2" s="1"/>
  <c r="BL20" i="1"/>
  <c r="AT4" i="2"/>
  <c r="AN4" i="2"/>
  <c r="AP8" i="2"/>
  <c r="AK5" i="1"/>
  <c r="AF6" i="1"/>
  <c r="AJ4" i="1"/>
  <c r="AT4" i="1"/>
  <c r="B4" i="4" s="1"/>
  <c r="BL4" i="1"/>
  <c r="AL5" i="1"/>
  <c r="AR7" i="1"/>
  <c r="BL7" i="1"/>
  <c r="AF9" i="1"/>
  <c r="AL9" i="1" s="1"/>
  <c r="AN9" i="1"/>
  <c r="AR10" i="1"/>
  <c r="AV11" i="1"/>
  <c r="C11" i="4" s="1"/>
  <c r="AF12" i="1"/>
  <c r="AL12" i="1" s="1"/>
  <c r="AN12" i="1"/>
  <c r="BH15" i="1"/>
  <c r="AT17" i="1"/>
  <c r="B17" i="4" s="1"/>
  <c r="BH18" i="1"/>
  <c r="AP19" i="1"/>
  <c r="AV20" i="1"/>
  <c r="C20" i="4" s="1"/>
  <c r="AN21" i="1"/>
  <c r="AR22" i="1"/>
  <c r="BL22" i="1"/>
  <c r="AR28" i="1"/>
  <c r="BL28" i="1"/>
  <c r="AL29" i="1"/>
  <c r="BH29" i="1"/>
  <c r="AT30" i="1"/>
  <c r="B30" i="4" s="1"/>
  <c r="AV32" i="1"/>
  <c r="C32" i="4" s="1"/>
  <c r="BL4" i="2"/>
  <c r="AJ4" i="2"/>
  <c r="AP5" i="2"/>
  <c r="AV5" i="2"/>
  <c r="AK12" i="2"/>
  <c r="AJ19" i="2"/>
  <c r="AP19" i="2"/>
  <c r="AO19" i="2"/>
  <c r="AV20" i="2"/>
  <c r="AJ20" i="2"/>
  <c r="AP20" i="2"/>
  <c r="AO20" i="2"/>
  <c r="BH22" i="2"/>
  <c r="AL25" i="2"/>
  <c r="AR25" i="2"/>
  <c r="BH25" i="2" s="1"/>
  <c r="AF25" i="2"/>
  <c r="AH29" i="2"/>
  <c r="AN29" i="2" s="1"/>
  <c r="AM29" i="2"/>
  <c r="AT29" i="2"/>
  <c r="BH29" i="2" s="1"/>
  <c r="AF31" i="2"/>
  <c r="AL31" i="2" s="1"/>
  <c r="AK31" i="2"/>
  <c r="BL11" i="1"/>
  <c r="BH27" i="1"/>
  <c r="AK32" i="1"/>
  <c r="AP33" i="1"/>
  <c r="AO34" i="1"/>
  <c r="AP10" i="2"/>
  <c r="AL12" i="2"/>
  <c r="AV14" i="2"/>
  <c r="BL14" i="2"/>
  <c r="AJ14" i="2"/>
  <c r="AO14" i="2"/>
  <c r="BL16" i="2"/>
  <c r="AJ16" i="2"/>
  <c r="AP16" i="2" s="1"/>
  <c r="AO16" i="2"/>
  <c r="AO21" i="2"/>
  <c r="AN25" i="2"/>
  <c r="AN31" i="2"/>
  <c r="BL13" i="1"/>
  <c r="AT22" i="1"/>
  <c r="B22" i="4" s="1"/>
  <c r="AR3" i="1"/>
  <c r="AF5" i="1"/>
  <c r="AR6" i="1"/>
  <c r="AK7" i="1"/>
  <c r="AF8" i="1"/>
  <c r="AL8" i="1" s="1"/>
  <c r="AP9" i="1"/>
  <c r="AK10" i="1"/>
  <c r="AM11" i="1"/>
  <c r="AJ13" i="1"/>
  <c r="AV13" i="1" s="1"/>
  <c r="C13" i="4" s="1"/>
  <c r="AM14" i="1"/>
  <c r="AO15" i="1"/>
  <c r="AJ16" i="1"/>
  <c r="AP16" i="1" s="1"/>
  <c r="BL16" i="1"/>
  <c r="AO18" i="1"/>
  <c r="AJ19" i="1"/>
  <c r="AT19" i="1"/>
  <c r="B19" i="4" s="1"/>
  <c r="AM20" i="1"/>
  <c r="AP21" i="1"/>
  <c r="AK22" i="1"/>
  <c r="AF23" i="1"/>
  <c r="AL23" i="1" s="1"/>
  <c r="AR24" i="1"/>
  <c r="AR26" i="1"/>
  <c r="AJ28" i="1"/>
  <c r="AP28" i="1" s="1"/>
  <c r="AF29" i="1"/>
  <c r="AN29" i="1"/>
  <c r="AP31" i="1"/>
  <c r="AL32" i="1"/>
  <c r="AH33" i="1"/>
  <c r="AN33" i="1" s="1"/>
  <c r="AF34" i="1"/>
  <c r="AL34" i="1" s="1"/>
  <c r="AR34" i="1"/>
  <c r="AK9" i="2"/>
  <c r="BL20" i="2"/>
  <c r="BH21" i="2"/>
  <c r="AH22" i="2"/>
  <c r="AN22" i="2"/>
  <c r="AM22" i="2"/>
  <c r="AM23" i="2"/>
  <c r="AR24" i="2"/>
  <c r="BH24" i="2" s="1"/>
  <c r="AF24" i="2"/>
  <c r="AL24" i="2"/>
  <c r="AK24" i="2"/>
  <c r="BH30" i="2"/>
  <c r="AT10" i="1"/>
  <c r="B10" i="4" s="1"/>
  <c r="BL19" i="1"/>
  <c r="AO5" i="1"/>
  <c r="AL7" i="1"/>
  <c r="AR9" i="1"/>
  <c r="AL10" i="1"/>
  <c r="AN11" i="1"/>
  <c r="AR12" i="1"/>
  <c r="AN14" i="1"/>
  <c r="BH14" i="1"/>
  <c r="AP15" i="1"/>
  <c r="AP18" i="1"/>
  <c r="AN20" i="1"/>
  <c r="BL21" i="1"/>
  <c r="AL22" i="1"/>
  <c r="AP26" i="1"/>
  <c r="AK28" i="1"/>
  <c r="AM30" i="1"/>
  <c r="BL31" i="1"/>
  <c r="AM32" i="1"/>
  <c r="AT34" i="1"/>
  <c r="AM4" i="2"/>
  <c r="AM5" i="2"/>
  <c r="AO6" i="2"/>
  <c r="AV6" i="2"/>
  <c r="AL8" i="2"/>
  <c r="AO8" i="2"/>
  <c r="AL9" i="2"/>
  <c r="AF11" i="2"/>
  <c r="BL11" i="2"/>
  <c r="AL13" i="2"/>
  <c r="BL19" i="2"/>
  <c r="AN24" i="2"/>
  <c r="AJ28" i="2"/>
  <c r="AV28" i="2" s="1"/>
  <c r="AP28" i="2"/>
  <c r="AO28" i="2"/>
  <c r="AL34" i="2"/>
  <c r="AO14" i="1"/>
  <c r="BL18" i="1"/>
  <c r="AO20" i="1"/>
  <c r="AK24" i="1"/>
  <c r="AL28" i="1"/>
  <c r="AN32" i="1"/>
  <c r="AJ27" i="2"/>
  <c r="AP27" i="2" s="1"/>
  <c r="AO27" i="2"/>
  <c r="AV27" i="2"/>
  <c r="AH30" i="2"/>
  <c r="AN30" i="2" s="1"/>
  <c r="AM30" i="2"/>
  <c r="BL15" i="1"/>
  <c r="AM22" i="1"/>
  <c r="AP34" i="1"/>
  <c r="AV34" i="1"/>
  <c r="BH19" i="1"/>
  <c r="AP27" i="1"/>
  <c r="BL27" i="1"/>
  <c r="AM28" i="1"/>
  <c r="AF30" i="1"/>
  <c r="AL30" i="1" s="1"/>
  <c r="AJ31" i="1"/>
  <c r="AV31" i="1"/>
  <c r="C31" i="4" s="1"/>
  <c r="AO32" i="1"/>
  <c r="AJ34" i="1"/>
  <c r="AR3" i="2"/>
  <c r="AP4" i="2"/>
  <c r="AL5" i="2"/>
  <c r="AO5" i="2"/>
  <c r="AL6" i="2"/>
  <c r="AH7" i="2"/>
  <c r="AT7" i="2" s="1"/>
  <c r="BH7" i="2" s="1"/>
  <c r="AT8" i="2"/>
  <c r="BH8" i="2" s="1"/>
  <c r="BL8" i="2"/>
  <c r="AO9" i="2"/>
  <c r="AN12" i="2"/>
  <c r="AT12" i="2"/>
  <c r="AR12" i="2"/>
  <c r="AP14" i="2"/>
  <c r="AL16" i="2"/>
  <c r="AR16" i="2"/>
  <c r="BH16" i="2" s="1"/>
  <c r="AF17" i="2"/>
  <c r="AL17" i="2" s="1"/>
  <c r="BH20" i="2"/>
  <c r="AH21" i="2"/>
  <c r="AN21" i="2"/>
  <c r="AM21" i="2"/>
  <c r="AT21" i="2"/>
  <c r="AK25" i="2"/>
  <c r="AN32" i="2"/>
  <c r="BL29" i="2"/>
  <c r="AM33" i="2"/>
  <c r="AP34" i="2"/>
  <c r="AR15" i="2"/>
  <c r="BH15" i="2" s="1"/>
  <c r="AR18" i="2"/>
  <c r="BH18" i="2" s="1"/>
  <c r="AP23" i="2"/>
  <c r="AV24" i="2"/>
  <c r="AR26" i="2"/>
  <c r="BH26" i="2" s="1"/>
  <c r="AJ29" i="2"/>
  <c r="AP29" i="2" s="1"/>
  <c r="AH31" i="2"/>
  <c r="AP31" i="2"/>
  <c r="AK32" i="2"/>
  <c r="AV32" i="2"/>
  <c r="AF33" i="2"/>
  <c r="AL33" i="2" s="1"/>
  <c r="AR34" i="2"/>
  <c r="BH34" i="2" s="1"/>
  <c r="BL34" i="2"/>
  <c r="BL23" i="2"/>
  <c r="AV29" i="2"/>
  <c r="BL31" i="2"/>
  <c r="AM32" i="2"/>
  <c r="AH33" i="2"/>
  <c r="AT33" i="2" s="1"/>
  <c r="AP33" i="2"/>
  <c r="AK34" i="2"/>
  <c r="AV34" i="2"/>
  <c r="AP22" i="2"/>
  <c r="AP30" i="2"/>
  <c r="AF32" i="2"/>
  <c r="AL32" i="2" s="1"/>
  <c r="AR33" i="2"/>
  <c r="BL22" i="2"/>
  <c r="BL30" i="2"/>
  <c r="BG6" i="2" l="1"/>
  <c r="A6" i="4"/>
  <c r="BH6" i="1"/>
  <c r="AN33" i="2"/>
  <c r="AR17" i="2"/>
  <c r="BH17" i="2" s="1"/>
  <c r="AT33" i="1"/>
  <c r="BH33" i="1" s="1"/>
  <c r="A9" i="4"/>
  <c r="BH9" i="1"/>
  <c r="BH11" i="1"/>
  <c r="A3" i="4"/>
  <c r="BH3" i="1"/>
  <c r="AT7" i="1"/>
  <c r="B7" i="4" s="1"/>
  <c r="BH28" i="1"/>
  <c r="A28" i="4"/>
  <c r="A10" i="4"/>
  <c r="BH10" i="1"/>
  <c r="A17" i="4"/>
  <c r="BH17" i="1"/>
  <c r="BH20" i="1"/>
  <c r="AR8" i="1"/>
  <c r="A30" i="4"/>
  <c r="BH30" i="1"/>
  <c r="BH4" i="2"/>
  <c r="BH33" i="2"/>
  <c r="BG4" i="2"/>
  <c r="BH3" i="2"/>
  <c r="AN7" i="2"/>
  <c r="AV4" i="1"/>
  <c r="AP4" i="1"/>
  <c r="AR11" i="2"/>
  <c r="BH11" i="2" s="1"/>
  <c r="AL11" i="2"/>
  <c r="BH34" i="1"/>
  <c r="A26" i="4"/>
  <c r="BH26" i="1"/>
  <c r="AV11" i="2"/>
  <c r="BG8" i="2" s="1"/>
  <c r="BH4" i="1"/>
  <c r="BG6" i="1"/>
  <c r="A24" i="4"/>
  <c r="BH24" i="1"/>
  <c r="AR31" i="2"/>
  <c r="BH31" i="2" s="1"/>
  <c r="A22" i="4"/>
  <c r="BH22" i="1"/>
  <c r="AV14" i="1"/>
  <c r="C14" i="4" s="1"/>
  <c r="A32" i="4"/>
  <c r="BH32" i="1"/>
  <c r="AP13" i="1"/>
  <c r="BH12" i="2"/>
  <c r="A12" i="4"/>
  <c r="BH12" i="1"/>
  <c r="A7" i="4"/>
  <c r="BH7" i="1"/>
  <c r="A25" i="4"/>
  <c r="BH25" i="1"/>
  <c r="A8" i="4" l="1"/>
  <c r="BH8" i="1"/>
  <c r="BG14" i="2"/>
  <c r="BG12" i="2"/>
  <c r="BG16" i="2"/>
  <c r="BG16" i="1"/>
  <c r="BG14" i="1"/>
  <c r="BG12" i="1"/>
  <c r="C4" i="4"/>
  <c r="BG8" i="1"/>
  <c r="BG4" i="1"/>
  <c r="BG10" i="2"/>
  <c r="B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M1" authorId="0" shapeId="0" xr:uid="{00000000-0006-0000-0000-000001000000}">
      <text>
        <r>
          <rPr>
            <sz val="10"/>
            <color rgb="FF000000"/>
            <rFont val="Arial"/>
          </rPr>
          <t>Which rows to merge?
Enter any text in the rows you wish skip/ignore.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M1" authorId="0" shapeId="0" xr:uid="{00000000-0006-0000-0100-000001000000}">
      <text>
        <r>
          <rPr>
            <sz val="10"/>
            <color rgb="FF000000"/>
            <rFont val="Arial"/>
          </rPr>
          <t>Which rows to merge?
Enter any text in the rows you wish skip/ignore.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</rPr>
          <t>Which rows to merge?
Enter any text in the rows you wish skip/ignore.</t>
        </r>
      </text>
    </comment>
  </commentList>
</comments>
</file>

<file path=xl/sharedStrings.xml><?xml version="1.0" encoding="utf-8"?>
<sst xmlns="http://schemas.openxmlformats.org/spreadsheetml/2006/main" count="377" uniqueCount="100">
  <si>
    <t>Factors:</t>
  </si>
  <si>
    <t>economic, social, libertarian</t>
  </si>
  <si>
    <t xml:space="preserve">economic, libertarian </t>
  </si>
  <si>
    <t xml:space="preserve">economic, social </t>
  </si>
  <si>
    <t xml:space="preserve">economic, social, libertarian </t>
  </si>
  <si>
    <t xml:space="preserve">social, libertarian </t>
  </si>
  <si>
    <t xml:space="preserve">social </t>
  </si>
  <si>
    <t>BQ</t>
  </si>
  <si>
    <t>Filter Rows to Merge</t>
  </si>
  <si>
    <t>Timestamp:</t>
  </si>
  <si>
    <t>Tax rates for most tax brackets should be lowered:</t>
  </si>
  <si>
    <t>Canada should decrease foreign aid to developing countries:</t>
  </si>
  <si>
    <t>Blue-collar workers should not have a say on corporate boards:</t>
  </si>
  <si>
    <t>Unions have an overall negative impact on the country:</t>
  </si>
  <si>
    <t>The wellbeing of the economy takes precedence over efforts to combat climate change:</t>
  </si>
  <si>
    <t>The freer the market the better:</t>
  </si>
  <si>
    <t>It is more important to control inflation than to control unemployment:</t>
  </si>
  <si>
    <t>Those with more money should be able to pay for a higher quality of healthcare:</t>
  </si>
  <si>
    <t>Less regulation of the economy would lead to a higher average quality of life:</t>
  </si>
  <si>
    <t>The government should not distribute Universal Basic Income to all taxpayers:</t>
  </si>
  <si>
    <t>The government shouldn't impose a carbon tax on polluting corporations:</t>
  </si>
  <si>
    <t>Most non-lethal drugs should be decriminalized:</t>
  </si>
  <si>
    <t>Canada should be more concerned with its own citizens than with those of other countries:</t>
  </si>
  <si>
    <t>Canada should privatize more social services:</t>
  </si>
  <si>
    <t>The Senate (in Canada) should be abolished or significantly downsized:</t>
  </si>
  <si>
    <t>Freedom of speech is essential and should never be infringed upon:</t>
  </si>
  <si>
    <t>The government should privatize the news:</t>
  </si>
  <si>
    <t>The government's role is to protect basic freedoms, not to provide various services:</t>
  </si>
  <si>
    <t>A small government is preferable to a large one:</t>
  </si>
  <si>
    <t>The cabinet should not be required to be split evenly among the genders:</t>
  </si>
  <si>
    <t>Police should not be defunded:</t>
  </si>
  <si>
    <t>Immigration to Canada should decrease or remain the same:</t>
  </si>
  <si>
    <t>Cultures who have faced hardships in the past should not be granted affirmative action:</t>
  </si>
  <si>
    <t>Land Acknowledgements are unnecessary:</t>
  </si>
  <si>
    <t>Equality is essential; equity is not:</t>
  </si>
  <si>
    <t>The government should not provide free dental care and/or pharmacare:</t>
  </si>
  <si>
    <t>The Keystone XL Pipeline should be allowed to be built:</t>
  </si>
  <si>
    <t>QUEBEC MUST SECEDE FROM CANADA:</t>
  </si>
  <si>
    <t>Results Graph (high values indicite conservatism and libertarianism):</t>
  </si>
  <si>
    <t>Economic Conservative Score:</t>
  </si>
  <si>
    <t>Economic Liberal Score:</t>
  </si>
  <si>
    <t>Social Conservative Score:</t>
  </si>
  <si>
    <t>Social Liberal Score:</t>
  </si>
  <si>
    <t>Libertarian Score:</t>
  </si>
  <si>
    <t>Authoritarian Score:</t>
  </si>
  <si>
    <t>Economic Verdict:</t>
  </si>
  <si>
    <t>Social Verdict:</t>
  </si>
  <si>
    <t>Libertarian / Authoritarian Verdict:</t>
  </si>
  <si>
    <t>Email Address:</t>
  </si>
  <si>
    <t>Economic Graphing Values:</t>
  </si>
  <si>
    <t>Social Graphing Values:</t>
  </si>
  <si>
    <t>Libertarian / Authoritarian Graphing Values:</t>
  </si>
  <si>
    <t xml:space="preserve">Column Graph (high = red; low = blue): </t>
  </si>
  <si>
    <t>Most Closely Alligned with on Economics:</t>
  </si>
  <si>
    <t>Most Closely Alligned with on Society:</t>
  </si>
  <si>
    <t>Most Closely Alligned with on Liberty:</t>
  </si>
  <si>
    <t>Info:</t>
  </si>
  <si>
    <t>Party:</t>
  </si>
  <si>
    <t>Bloc Quebecois Interest?</t>
  </si>
  <si>
    <t>Green Party Interest?</t>
  </si>
  <si>
    <t>People's Party Interest?</t>
  </si>
  <si>
    <t>Libertarian Party Interest?</t>
  </si>
  <si>
    <t>isaac.mansell@tcstudents.org</t>
  </si>
  <si>
    <t>Economy Avg:</t>
  </si>
  <si>
    <t>noah.shaffir@tcstudents.org</t>
  </si>
  <si>
    <t>ori.epstien@tcstudents.org</t>
  </si>
  <si>
    <t>Social Avg:</t>
  </si>
  <si>
    <t>tal.davis@tcstudents.org</t>
  </si>
  <si>
    <t>maya.mammon@tcstudents.org</t>
  </si>
  <si>
    <t>Lib / Auth Avg:</t>
  </si>
  <si>
    <t>hayley.kupinsky@tcstudents.org</t>
  </si>
  <si>
    <t>kyle.goldenberg@tcstudents.org</t>
  </si>
  <si>
    <t>Con / Lib Avg:</t>
  </si>
  <si>
    <t>dylan.yagod-ramm@tcstudents.org</t>
  </si>
  <si>
    <t>eliezer.shegal@tcstudents.org</t>
  </si>
  <si>
    <t># Conservatives</t>
  </si>
  <si>
    <t>jonathan.kagal@tcstudents.org</t>
  </si>
  <si>
    <t>greg.schneider@tcstudents.org</t>
  </si>
  <si>
    <t># Liberals</t>
  </si>
  <si>
    <t>avi.tabibian@tcstudents.org</t>
  </si>
  <si>
    <t>eliyahu.freudenstein@tcstudents.org</t>
  </si>
  <si>
    <t># NDP</t>
  </si>
  <si>
    <t>daniel.rubinoff@tcstudents.org</t>
  </si>
  <si>
    <t>elnatan.kelman@tcstudents.org</t>
  </si>
  <si>
    <t>menachem.guttmann@tcstudents.org</t>
  </si>
  <si>
    <t>kyle.zaldin@tcstudents.org</t>
  </si>
  <si>
    <t>koby.gottlieb@tcstudents.org</t>
  </si>
  <si>
    <t>joshua.benbassat@tcstudents.org</t>
  </si>
  <si>
    <t>meir.straus@tcstudents.org</t>
  </si>
  <si>
    <t>ethan.gasee@tcstudents.org</t>
  </si>
  <si>
    <t>zev.bell@tcstudents.org</t>
  </si>
  <si>
    <t>isaac.slavens@tcstudents.org</t>
  </si>
  <si>
    <t>nate.manis@tcstudents.org</t>
  </si>
  <si>
    <t>zachary.muraven@tcstudents.org</t>
  </si>
  <si>
    <t>zimri.prutschi@tcstudents.org</t>
  </si>
  <si>
    <t>lev.pollock@tcstudents.org</t>
  </si>
  <si>
    <t>jonah.mammon@tcstudents.org</t>
  </si>
  <si>
    <t>caleb.mansell@tcstudents.org</t>
  </si>
  <si>
    <t>azaria.kelman@tcstudents.org</t>
  </si>
  <si>
    <t>noah.goldschmied@tcstudents.org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</si>
</sst>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8" x14ac:knownFonts="1">
    <font>
      <sz val="10"/>
      <color rgb="FF000000"/>
      <name val="Arial"/>
    </font>
    <font>
      <b/>
      <sz val="10"/>
      <color rgb="FF000000"/>
      <name val="Courier New"/>
    </font>
    <font>
      <sz val="10"/>
      <color rgb="FF000000"/>
      <name val="Courier New"/>
    </font>
    <font>
      <sz val="10"/>
      <color theme="1"/>
      <name val="Courier New"/>
    </font>
    <font>
      <sz val="10"/>
      <color rgb="FF999999"/>
      <name val="Courier New"/>
    </font>
    <font>
      <sz val="11"/>
      <color rgb="FF000000"/>
      <name val="Courier New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5" fontId="2" fillId="6" borderId="3" xfId="0" applyNumberFormat="1" applyFont="1" applyFill="1" applyBorder="1" applyAlignment="1">
      <alignment vertical="center" wrapText="1"/>
    </xf>
    <xf numFmtId="165" fontId="2" fillId="6" borderId="0" xfId="0" applyNumberFormat="1" applyFont="1" applyFill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165" fontId="2" fillId="6" borderId="0" xfId="0" applyNumberFormat="1" applyFont="1" applyFill="1"/>
    <xf numFmtId="165" fontId="2" fillId="2" borderId="0" xfId="0" applyNumberFormat="1" applyFont="1" applyFill="1" applyAlignment="1"/>
    <xf numFmtId="165" fontId="2" fillId="6" borderId="4" xfId="0" applyNumberFormat="1" applyFont="1" applyFill="1" applyBorder="1"/>
    <xf numFmtId="165" fontId="3" fillId="0" borderId="0" xfId="0" applyNumberFormat="1" applyFont="1"/>
    <xf numFmtId="165" fontId="3" fillId="0" borderId="5" xfId="0" applyNumberFormat="1" applyFont="1" applyBorder="1" applyAlignment="1"/>
    <xf numFmtId="165" fontId="2" fillId="6" borderId="6" xfId="0" applyNumberFormat="1" applyFont="1" applyFill="1" applyBorder="1"/>
    <xf numFmtId="165" fontId="2" fillId="6" borderId="6" xfId="0" applyNumberFormat="1" applyFont="1" applyFill="1" applyBorder="1" applyAlignment="1"/>
    <xf numFmtId="165" fontId="2" fillId="6" borderId="3" xfId="0" applyNumberFormat="1" applyFont="1" applyFill="1" applyBorder="1"/>
    <xf numFmtId="165" fontId="2" fillId="6" borderId="0" xfId="0" applyNumberFormat="1" applyFont="1" applyFill="1" applyAlignment="1"/>
    <xf numFmtId="165" fontId="5" fillId="6" borderId="0" xfId="0" applyNumberFormat="1" applyFont="1" applyFill="1"/>
    <xf numFmtId="1" fontId="2" fillId="6" borderId="0" xfId="0" applyNumberFormat="1" applyFont="1" applyFill="1" applyAlignment="1">
      <alignment horizontal="left"/>
    </xf>
    <xf numFmtId="1" fontId="2" fillId="6" borderId="5" xfId="0" applyNumberFormat="1" applyFont="1" applyFill="1" applyBorder="1" applyAlignment="1">
      <alignment horizontal="right"/>
    </xf>
    <xf numFmtId="0" fontId="2" fillId="6" borderId="0" xfId="0" applyFont="1" applyFill="1" applyAlignment="1">
      <alignment vertical="center" wrapText="1"/>
    </xf>
    <xf numFmtId="1" fontId="2" fillId="6" borderId="5" xfId="0" applyNumberFormat="1" applyFont="1" applyFill="1" applyBorder="1" applyAlignment="1">
      <alignment horizontal="left"/>
    </xf>
    <xf numFmtId="1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165" fontId="2" fillId="2" borderId="0" xfId="0" applyNumberFormat="1" applyFont="1" applyFill="1" applyAlignment="1"/>
    <xf numFmtId="0" fontId="2" fillId="6" borderId="0" xfId="0" applyFont="1" applyFill="1"/>
    <xf numFmtId="164" fontId="3" fillId="6" borderId="0" xfId="0" applyNumberFormat="1" applyFont="1" applyFill="1" applyAlignment="1"/>
    <xf numFmtId="0" fontId="3" fillId="6" borderId="0" xfId="0" applyFont="1" applyFill="1" applyAlignment="1"/>
    <xf numFmtId="0" fontId="3" fillId="6" borderId="0" xfId="0" applyFont="1" applyFill="1"/>
    <xf numFmtId="165" fontId="3" fillId="0" borderId="0" xfId="0" applyNumberFormat="1" applyFont="1" applyAlignment="1">
      <alignment horizontal="right"/>
    </xf>
    <xf numFmtId="165" fontId="2" fillId="6" borderId="6" xfId="0" applyNumberFormat="1" applyFont="1" applyFill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2" fillId="6" borderId="0" xfId="0" applyFont="1" applyFill="1" applyAlignment="1">
      <alignment vertical="center"/>
    </xf>
    <xf numFmtId="0" fontId="6" fillId="6" borderId="0" xfId="0" applyFont="1" applyFill="1"/>
    <xf numFmtId="0" fontId="2" fillId="0" borderId="0" xfId="0" applyFont="1" applyAlignment="1">
      <alignment vertical="center" wrapText="1"/>
    </xf>
    <xf numFmtId="0" fontId="6" fillId="6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7" fillId="3" borderId="0" xfId="0" applyFont="1" applyFill="1" applyAlignment="1"/>
    <xf numFmtId="165" fontId="6" fillId="0" borderId="0" xfId="0" applyNumberFormat="1" applyFont="1"/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98"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000000"/>
      </font>
      <fill>
        <patternFill patternType="solid">
          <fgColor rgb="FF999999"/>
          <bgColor rgb="FF99999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000000"/>
      </font>
      <fill>
        <patternFill patternType="solid">
          <fgColor rgb="FF999999"/>
          <bgColor rgb="FF99999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8E7CC3"/>
          <bgColor rgb="FF8E7C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34"/>
  <sheetViews>
    <sheetView tabSelected="1" topLeftCell="O1" zoomScale="80" zoomScaleNormal="80" workbookViewId="0">
      <pane ySplit="2" topLeftCell="A5" activePane="bottomLeft" state="frozen"/>
      <selection pane="bottomLeft" activeCell="B2" sqref="B2"/>
    </sheetView>
  </sheetViews>
  <sheetFormatPr defaultColWidth="14.453125" defaultRowHeight="15.75" customHeight="1" x14ac:dyDescent="0.25"/>
  <cols>
    <col min="1" max="29" width="21.54296875" customWidth="1"/>
    <col min="30" max="30" width="31.453125" customWidth="1"/>
    <col min="31" max="37" width="21.54296875" customWidth="1"/>
    <col min="38" max="38" width="7.26953125" customWidth="1"/>
    <col min="39" max="39" width="21.54296875" customWidth="1"/>
    <col min="40" max="40" width="7.26953125" customWidth="1"/>
    <col min="41" max="41" width="21.54296875" customWidth="1"/>
    <col min="42" max="42" width="7.26953125" customWidth="1"/>
    <col min="43" max="43" width="17.08984375" customWidth="1"/>
    <col min="44" max="44" width="21.54296875" customWidth="1"/>
    <col min="45" max="45" width="10.08984375" customWidth="1"/>
    <col min="46" max="46" width="21.54296875" customWidth="1"/>
    <col min="47" max="47" width="10.453125" customWidth="1"/>
    <col min="48" max="48" width="21.54296875" customWidth="1"/>
    <col min="49" max="49" width="15.453125" customWidth="1"/>
    <col min="50" max="50" width="8.81640625" customWidth="1"/>
    <col min="51" max="51" width="7.26953125" customWidth="1"/>
    <col min="52" max="52" width="21.54296875" customWidth="1"/>
    <col min="53" max="53" width="7.08984375" customWidth="1"/>
    <col min="54" max="54" width="6.08984375" customWidth="1"/>
    <col min="55" max="55" width="21.54296875" customWidth="1"/>
    <col min="56" max="56" width="5.7265625" customWidth="1"/>
    <col min="57" max="57" width="6.81640625" customWidth="1"/>
    <col min="58" max="58" width="21.54296875" customWidth="1"/>
    <col min="59" max="59" width="21.54296875" hidden="1" customWidth="1"/>
    <col min="60" max="64" width="21.54296875" customWidth="1"/>
    <col min="65" max="65" width="19.453125" customWidth="1"/>
  </cols>
  <sheetData>
    <row r="1" spans="1:6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2</v>
      </c>
      <c r="G1" s="2" t="s">
        <v>2</v>
      </c>
      <c r="H1" s="2" t="s">
        <v>4</v>
      </c>
      <c r="I1" s="2" t="s">
        <v>4</v>
      </c>
      <c r="J1" s="2" t="s">
        <v>4</v>
      </c>
      <c r="K1" s="2" t="s">
        <v>3</v>
      </c>
      <c r="L1" s="2" t="s">
        <v>2</v>
      </c>
      <c r="M1" s="2" t="s">
        <v>5</v>
      </c>
      <c r="N1" s="2" t="s">
        <v>5</v>
      </c>
      <c r="O1" s="2" t="s">
        <v>4</v>
      </c>
      <c r="P1" s="2" t="s">
        <v>2</v>
      </c>
      <c r="Q1" s="2" t="s">
        <v>5</v>
      </c>
      <c r="R1" s="2" t="s">
        <v>2</v>
      </c>
      <c r="S1" s="2" t="s">
        <v>4</v>
      </c>
      <c r="T1" s="2" t="s">
        <v>4</v>
      </c>
      <c r="U1" s="2" t="s">
        <v>5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3</v>
      </c>
      <c r="AA1" s="2" t="s">
        <v>4</v>
      </c>
      <c r="AB1" s="2" t="s">
        <v>2</v>
      </c>
      <c r="AC1" s="3" t="s">
        <v>7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  <c r="AT1" s="4"/>
      <c r="AU1" s="5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6" t="s">
        <v>8</v>
      </c>
    </row>
    <row r="2" spans="1:65" ht="15.75" customHeight="1" x14ac:dyDescent="0.25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7" t="s">
        <v>38</v>
      </c>
      <c r="AE2" s="7" t="s">
        <v>39</v>
      </c>
      <c r="AF2" s="7" t="s">
        <v>40</v>
      </c>
      <c r="AG2" s="7" t="s">
        <v>41</v>
      </c>
      <c r="AH2" s="7" t="s">
        <v>42</v>
      </c>
      <c r="AI2" s="7" t="s">
        <v>43</v>
      </c>
      <c r="AJ2" s="7" t="s">
        <v>44</v>
      </c>
      <c r="AK2" s="56" t="s">
        <v>45</v>
      </c>
      <c r="AL2" s="57"/>
      <c r="AM2" s="56" t="s">
        <v>46</v>
      </c>
      <c r="AN2" s="57"/>
      <c r="AO2" s="56" t="s">
        <v>47</v>
      </c>
      <c r="AP2" s="57"/>
      <c r="AQ2" s="7" t="s">
        <v>48</v>
      </c>
      <c r="AR2" s="7" t="s">
        <v>49</v>
      </c>
      <c r="AS2" s="9" t="s">
        <v>48</v>
      </c>
      <c r="AT2" s="7" t="s">
        <v>50</v>
      </c>
      <c r="AU2" s="9" t="s">
        <v>48</v>
      </c>
      <c r="AV2" s="7" t="s">
        <v>51</v>
      </c>
      <c r="AW2" s="7" t="s">
        <v>52</v>
      </c>
      <c r="AX2" s="7"/>
      <c r="AY2" s="7"/>
      <c r="AZ2" s="7" t="s">
        <v>53</v>
      </c>
      <c r="BA2" s="7"/>
      <c r="BB2" s="7"/>
      <c r="BC2" s="7" t="s">
        <v>54</v>
      </c>
      <c r="BD2" s="7"/>
      <c r="BE2" s="7"/>
      <c r="BF2" s="7" t="s">
        <v>55</v>
      </c>
      <c r="BG2" s="7" t="s">
        <v>56</v>
      </c>
      <c r="BH2" s="7" t="s">
        <v>57</v>
      </c>
      <c r="BI2" s="7" t="s">
        <v>58</v>
      </c>
      <c r="BJ2" s="7" t="s">
        <v>59</v>
      </c>
      <c r="BK2" s="7" t="s">
        <v>60</v>
      </c>
      <c r="BL2" s="7" t="s">
        <v>61</v>
      </c>
      <c r="BM2" s="7"/>
    </row>
    <row r="3" spans="1:65" ht="15.75" customHeight="1" x14ac:dyDescent="0.35">
      <c r="A3" s="10">
        <v>44250.711139918982</v>
      </c>
      <c r="B3" s="11">
        <v>8</v>
      </c>
      <c r="C3" s="11">
        <v>7</v>
      </c>
      <c r="D3" s="11">
        <v>9</v>
      </c>
      <c r="E3" s="11">
        <v>7</v>
      </c>
      <c r="F3" s="11">
        <v>7</v>
      </c>
      <c r="G3" s="11">
        <v>9</v>
      </c>
      <c r="H3" s="11">
        <v>7</v>
      </c>
      <c r="I3" s="11">
        <v>9</v>
      </c>
      <c r="J3" s="11">
        <v>7</v>
      </c>
      <c r="K3" s="11">
        <v>5</v>
      </c>
      <c r="L3" s="11">
        <v>4</v>
      </c>
      <c r="M3" s="11">
        <v>8</v>
      </c>
      <c r="N3" s="11">
        <v>9</v>
      </c>
      <c r="O3" s="11">
        <v>8</v>
      </c>
      <c r="P3" s="11">
        <v>10</v>
      </c>
      <c r="Q3" s="11">
        <v>9</v>
      </c>
      <c r="R3" s="11">
        <v>6</v>
      </c>
      <c r="S3" s="11">
        <v>9</v>
      </c>
      <c r="T3" s="11">
        <v>10</v>
      </c>
      <c r="U3" s="11">
        <v>10</v>
      </c>
      <c r="V3" s="11">
        <v>8</v>
      </c>
      <c r="W3" s="11">
        <v>3</v>
      </c>
      <c r="X3" s="11">
        <v>6</v>
      </c>
      <c r="Y3" s="11">
        <v>8</v>
      </c>
      <c r="Z3" s="11">
        <v>10</v>
      </c>
      <c r="AA3" s="11">
        <v>9</v>
      </c>
      <c r="AB3" s="11">
        <v>10</v>
      </c>
      <c r="AC3" s="11">
        <v>10</v>
      </c>
      <c r="AD3" s="12"/>
      <c r="AE3" s="13">
        <f t="shared" ref="AE3:AE34" si="0">AVERAGE(B3:L3, O3:P3, R3:T3, Z3:AB3)</f>
        <v>7.9473684210526319</v>
      </c>
      <c r="AF3" s="14">
        <f t="shared" ref="AF3:AF34" si="1">10-AE3</f>
        <v>2.0526315789473681</v>
      </c>
      <c r="AG3" s="14">
        <f t="shared" ref="AG3:AG34" si="2">AVERAGE(B3, D3:E3, H3:K3, (10-M3), N3:O3, Q3, S3:AA3)</f>
        <v>7.65</v>
      </c>
      <c r="AH3" s="14">
        <f t="shared" ref="AH3:AH34" si="3">10-AG3</f>
        <v>2.3499999999999996</v>
      </c>
      <c r="AI3" s="14">
        <f t="shared" ref="AI3:AI34" si="4">AVERAGE(B3:C3, F3:J3, L3:U3, AA3:AB3)</f>
        <v>8.2105263157894743</v>
      </c>
      <c r="AJ3" s="14">
        <f t="shared" ref="AJ3:AJ34" si="5">10-AI3</f>
        <v>1.7894736842105257</v>
      </c>
      <c r="AK3" s="15" t="str">
        <f t="shared" ref="AK3:AK34" si="6">IF(AE3 &gt; 5, "Conservative:", "Liberal:")</f>
        <v>Conservative:</v>
      </c>
      <c r="AL3" s="16">
        <f t="shared" ref="AL3:AL34" si="7">IF(MAX(AE3:AF3)=AE3, AE3, AF3)</f>
        <v>7.9473684210526319</v>
      </c>
      <c r="AM3" s="17" t="str">
        <f t="shared" ref="AM3:AM34" si="8">IF(AG3 &gt; 5, "Conservative:", "Liberal:")</f>
        <v>Conservative:</v>
      </c>
      <c r="AN3" s="16">
        <f t="shared" ref="AN3:AN34" si="9">IF(MAX(AG3:AH3)=AG3, AG3, AH3)</f>
        <v>7.65</v>
      </c>
      <c r="AO3" s="17" t="str">
        <f t="shared" ref="AO3:AO34" si="10">IF(AI3 &gt; 5, "Libertarian:", "Authoritarian:")</f>
        <v>Libertarian:</v>
      </c>
      <c r="AP3" s="16">
        <f t="shared" ref="AP3:AP34" si="11">IF(MAX(AI3:AJ3)=AI3, AI3, AJ3)</f>
        <v>8.2105263157894743</v>
      </c>
      <c r="AQ3" s="18" t="s">
        <v>62</v>
      </c>
      <c r="AR3" s="19">
        <f t="shared" ref="AR3:AR17" si="12">ROUND(IF(AE3 &gt; 5, (AE3*2)-10, (-AF3*2)+10), 2)</f>
        <v>5.89</v>
      </c>
      <c r="AS3" s="20" t="s">
        <v>62</v>
      </c>
      <c r="AT3" s="19">
        <f t="shared" ref="AT3:AT13" si="13">ROUND(IF(AG3 &gt; 5, (AG3*2)-10, (-AH3*2)+10), 2)</f>
        <v>5.3</v>
      </c>
      <c r="AU3" s="20" t="s">
        <v>62</v>
      </c>
      <c r="AV3" s="19">
        <f>ROUND(IF(AI3 &gt; 5, (AI3*2)-10, (-AJ3*2)+10), 2)</f>
        <v>6.42</v>
      </c>
      <c r="AW3" s="21"/>
      <c r="AX3" s="22">
        <f ca="1">IFERROR(__xludf.DUMMYFUNCTION("QUERY(PoliticalData!AR$3:AR$55,""select AR where AR &gt; ""&amp;AR3&amp;"" order by AR limit 1"",0)"),6.32)</f>
        <v>6.32</v>
      </c>
      <c r="AY3" s="22">
        <f ca="1">IFERROR(__xludf.DUMMYFUNCTION("QUERY(PoliticalData!AR$3:AR$55,""select AR where AR &lt; ""&amp;AR3&amp;"" order by AR desc limit 1"",0)"),5.44)</f>
        <v>5.44</v>
      </c>
      <c r="AZ3" s="23" t="str">
        <f ca="1">IFERROR(__xludf.DUMMYFUNCTION("IF((ABS(AR3-QUERY(PoliticalData!AR$3:AR$55,""select AR where AR &gt; ""&amp;AR3&amp;"" order by AR limit 1"",0))) &gt; ABS(AR3-QUERY(PoliticalData!AR$3:AR$55,""select AR where AR &lt; ""&amp;AR3&amp;"" order by AR desc limit 1"",0)), QUERY(PoliticalData!AQ$3:AR$55,""select AQ whe"&amp;"re AR = ""&amp;AY3&amp;"""",0), QUERY(PoliticalData!AQ$3:AR$55,""select AQ where AR = ""&amp;AX3&amp;"""",0))"),"ethan.gasee@tcstudents.org")</f>
        <v>ethan.gasee@tcstudents.org</v>
      </c>
      <c r="BA3" s="24">
        <f ca="1">IFERROR(__xludf.DUMMYFUNCTION("QUERY(PoliticalData!AT$3:AT$34,""select AT where AT &gt; ""&amp;AT3&amp;"" order by AT limit 1"",0)"),5.9)</f>
        <v>5.9</v>
      </c>
      <c r="BB3" s="24">
        <f ca="1">IFERROR(__xludf.DUMMYFUNCTION("QUERY(PoliticalData!AT$3:AT$50,""select AT where AT &lt; ""&amp;AT3&amp;"" order by AT desc limit 1"",0)"),4.8)</f>
        <v>4.8</v>
      </c>
      <c r="BC3" s="25" t="str">
        <f ca="1">IFERROR(__xludf.DUMMYFUNCTION("IF((ABS(AT3-QUERY(PoliticalData!AT$3:AT$55,""select AT where AT &gt; ""&amp;AT3&amp;"" order by AT limit 1"",0))) &gt; ABS(AT3-QUERY(PoliticalData!AT$3:AT$55,""select AT where AT &lt; ""&amp;AT3&amp;"" order by AT desc limit 1"",0)), QUERY(PoliticalData!AS$3:AT$55,""select AS whe"&amp;"re AT = ""&amp;BB3&amp;"""",0), QUERY(PoliticalData!AS$3:AT$55,""select AS where AT = ""&amp;BA3&amp;"""",0))"),"lev.pollock@tcstudents.org")</f>
        <v>lev.pollock@tcstudents.org</v>
      </c>
      <c r="BD3" s="24">
        <f ca="1">IFERROR(__xludf.DUMMYFUNCTION("QUERY(PoliticalData!AV$3:AV$34,""select AV where AV &gt; ""&amp;AV3&amp;"" order by AV limit 1"",0)"),10)</f>
        <v>10</v>
      </c>
      <c r="BE3" s="24">
        <f ca="1">IFERROR(__xludf.DUMMYFUNCTION("QUERY(PoliticalData!AV$3:AV$50,""select AV where AV &lt; ""&amp;AV3&amp;"" order by AV desc limit 1"",0)"),6.11)</f>
        <v>6.11</v>
      </c>
      <c r="BF3" s="26" t="str">
        <f ca="1">IFERROR(__xludf.DUMMYFUNCTION("IF((ABS(AV3-QUERY(PoliticalData!AV$3:AV$55,""select AV where AV &gt; ""&amp;AV3&amp;"" order by AV limit 1"",0))) &gt; ABS(AV3-QUERY(PoliticalData!AV$3:AV$55,""select AV where AV &lt; ""&amp;AV3&amp;"" order by AV desc limit 1"",0)), QUERY(PoliticalData!AU$3:AV$55,""select AU whe"&amp;"re AV = ""&amp;BE3&amp;"""",0), QUERY(PoliticalData!AU$3:AV$55,""select AU where AV = ""&amp;BD3&amp;"""",0))"),"koby.gottlieb@tcstudents.org")</f>
        <v>koby.gottlieb@tcstudents.org</v>
      </c>
      <c r="BG3" s="27" t="s">
        <v>63</v>
      </c>
      <c r="BH3" s="24" t="e">
        <f t="shared" ref="BH3:BH34" ca="1" si="14">_xludf.IFS((AR3+AT3)/2 &lt; -4, "NDP", (AR3+AT3)/2 &lt; 0, "Liberal", (AR3+AT3)/2 &gt; 0, "Conservative")</f>
        <v>#NAME?</v>
      </c>
      <c r="BI3" s="19" t="str">
        <f t="shared" ref="BI3:BI34" si="15">IF(AC3 &gt; 7, "Yes", "No")</f>
        <v>Yes</v>
      </c>
      <c r="BJ3" s="19" t="str">
        <f t="shared" ref="BJ3:BJ34" si="16">IF(((10-AB3)+(10-Y3)+(10-L3))/3 &gt; 6, "Yes", "No")</f>
        <v>No</v>
      </c>
      <c r="BK3" s="19" t="str">
        <f t="shared" ref="BK3:BK34" si="17">IF(W3 &gt; 6, "Yes", "No")</f>
        <v>No</v>
      </c>
      <c r="BL3" s="19" t="str">
        <f t="shared" ref="BL3:BL34" si="18">IF(AI3 &gt; 7.5, "Yes", "No")</f>
        <v>Yes</v>
      </c>
      <c r="BM3" s="28"/>
    </row>
    <row r="4" spans="1:65" ht="15.75" customHeight="1" x14ac:dyDescent="0.35">
      <c r="A4" s="10">
        <v>44250.827766840273</v>
      </c>
      <c r="B4" s="11">
        <v>0</v>
      </c>
      <c r="C4" s="11">
        <v>8</v>
      </c>
      <c r="D4" s="11">
        <v>0</v>
      </c>
      <c r="E4" s="11">
        <v>0</v>
      </c>
      <c r="F4" s="11">
        <v>0</v>
      </c>
      <c r="G4" s="11">
        <v>0</v>
      </c>
      <c r="H4" s="11">
        <v>4</v>
      </c>
      <c r="I4" s="11">
        <v>4</v>
      </c>
      <c r="J4" s="11">
        <v>0</v>
      </c>
      <c r="K4" s="11">
        <v>0</v>
      </c>
      <c r="L4" s="11">
        <v>0</v>
      </c>
      <c r="M4" s="11">
        <v>10</v>
      </c>
      <c r="N4" s="11">
        <v>4</v>
      </c>
      <c r="O4" s="11">
        <v>0</v>
      </c>
      <c r="P4" s="11">
        <v>10</v>
      </c>
      <c r="Q4" s="11">
        <v>10</v>
      </c>
      <c r="R4" s="11">
        <v>10</v>
      </c>
      <c r="S4" s="11">
        <v>5</v>
      </c>
      <c r="T4" s="11">
        <v>2</v>
      </c>
      <c r="U4" s="11">
        <v>10</v>
      </c>
      <c r="V4" s="11">
        <v>10</v>
      </c>
      <c r="W4" s="11">
        <v>0</v>
      </c>
      <c r="X4" s="11">
        <v>10</v>
      </c>
      <c r="Y4" s="11">
        <v>0</v>
      </c>
      <c r="Z4" s="11">
        <v>0</v>
      </c>
      <c r="AA4" s="11">
        <v>0</v>
      </c>
      <c r="AB4" s="11">
        <v>0</v>
      </c>
      <c r="AC4" s="11">
        <v>5</v>
      </c>
      <c r="AD4" s="12"/>
      <c r="AE4" s="13">
        <f t="shared" si="0"/>
        <v>2.263157894736842</v>
      </c>
      <c r="AF4" s="14">
        <f t="shared" si="1"/>
        <v>7.7368421052631575</v>
      </c>
      <c r="AG4" s="14">
        <f t="shared" si="2"/>
        <v>2.95</v>
      </c>
      <c r="AH4" s="14">
        <f t="shared" si="3"/>
        <v>7.05</v>
      </c>
      <c r="AI4" s="14">
        <f t="shared" si="4"/>
        <v>4.0526315789473681</v>
      </c>
      <c r="AJ4" s="14">
        <f t="shared" si="5"/>
        <v>5.9473684210526319</v>
      </c>
      <c r="AK4" s="15" t="str">
        <f t="shared" si="6"/>
        <v>Liberal:</v>
      </c>
      <c r="AL4" s="16">
        <f t="shared" si="7"/>
        <v>7.7368421052631575</v>
      </c>
      <c r="AM4" s="17" t="str">
        <f t="shared" si="8"/>
        <v>Liberal:</v>
      </c>
      <c r="AN4" s="16">
        <f t="shared" si="9"/>
        <v>7.05</v>
      </c>
      <c r="AO4" s="17" t="str">
        <f t="shared" si="10"/>
        <v>Authoritarian:</v>
      </c>
      <c r="AP4" s="16">
        <f t="shared" si="11"/>
        <v>5.9473684210526319</v>
      </c>
      <c r="AQ4" s="18" t="s">
        <v>64</v>
      </c>
      <c r="AR4" s="19">
        <f t="shared" si="12"/>
        <v>-5.47</v>
      </c>
      <c r="AS4" s="20" t="s">
        <v>64</v>
      </c>
      <c r="AT4" s="19">
        <f t="shared" si="13"/>
        <v>-4.0999999999999996</v>
      </c>
      <c r="AU4" s="20" t="s">
        <v>64</v>
      </c>
      <c r="AV4" s="19">
        <f>ROUND(IF(AI4 &gt; 5, (AI4*2)-10, (-AJ4*2)+10.01), 2)</f>
        <v>-1.88</v>
      </c>
      <c r="AW4" s="21"/>
      <c r="AX4" s="22">
        <f ca="1">IFERROR(__xludf.DUMMYFUNCTION("QUERY(PoliticalData!AR$3:AR$55,""select AR where AR &gt; ""&amp;AR4&amp;"" order by AR limit 1"",0)"),-4.73)</f>
        <v>-4.7300000000000004</v>
      </c>
      <c r="AY4" s="22" t="str">
        <f ca="1">IFERROR(__xludf.DUMMYFUNCTION("QUERY(PoliticalData!AR$3:AR$55,""select AR where AR &lt; ""&amp;AR4&amp;"" order by AR desc limit 1"",0)"),"")</f>
        <v/>
      </c>
      <c r="AZ4" s="23" t="str">
        <f ca="1">IFERROR(__xludf.DUMMYFUNCTION("IF((ABS(AR4-QUERY(PoliticalData!AR$3:AR$55,""select AR where AR &gt; ""&amp;AR4&amp;"" order by AR limit 1"",0))) &gt; ABS(AR4-QUERY(PoliticalData!AR$3:AR$55,""select AR where AR &lt; ""&amp;AR4&amp;"" order by AR desc limit 1"",0)), QUERY(PoliticalData!AQ$3:AR$55,""select AQ whe"&amp;"re AR = ""&amp;AY4&amp;"""",0), QUERY(PoliticalData!AQ$3:AR$55,""select AQ where AR = ""&amp;AX4&amp;"""",0))"),"menachem.guttmann@tcstudents.org")</f>
        <v>menachem.guttmann@tcstudents.org</v>
      </c>
      <c r="BA4" s="24">
        <f ca="1">IFERROR(__xludf.DUMMYFUNCTION("QUERY(PoliticalData!AT$3:AT$34,""select AT where AT &gt; ""&amp;AT4&amp;"" order by AT limit 1"",0)"),-3.9)</f>
        <v>-3.9</v>
      </c>
      <c r="BB4" s="24">
        <f ca="1">IFERROR(__xludf.DUMMYFUNCTION("QUERY(PoliticalData!AT$3:AT$50,""select AT where AT &lt; ""&amp;AT4&amp;"" order by AT desc limit 1"",0)"),-6)</f>
        <v>-6</v>
      </c>
      <c r="BC4" s="25" t="str">
        <f ca="1">IFERROR(__xludf.DUMMYFUNCTION("IF((ABS(AT4-QUERY(PoliticalData!AT$3:AT$55,""select AT where AT &gt; ""&amp;AT4&amp;"" order by AT limit 1"",0))) &gt; ABS(AT4-QUERY(PoliticalData!AT$3:AT$55,""select AT where AT &lt; ""&amp;AT4&amp;"" order by AT desc limit 1"",0)), QUERY(PoliticalData!AS$3:AT$55,""select AS whe"&amp;"re AT = ""&amp;BB4&amp;"""",0), QUERY(PoliticalData!AS$3:AT$55,""select AS where AT = ""&amp;BA4&amp;"""",0))"),"zimri.prutschi@tcstudents.org")</f>
        <v>zimri.prutschi@tcstudents.org</v>
      </c>
      <c r="BD4" s="24">
        <f ca="1">IFERROR(__xludf.DUMMYFUNCTION("QUERY(PoliticalData!AV$3:AV$34,""select AV where AV &gt; ""&amp;AV4&amp;"" order by AV limit 1"",0)"),-1.79)</f>
        <v>-1.79</v>
      </c>
      <c r="BE4" s="24">
        <f ca="1">IFERROR(__xludf.DUMMYFUNCTION("QUERY(PoliticalData!AV$3:AV$50,""select AV where AV &lt; ""&amp;AV4&amp;"" order by AV desc limit 1"",0)"),-1.89)</f>
        <v>-1.89</v>
      </c>
      <c r="BF4" s="26" t="str">
        <f ca="1">IFERROR(__xludf.DUMMYFUNCTION("IF((ABS(AV4-QUERY(PoliticalData!AV$3:AV$55,""select AV where AV &gt; ""&amp;AV4&amp;"" order by AV limit 1"",0))) &gt; ABS(AV4-QUERY(PoliticalData!AV$3:AV$55,""select AV where AV &lt; ""&amp;AV4&amp;"" order by AV desc limit 1"",0)), QUERY(PoliticalData!AU$3:AV$55,""select AU whe"&amp;"re AV = ""&amp;BE4&amp;"""",0), QUERY(PoliticalData!AU$3:AV$55,""select AU where AV = ""&amp;BD4&amp;"""",0))"),"azaria.kelman@tcstudents.org")</f>
        <v>azaria.kelman@tcstudents.org</v>
      </c>
      <c r="BG4" s="27">
        <f>AVERAGE(AR3:AR70)</f>
        <v>0.84281250000000008</v>
      </c>
      <c r="BH4" s="24" t="e">
        <f t="shared" ca="1" si="14"/>
        <v>#NAME?</v>
      </c>
      <c r="BI4" s="19" t="str">
        <f t="shared" si="15"/>
        <v>No</v>
      </c>
      <c r="BJ4" s="19" t="str">
        <f t="shared" si="16"/>
        <v>Yes</v>
      </c>
      <c r="BK4" s="19" t="str">
        <f t="shared" si="17"/>
        <v>No</v>
      </c>
      <c r="BL4" s="19" t="str">
        <f t="shared" si="18"/>
        <v>No</v>
      </c>
      <c r="BM4" s="28"/>
    </row>
    <row r="5" spans="1:65" ht="15.75" customHeight="1" x14ac:dyDescent="0.35">
      <c r="A5" s="10">
        <v>44250.827922962962</v>
      </c>
      <c r="B5" s="11">
        <v>6</v>
      </c>
      <c r="C5" s="11">
        <v>5</v>
      </c>
      <c r="D5" s="11">
        <v>4</v>
      </c>
      <c r="E5" s="11">
        <v>6</v>
      </c>
      <c r="F5" s="11">
        <v>4</v>
      </c>
      <c r="G5" s="11">
        <v>8</v>
      </c>
      <c r="H5" s="11">
        <v>8</v>
      </c>
      <c r="I5" s="11">
        <v>7</v>
      </c>
      <c r="J5" s="11">
        <v>6</v>
      </c>
      <c r="K5" s="11">
        <v>10</v>
      </c>
      <c r="L5" s="11">
        <v>2</v>
      </c>
      <c r="M5" s="11">
        <v>1</v>
      </c>
      <c r="N5" s="11">
        <v>7</v>
      </c>
      <c r="O5" s="11">
        <v>5</v>
      </c>
      <c r="P5" s="11">
        <v>4</v>
      </c>
      <c r="Q5" s="11">
        <v>8</v>
      </c>
      <c r="R5" s="11">
        <v>7</v>
      </c>
      <c r="S5" s="11">
        <v>7</v>
      </c>
      <c r="T5" s="11">
        <v>8</v>
      </c>
      <c r="U5" s="11">
        <v>7</v>
      </c>
      <c r="V5" s="11">
        <v>10</v>
      </c>
      <c r="W5" s="11">
        <v>3</v>
      </c>
      <c r="X5" s="11">
        <v>7</v>
      </c>
      <c r="Y5" s="11">
        <v>7</v>
      </c>
      <c r="Z5" s="11">
        <v>8</v>
      </c>
      <c r="AA5" s="11">
        <v>7</v>
      </c>
      <c r="AB5" s="11">
        <v>9</v>
      </c>
      <c r="AC5" s="11">
        <v>0</v>
      </c>
      <c r="AD5" s="12"/>
      <c r="AE5" s="13">
        <f t="shared" si="0"/>
        <v>6.3684210526315788</v>
      </c>
      <c r="AF5" s="14">
        <f t="shared" si="1"/>
        <v>3.6315789473684212</v>
      </c>
      <c r="AG5" s="14">
        <f t="shared" si="2"/>
        <v>7</v>
      </c>
      <c r="AH5" s="14">
        <f t="shared" si="3"/>
        <v>3</v>
      </c>
      <c r="AI5" s="14">
        <f t="shared" si="4"/>
        <v>6.1052631578947372</v>
      </c>
      <c r="AJ5" s="14">
        <f t="shared" si="5"/>
        <v>3.8947368421052628</v>
      </c>
      <c r="AK5" s="15" t="str">
        <f t="shared" si="6"/>
        <v>Conservative:</v>
      </c>
      <c r="AL5" s="16">
        <f t="shared" si="7"/>
        <v>6.3684210526315788</v>
      </c>
      <c r="AM5" s="17" t="str">
        <f t="shared" si="8"/>
        <v>Conservative:</v>
      </c>
      <c r="AN5" s="16">
        <f t="shared" si="9"/>
        <v>7</v>
      </c>
      <c r="AO5" s="17" t="str">
        <f t="shared" si="10"/>
        <v>Libertarian:</v>
      </c>
      <c r="AP5" s="16">
        <f t="shared" si="11"/>
        <v>6.1052631578947372</v>
      </c>
      <c r="AQ5" s="18" t="s">
        <v>65</v>
      </c>
      <c r="AR5" s="19">
        <f t="shared" si="12"/>
        <v>2.74</v>
      </c>
      <c r="AS5" s="20" t="s">
        <v>65</v>
      </c>
      <c r="AT5" s="19">
        <f t="shared" si="13"/>
        <v>4</v>
      </c>
      <c r="AU5" s="20" t="s">
        <v>65</v>
      </c>
      <c r="AV5" s="19">
        <f>ROUND(IF(AI5 &gt; 5, (AI5*2)-10.01, (-AJ5*2)+10), 2)</f>
        <v>2.2000000000000002</v>
      </c>
      <c r="AW5" s="21"/>
      <c r="AX5" s="22">
        <f ca="1">IFERROR(__xludf.DUMMYFUNCTION("QUERY(PoliticalData!AR$3:AR$55,""select AR where AR &gt; ""&amp;AR5&amp;"" order by AR limit 1"",0)"),3.05)</f>
        <v>3.05</v>
      </c>
      <c r="AY5" s="22">
        <f ca="1">IFERROR(__xludf.DUMMYFUNCTION("QUERY(PoliticalData!AR$3:AR$55,""select AR where AR &lt; ""&amp;AR5&amp;"" order by AR desc limit 1"",0)"),1.89)</f>
        <v>1.89</v>
      </c>
      <c r="AZ5" s="23" t="str">
        <f ca="1">IFERROR(__xludf.DUMMYFUNCTION("IF((ABS(AR5-QUERY(PoliticalData!AR$3:AR$55,""select AR where AR &gt; ""&amp;AR5&amp;"" order by AR limit 1"",0))) &gt; ABS(AR5-QUERY(PoliticalData!AR$3:AR$55,""select AR where AR &lt; ""&amp;AR5&amp;"" order by AR desc limit 1"",0)), QUERY(PoliticalData!AQ$3:AR$55,""select AQ whe"&amp;"re AR = ""&amp;AY5&amp;"""",0), QUERY(PoliticalData!AQ$3:AR$55,""select AQ where AR = ""&amp;AX5&amp;"""",0))"),"daniel.rubinoff@tcstudents.org")</f>
        <v>daniel.rubinoff@tcstudents.org</v>
      </c>
      <c r="BA5" s="24">
        <f ca="1">IFERROR(__xludf.DUMMYFUNCTION("QUERY(PoliticalData!AT$3:AT$34,""select AT where AT &gt; ""&amp;AT5&amp;"" order by AT limit 1"",0)"),4.1)</f>
        <v>4.0999999999999996</v>
      </c>
      <c r="BB5" s="24">
        <f ca="1">IFERROR(__xludf.DUMMYFUNCTION("QUERY(PoliticalData!AT$3:AT$50,""select AT where AT &lt; ""&amp;AT5&amp;"" order by AT desc limit 1"",0)"),3.99)</f>
        <v>3.99</v>
      </c>
      <c r="BC5" s="25" t="str">
        <f ca="1">IFERROR(__xludf.DUMMYFUNCTION("IF((ABS(AT5-QUERY(PoliticalData!AT$3:AT$55,""select AT where AT &gt; ""&amp;AT5&amp;"" order by AT limit 1"",0))) &gt; ABS(AT5-QUERY(PoliticalData!AT$3:AT$55,""select AT where AT &lt; ""&amp;AT5&amp;"" order by AT desc limit 1"",0)), QUERY(PoliticalData!AS$3:AT$55,""select AS whe"&amp;"re AT = ""&amp;BB5&amp;"""",0), QUERY(PoliticalData!AS$3:AT$55,""select AS where AT = ""&amp;BA5&amp;"""",0))"),"zachary.muraven@tcstudents.org")</f>
        <v>zachary.muraven@tcstudents.org</v>
      </c>
      <c r="BD5" s="24">
        <f ca="1">IFERROR(__xludf.DUMMYFUNCTION("QUERY(PoliticalData!AV$3:AV$34,""select AV where AV &gt; ""&amp;AV5&amp;"" order by AV limit 1"",0)"),2.21)</f>
        <v>2.21</v>
      </c>
      <c r="BE5" s="24">
        <f ca="1">IFERROR(__xludf.DUMMYFUNCTION("QUERY(PoliticalData!AV$3:AV$50,""select AV where AV &lt; ""&amp;AV5&amp;"" order by AV desc limit 1"",0)"),1.89)</f>
        <v>1.89</v>
      </c>
      <c r="BF5" s="26" t="str">
        <f ca="1">IFERROR(__xludf.DUMMYFUNCTION("IF((ABS(AV5-QUERY(PoliticalData!AV$3:AV$55,""select AV where AV &gt; ""&amp;AV5&amp;"" order by AV limit 1"",0))) &gt; ABS(AV5-QUERY(PoliticalData!AV$3:AV$55,""select AV where AV &lt; ""&amp;AV5&amp;"" order by AV desc limit 1"",0)), QUERY(PoliticalData!AU$3:AV$55,""select AU whe"&amp;"re AV = ""&amp;BE5&amp;"""",0), QUERY(PoliticalData!AU$3:AV$55,""select AU where AV = ""&amp;BD5&amp;"""",0))"),"joshua.benbassat@tcstudents.org")</f>
        <v>joshua.benbassat@tcstudents.org</v>
      </c>
      <c r="BG5" s="27" t="s">
        <v>66</v>
      </c>
      <c r="BH5" s="24" t="e">
        <f t="shared" ca="1" si="14"/>
        <v>#NAME?</v>
      </c>
      <c r="BI5" s="19" t="str">
        <f t="shared" si="15"/>
        <v>No</v>
      </c>
      <c r="BJ5" s="19" t="str">
        <f t="shared" si="16"/>
        <v>No</v>
      </c>
      <c r="BK5" s="19" t="str">
        <f t="shared" si="17"/>
        <v>No</v>
      </c>
      <c r="BL5" s="19" t="str">
        <f t="shared" si="18"/>
        <v>No</v>
      </c>
      <c r="BM5" s="28"/>
    </row>
    <row r="6" spans="1:65" ht="15.75" customHeight="1" x14ac:dyDescent="0.35">
      <c r="A6" s="10">
        <v>44250.839095138886</v>
      </c>
      <c r="B6" s="11">
        <v>6</v>
      </c>
      <c r="C6" s="11">
        <v>3</v>
      </c>
      <c r="D6" s="11">
        <v>2</v>
      </c>
      <c r="E6" s="11">
        <v>2</v>
      </c>
      <c r="F6" s="11">
        <v>2</v>
      </c>
      <c r="G6" s="11">
        <v>7</v>
      </c>
      <c r="H6" s="11">
        <v>8</v>
      </c>
      <c r="I6" s="11">
        <v>1</v>
      </c>
      <c r="J6" s="11">
        <v>5</v>
      </c>
      <c r="K6" s="11">
        <v>4</v>
      </c>
      <c r="L6" s="11">
        <v>2</v>
      </c>
      <c r="M6" s="11">
        <v>4</v>
      </c>
      <c r="N6" s="11">
        <v>7</v>
      </c>
      <c r="O6" s="11">
        <v>3</v>
      </c>
      <c r="P6" s="11">
        <v>7</v>
      </c>
      <c r="Q6" s="11">
        <v>4</v>
      </c>
      <c r="R6" s="11">
        <v>5</v>
      </c>
      <c r="S6" s="11">
        <v>3</v>
      </c>
      <c r="T6" s="11">
        <v>4</v>
      </c>
      <c r="U6" s="11">
        <v>7</v>
      </c>
      <c r="V6" s="11">
        <v>10</v>
      </c>
      <c r="W6" s="11">
        <v>2</v>
      </c>
      <c r="X6" s="11">
        <v>3</v>
      </c>
      <c r="Y6" s="11">
        <v>5</v>
      </c>
      <c r="Z6" s="11">
        <v>7</v>
      </c>
      <c r="AA6" s="11">
        <v>4</v>
      </c>
      <c r="AB6" s="11">
        <v>6</v>
      </c>
      <c r="AC6" s="11">
        <v>0</v>
      </c>
      <c r="AD6" s="12"/>
      <c r="AE6" s="13">
        <f t="shared" si="0"/>
        <v>4.2631578947368425</v>
      </c>
      <c r="AF6" s="14">
        <f t="shared" si="1"/>
        <v>5.7368421052631575</v>
      </c>
      <c r="AG6" s="14">
        <f t="shared" si="2"/>
        <v>4.6500000000000004</v>
      </c>
      <c r="AH6" s="14">
        <f t="shared" si="3"/>
        <v>5.35</v>
      </c>
      <c r="AI6" s="14">
        <f t="shared" si="4"/>
        <v>4.6315789473684212</v>
      </c>
      <c r="AJ6" s="14">
        <f t="shared" si="5"/>
        <v>5.3684210526315788</v>
      </c>
      <c r="AK6" s="15" t="str">
        <f t="shared" si="6"/>
        <v>Liberal:</v>
      </c>
      <c r="AL6" s="16">
        <f t="shared" si="7"/>
        <v>5.7368421052631575</v>
      </c>
      <c r="AM6" s="17" t="str">
        <f t="shared" si="8"/>
        <v>Liberal:</v>
      </c>
      <c r="AN6" s="16">
        <f t="shared" si="9"/>
        <v>5.35</v>
      </c>
      <c r="AO6" s="17" t="str">
        <f t="shared" si="10"/>
        <v>Authoritarian:</v>
      </c>
      <c r="AP6" s="16">
        <f t="shared" si="11"/>
        <v>5.3684210526315788</v>
      </c>
      <c r="AQ6" s="18" t="s">
        <v>67</v>
      </c>
      <c r="AR6" s="19">
        <f t="shared" si="12"/>
        <v>-1.47</v>
      </c>
      <c r="AS6" s="20" t="s">
        <v>67</v>
      </c>
      <c r="AT6" s="19">
        <f t="shared" si="13"/>
        <v>-0.7</v>
      </c>
      <c r="AU6" s="20" t="s">
        <v>67</v>
      </c>
      <c r="AV6" s="19">
        <f t="shared" ref="AV6:AV14" si="19">ROUND(IF(AI6 &gt; 5, (AI6*2)-10, (-AJ6*2)+10), 2)</f>
        <v>-0.74</v>
      </c>
      <c r="AW6" s="21"/>
      <c r="AX6" s="22">
        <f ca="1">IFERROR(__xludf.DUMMYFUNCTION("QUERY(PoliticalData!AR$3:AR$55,""select AR where AR &gt; ""&amp;AR6&amp;"" order by AR limit 1"",0)"),-0.44)</f>
        <v>-0.44</v>
      </c>
      <c r="AY6" s="22">
        <f ca="1">IFERROR(__xludf.DUMMYFUNCTION("QUERY(PoliticalData!AR$3:AR$55,""select AR where AR &lt; ""&amp;AR6&amp;"" order by AR desc limit 1"",0)"),-2.53)</f>
        <v>-2.5299999999999998</v>
      </c>
      <c r="AZ6" s="23" t="str">
        <f ca="1">IFERROR(__xludf.DUMMYFUNCTION("IF((ABS(AR6-QUERY(PoliticalData!AR$3:AR$55,""select AR where AR &gt; ""&amp;AR6&amp;"" order by AR limit 1"",0))) &gt; ABS(AR6-QUERY(PoliticalData!AR$3:AR$55,""select AR where AR &lt; ""&amp;AR6&amp;"" order by AR desc limit 1"",0)), QUERY(PoliticalData!AQ$3:AR$55,""select AQ whe"&amp;"re AR = ""&amp;AY6&amp;"""",0), QUERY(PoliticalData!AQ$3:AR$55,""select AQ where AR = ""&amp;AX6&amp;"""",0))"),"greg.schneider@tcstudents.org")</f>
        <v>greg.schneider@tcstudents.org</v>
      </c>
      <c r="BA6" s="24">
        <f ca="1">IFERROR(__xludf.DUMMYFUNCTION("QUERY(PoliticalData!AT$3:AT$34,""select AT where AT &gt; ""&amp;AT6&amp;"" order by AT limit 1"",0)"),-0.5)</f>
        <v>-0.5</v>
      </c>
      <c r="BB6" s="24">
        <f ca="1">IFERROR(__xludf.DUMMYFUNCTION("QUERY(PoliticalData!AT$3:AT$50,""select AT where AT &lt; ""&amp;AT6&amp;"" order by AT desc limit 1"",0)"),-1.39)</f>
        <v>-1.39</v>
      </c>
      <c r="BC6" s="25" t="str">
        <f ca="1">IFERROR(__xludf.DUMMYFUNCTION("IF((ABS(AT6-QUERY(PoliticalData!AT$3:AT$55,""select AT where AT &gt; ""&amp;AT6&amp;"" order by AT limit 1"",0))) &gt; ABS(AT6-QUERY(PoliticalData!AT$3:AT$55,""select AT where AT &lt; ""&amp;AT6&amp;"" order by AT desc limit 1"",0)), QUERY(PoliticalData!AS$3:AT$55,""select AS whe"&amp;"re AT = ""&amp;BB6&amp;"""",0), QUERY(PoliticalData!AS$3:AT$55,""select AS where AT = ""&amp;BA6&amp;"""",0))"),"dylan.yagod-ramm@tcstudents.org")</f>
        <v>dylan.yagod-ramm@tcstudents.org</v>
      </c>
      <c r="BD6" s="24">
        <f ca="1">IFERROR(__xludf.DUMMYFUNCTION("QUERY(PoliticalData!AV$3:AV$34,""select AV where AV &gt; ""&amp;AV6&amp;"" order by AV limit 1"",0)"),-0.53)</f>
        <v>-0.53</v>
      </c>
      <c r="BE6" s="24">
        <f ca="1">IFERROR(__xludf.DUMMYFUNCTION("QUERY(PoliticalData!AV$3:AV$50,""select AV where AV &lt; ""&amp;AV6&amp;"" order by AV desc limit 1"",0)"),-0.84)</f>
        <v>-0.84</v>
      </c>
      <c r="BF6" s="26" t="str">
        <f ca="1">IFERROR(__xludf.DUMMYFUNCTION("IF((ABS(AV6-QUERY(PoliticalData!AV$3:AV$55,""select AV where AV &gt; ""&amp;AV6&amp;"" order by AV limit 1"",0))) &gt; ABS(AV6-QUERY(PoliticalData!AV$3:AV$55,""select AV where AV &lt; ""&amp;AV6&amp;"" order by AV desc limit 1"",0)), QUERY(PoliticalData!AU$3:AV$55,""select AU whe"&amp;"re AV = ""&amp;BE6&amp;"""",0), QUERY(PoliticalData!AU$3:AV$55,""select AU where AV = ""&amp;BD6&amp;"""",0))"),"dylan.yagod-ramm@tcstudents.org")</f>
        <v>dylan.yagod-ramm@tcstudents.org</v>
      </c>
      <c r="BG6" s="19">
        <f>AVERAGE(AT3:AT77)</f>
        <v>1.5096875000000001</v>
      </c>
      <c r="BH6" s="24" t="e">
        <f t="shared" ca="1" si="14"/>
        <v>#NAME?</v>
      </c>
      <c r="BI6" s="19" t="str">
        <f t="shared" si="15"/>
        <v>No</v>
      </c>
      <c r="BJ6" s="19" t="str">
        <f t="shared" si="16"/>
        <v>No</v>
      </c>
      <c r="BK6" s="19" t="str">
        <f t="shared" si="17"/>
        <v>No</v>
      </c>
      <c r="BL6" s="19" t="str">
        <f t="shared" si="18"/>
        <v>No</v>
      </c>
      <c r="BM6" s="28"/>
    </row>
    <row r="7" spans="1:65" ht="15.75" customHeight="1" x14ac:dyDescent="0.35">
      <c r="A7" s="10">
        <v>44250.840858993055</v>
      </c>
      <c r="B7" s="11">
        <v>4</v>
      </c>
      <c r="C7" s="11">
        <v>3</v>
      </c>
      <c r="D7" s="11">
        <v>1</v>
      </c>
      <c r="E7" s="11">
        <v>2</v>
      </c>
      <c r="F7" s="11">
        <v>1</v>
      </c>
      <c r="G7" s="11">
        <v>3</v>
      </c>
      <c r="H7" s="11">
        <v>3</v>
      </c>
      <c r="I7" s="11">
        <v>0</v>
      </c>
      <c r="J7" s="11">
        <v>3</v>
      </c>
      <c r="K7" s="11">
        <v>4</v>
      </c>
      <c r="L7" s="11">
        <v>0</v>
      </c>
      <c r="M7" s="11">
        <v>9</v>
      </c>
      <c r="N7" s="11">
        <v>6</v>
      </c>
      <c r="O7" s="11">
        <v>1</v>
      </c>
      <c r="P7" s="11">
        <v>7</v>
      </c>
      <c r="Q7" s="11">
        <v>7</v>
      </c>
      <c r="R7" s="11">
        <v>2</v>
      </c>
      <c r="S7" s="11">
        <v>3</v>
      </c>
      <c r="T7" s="11">
        <v>3</v>
      </c>
      <c r="U7" s="11">
        <v>7</v>
      </c>
      <c r="V7" s="11">
        <v>6</v>
      </c>
      <c r="W7" s="11">
        <v>2</v>
      </c>
      <c r="X7" s="11">
        <v>4</v>
      </c>
      <c r="Y7" s="11">
        <v>2</v>
      </c>
      <c r="Z7" s="11">
        <v>8</v>
      </c>
      <c r="AA7" s="11">
        <v>2</v>
      </c>
      <c r="AB7" s="11">
        <v>2</v>
      </c>
      <c r="AC7" s="11">
        <v>1</v>
      </c>
      <c r="AD7" s="12"/>
      <c r="AE7" s="13">
        <f t="shared" si="0"/>
        <v>2.736842105263158</v>
      </c>
      <c r="AF7" s="14">
        <f t="shared" si="1"/>
        <v>7.2631578947368425</v>
      </c>
      <c r="AG7" s="14">
        <f t="shared" si="2"/>
        <v>3.45</v>
      </c>
      <c r="AH7" s="14">
        <f t="shared" si="3"/>
        <v>6.55</v>
      </c>
      <c r="AI7" s="14">
        <f t="shared" si="4"/>
        <v>3.4736842105263159</v>
      </c>
      <c r="AJ7" s="14">
        <f t="shared" si="5"/>
        <v>6.5263157894736841</v>
      </c>
      <c r="AK7" s="15" t="str">
        <f t="shared" si="6"/>
        <v>Liberal:</v>
      </c>
      <c r="AL7" s="16">
        <f t="shared" si="7"/>
        <v>7.2631578947368425</v>
      </c>
      <c r="AM7" s="17" t="str">
        <f t="shared" si="8"/>
        <v>Liberal:</v>
      </c>
      <c r="AN7" s="16">
        <f t="shared" si="9"/>
        <v>6.55</v>
      </c>
      <c r="AO7" s="17" t="str">
        <f t="shared" si="10"/>
        <v>Authoritarian:</v>
      </c>
      <c r="AP7" s="16">
        <f t="shared" si="11"/>
        <v>6.5263157894736841</v>
      </c>
      <c r="AQ7" s="18" t="s">
        <v>68</v>
      </c>
      <c r="AR7" s="19">
        <f t="shared" si="12"/>
        <v>-4.53</v>
      </c>
      <c r="AS7" s="20" t="s">
        <v>68</v>
      </c>
      <c r="AT7" s="19">
        <f t="shared" si="13"/>
        <v>-3.1</v>
      </c>
      <c r="AU7" s="20" t="s">
        <v>68</v>
      </c>
      <c r="AV7" s="19">
        <f t="shared" si="19"/>
        <v>-3.05</v>
      </c>
      <c r="AW7" s="21"/>
      <c r="AX7" s="22">
        <f ca="1">IFERROR(__xludf.DUMMYFUNCTION("QUERY(PoliticalData!AR$3:AR$55,""select AR where AR &gt; ""&amp;AR7&amp;"" order by AR limit 1"",0)"),-4.51)</f>
        <v>-4.51</v>
      </c>
      <c r="AY7" s="22">
        <f ca="1">IFERROR(__xludf.DUMMYFUNCTION("QUERY(PoliticalData!AR$3:AR$55,""select AR where AR &lt; ""&amp;AR7&amp;"" order by AR desc limit 1"",0)"),-4.72)</f>
        <v>-4.72</v>
      </c>
      <c r="AZ7" s="23" t="str">
        <f ca="1">IFERROR(__xludf.DUMMYFUNCTION("IF((ABS(AR7-QUERY(PoliticalData!AR$3:AR$55,""select AR where AR &gt; ""&amp;AR7&amp;"" order by AR limit 1"",0))) &gt; ABS(AR7-QUERY(PoliticalData!AR$3:AR$55,""select AR where AR &lt; ""&amp;AR7&amp;"" order by AR desc limit 1"",0)), QUERY(PoliticalData!AQ$3:AR$55,""select AQ whe"&amp;"re AR = ""&amp;AY7&amp;"""",0), QUERY(PoliticalData!AQ$3:AR$55,""select AQ where AR = ""&amp;AX7&amp;"""",0))"),"zimri.prutschi@tcstudents.org")</f>
        <v>zimri.prutschi@tcstudents.org</v>
      </c>
      <c r="BA7" s="24">
        <f ca="1">IFERROR(__xludf.DUMMYFUNCTION("QUERY(PoliticalData!AT$3:AT$34,""select AT where AT &gt; ""&amp;AT7&amp;"" order by AT limit 1"",0)"),-2.3)</f>
        <v>-2.2999999999999998</v>
      </c>
      <c r="BB7" s="24">
        <f ca="1">IFERROR(__xludf.DUMMYFUNCTION("QUERY(PoliticalData!AT$3:AT$50,""select AT where AT &lt; ""&amp;AT7&amp;"" order by AT desc limit 1"",0)"),-3.2)</f>
        <v>-3.2</v>
      </c>
      <c r="BC7" s="25" t="str">
        <f ca="1">IFERROR(__xludf.DUMMYFUNCTION("IF((ABS(AT7-QUERY(PoliticalData!AT$3:AT$55,""select AT where AT &gt; ""&amp;AT7&amp;"" order by AT limit 1"",0))) &gt; ABS(AT7-QUERY(PoliticalData!AT$3:AT$55,""select AT where AT &lt; ""&amp;AT7&amp;"" order by AT desc limit 1"",0)), QUERY(PoliticalData!AS$3:AT$55,""select AS whe"&amp;"re AT = ""&amp;BB7&amp;"""",0), QUERY(PoliticalData!AS$3:AT$55,""select AS where AT = ""&amp;BA7&amp;"""",0))"),"nate.manis@tcstudents.org")</f>
        <v>nate.manis@tcstudents.org</v>
      </c>
      <c r="BD7" s="24">
        <f ca="1">IFERROR(__xludf.DUMMYFUNCTION("QUERY(PoliticalData!AV$3:AV$34,""select AV where AV &gt; ""&amp;AV7&amp;"" order by AV limit 1"",0)"),-3.04)</f>
        <v>-3.04</v>
      </c>
      <c r="BE7" s="24">
        <f ca="1">IFERROR(__xludf.DUMMYFUNCTION("QUERY(PoliticalData!AV$3:AV$50,""select AV where AV &lt; ""&amp;AV7&amp;"" order by AV desc limit 1"",0)"),-3.79)</f>
        <v>-3.79</v>
      </c>
      <c r="BF7" s="26" t="str">
        <f ca="1">IFERROR(__xludf.DUMMYFUNCTION("IF((ABS(AV7-QUERY(PoliticalData!AV$3:AV$55,""select AV where AV &gt; ""&amp;AV7&amp;"" order by AV limit 1"",0))) &gt; ABS(AV7-QUERY(PoliticalData!AV$3:AV$55,""select AV where AV &lt; ""&amp;AV7&amp;"" order by AV desc limit 1"",0)), QUERY(PoliticalData!AU$3:AV$55,""select AU whe"&amp;"re AV = ""&amp;BE7&amp;"""",0), QUERY(PoliticalData!AU$3:AV$55,""select AU where AV = ""&amp;BD7&amp;"""",0))"),"zimri.prutschi@tcstudents.org")</f>
        <v>zimri.prutschi@tcstudents.org</v>
      </c>
      <c r="BG7" s="27" t="s">
        <v>69</v>
      </c>
      <c r="BH7" s="24" t="e">
        <f t="shared" ca="1" si="14"/>
        <v>#NAME?</v>
      </c>
      <c r="BI7" s="19" t="str">
        <f t="shared" si="15"/>
        <v>No</v>
      </c>
      <c r="BJ7" s="19" t="str">
        <f t="shared" si="16"/>
        <v>Yes</v>
      </c>
      <c r="BK7" s="19" t="str">
        <f t="shared" si="17"/>
        <v>No</v>
      </c>
      <c r="BL7" s="19" t="str">
        <f t="shared" si="18"/>
        <v>No</v>
      </c>
      <c r="BM7" s="28"/>
    </row>
    <row r="8" spans="1:65" ht="15.75" customHeight="1" x14ac:dyDescent="0.35">
      <c r="A8" s="10">
        <v>44250.840997905092</v>
      </c>
      <c r="B8" s="11">
        <v>2</v>
      </c>
      <c r="C8" s="11">
        <v>7</v>
      </c>
      <c r="D8" s="11">
        <v>2</v>
      </c>
      <c r="E8" s="11">
        <v>1</v>
      </c>
      <c r="F8" s="11">
        <v>3</v>
      </c>
      <c r="G8" s="11">
        <v>6</v>
      </c>
      <c r="H8" s="11">
        <v>5</v>
      </c>
      <c r="I8" s="11">
        <v>0</v>
      </c>
      <c r="J8" s="11">
        <v>4</v>
      </c>
      <c r="K8" s="11">
        <v>8</v>
      </c>
      <c r="L8" s="11">
        <v>0</v>
      </c>
      <c r="M8" s="11">
        <v>7</v>
      </c>
      <c r="N8" s="11">
        <v>6</v>
      </c>
      <c r="O8" s="11">
        <v>8</v>
      </c>
      <c r="P8" s="11">
        <v>7</v>
      </c>
      <c r="Q8" s="11">
        <v>6</v>
      </c>
      <c r="R8" s="11">
        <v>1</v>
      </c>
      <c r="S8" s="11">
        <v>3</v>
      </c>
      <c r="T8" s="11">
        <v>3</v>
      </c>
      <c r="U8" s="11">
        <v>7</v>
      </c>
      <c r="V8" s="11">
        <v>8</v>
      </c>
      <c r="W8" s="11">
        <v>0</v>
      </c>
      <c r="X8" s="11">
        <v>3</v>
      </c>
      <c r="Y8" s="11">
        <v>3</v>
      </c>
      <c r="Z8" s="11">
        <v>3</v>
      </c>
      <c r="AA8" s="11">
        <v>2</v>
      </c>
      <c r="AB8" s="11">
        <v>1</v>
      </c>
      <c r="AC8" s="11">
        <v>0</v>
      </c>
      <c r="AD8" s="12"/>
      <c r="AE8" s="13">
        <f t="shared" si="0"/>
        <v>3.4736842105263159</v>
      </c>
      <c r="AF8" s="14">
        <f t="shared" si="1"/>
        <v>6.5263157894736841</v>
      </c>
      <c r="AG8" s="14">
        <f t="shared" si="2"/>
        <v>3.85</v>
      </c>
      <c r="AH8" s="14">
        <f t="shared" si="3"/>
        <v>6.15</v>
      </c>
      <c r="AI8" s="14">
        <f t="shared" si="4"/>
        <v>4.1052631578947372</v>
      </c>
      <c r="AJ8" s="14">
        <f t="shared" si="5"/>
        <v>5.8947368421052628</v>
      </c>
      <c r="AK8" s="15" t="str">
        <f t="shared" si="6"/>
        <v>Liberal:</v>
      </c>
      <c r="AL8" s="16">
        <f t="shared" si="7"/>
        <v>6.5263157894736841</v>
      </c>
      <c r="AM8" s="17" t="str">
        <f t="shared" si="8"/>
        <v>Liberal:</v>
      </c>
      <c r="AN8" s="16">
        <f t="shared" si="9"/>
        <v>6.15</v>
      </c>
      <c r="AO8" s="17" t="str">
        <f t="shared" si="10"/>
        <v>Authoritarian:</v>
      </c>
      <c r="AP8" s="16">
        <f t="shared" si="11"/>
        <v>5.8947368421052628</v>
      </c>
      <c r="AQ8" s="18" t="s">
        <v>70</v>
      </c>
      <c r="AR8" s="19">
        <f t="shared" si="12"/>
        <v>-3.05</v>
      </c>
      <c r="AS8" s="20" t="s">
        <v>70</v>
      </c>
      <c r="AT8" s="19">
        <f t="shared" si="13"/>
        <v>-2.2999999999999998</v>
      </c>
      <c r="AU8" s="20" t="s">
        <v>70</v>
      </c>
      <c r="AV8" s="19">
        <f t="shared" si="19"/>
        <v>-1.79</v>
      </c>
      <c r="AW8" s="21"/>
      <c r="AX8" s="22">
        <f ca="1">IFERROR(__xludf.DUMMYFUNCTION("QUERY(PoliticalData!AR$3:AR$55,""select AR where AR &gt; ""&amp;AR8&amp;"" order by AR limit 1"",0)"),-2.74)</f>
        <v>-2.74</v>
      </c>
      <c r="AY8" s="22">
        <f ca="1">IFERROR(__xludf.DUMMYFUNCTION("QUERY(PoliticalData!AR$3:AR$55,""select AR where AR &lt; ""&amp;AR8&amp;"" order by AR desc limit 1"",0)"),-3.16)</f>
        <v>-3.16</v>
      </c>
      <c r="AZ8" s="23" t="str">
        <f ca="1">IFERROR(__xludf.DUMMYFUNCTION("IF((ABS(AR8-QUERY(PoliticalData!AR$3:AR$55,""select AR where AR &gt; ""&amp;AR8&amp;"" order by AR limit 1"",0))) &gt; ABS(AR8-QUERY(PoliticalData!AR$3:AR$55,""select AR where AR &lt; ""&amp;AR8&amp;"" order by AR desc limit 1"",0)), QUERY(PoliticalData!AQ$3:AR$55,""select AQ whe"&amp;"re AR = ""&amp;AY8&amp;"""",0), QUERY(PoliticalData!AQ$3:AR$55,""select AQ where AR = ""&amp;AX8&amp;"""",0))"),"avi.tabibian@tcstudents.org")</f>
        <v>avi.tabibian@tcstudents.org</v>
      </c>
      <c r="BA8" s="24">
        <f ca="1">IFERROR(__xludf.DUMMYFUNCTION("QUERY(PoliticalData!AT$3:AT$34,""select AT where AT &gt; ""&amp;AT8&amp;"" order by AT limit 1"",0)"),-2.2)</f>
        <v>-2.2000000000000002</v>
      </c>
      <c r="BB8" s="24">
        <f ca="1">IFERROR(__xludf.DUMMYFUNCTION("QUERY(PoliticalData!AT$3:AT$50,""select AT where AT &lt; ""&amp;AT8&amp;"" order by AT desc limit 1"",0)"),-3.1)</f>
        <v>-3.1</v>
      </c>
      <c r="BC8" s="25" t="str">
        <f ca="1">IFERROR(__xludf.DUMMYFUNCTION("IF((ABS(AT8-QUERY(PoliticalData!AT$3:AT$55,""select AT where AT &gt; ""&amp;AT8&amp;"" order by AT limit 1"",0))) &gt; ABS(AT8-QUERY(PoliticalData!AT$3:AT$55,""select AT where AT &lt; ""&amp;AT8&amp;"" order by AT desc limit 1"",0)), QUERY(PoliticalData!AS$3:AT$55,""select AS whe"&amp;"re AT = ""&amp;BB8&amp;"""",0), QUERY(PoliticalData!AS$3:AT$55,""select AS where AT = ""&amp;BA8&amp;"""",0))"),"elnatan.kelman@tcstudents.org")</f>
        <v>elnatan.kelman@tcstudents.org</v>
      </c>
      <c r="BD8" s="24">
        <f ca="1">IFERROR(__xludf.DUMMYFUNCTION("QUERY(PoliticalData!AV$3:AV$34,""select AV where AV &gt; ""&amp;AV8&amp;"" order by AV limit 1"",0)"),-1.67)</f>
        <v>-1.67</v>
      </c>
      <c r="BE8" s="24">
        <f ca="1">IFERROR(__xludf.DUMMYFUNCTION("QUERY(PoliticalData!AV$3:AV$50,""select AV where AV &lt; ""&amp;AV8&amp;"" order by AV desc limit 1"",0)"),-1.88)</f>
        <v>-1.88</v>
      </c>
      <c r="BF8" s="26" t="str">
        <f ca="1">IFERROR(__xludf.DUMMYFUNCTION("IF((ABS(AV8-QUERY(PoliticalData!AV$3:AV$55,""select AV where AV &gt; ""&amp;AV8&amp;"" order by AV limit 1"",0))) &gt; ABS(AV8-QUERY(PoliticalData!AV$3:AV$55,""select AV where AV &lt; ""&amp;AV8&amp;"" order by AV desc limit 1"",0)), QUERY(PoliticalData!AU$3:AV$55,""select AU whe"&amp;"re AV = ""&amp;BE8&amp;"""",0), QUERY(PoliticalData!AU$3:AV$55,""select AU where AV = ""&amp;BD8&amp;"""",0))"),"noah.shaffir@tcstudents.org")</f>
        <v>noah.shaffir@tcstudents.org</v>
      </c>
      <c r="BG8" s="19">
        <f>AVERAGE(AV3:AV81)</f>
        <v>1.471875</v>
      </c>
      <c r="BH8" s="24" t="e">
        <f t="shared" ca="1" si="14"/>
        <v>#NAME?</v>
      </c>
      <c r="BI8" s="19" t="str">
        <f t="shared" si="15"/>
        <v>No</v>
      </c>
      <c r="BJ8" s="19" t="str">
        <f t="shared" si="16"/>
        <v>Yes</v>
      </c>
      <c r="BK8" s="19" t="str">
        <f t="shared" si="17"/>
        <v>No</v>
      </c>
      <c r="BL8" s="19" t="str">
        <f t="shared" si="18"/>
        <v>No</v>
      </c>
      <c r="BM8" s="28"/>
    </row>
    <row r="9" spans="1:65" ht="15.75" customHeight="1" x14ac:dyDescent="0.35">
      <c r="A9" s="10">
        <v>44250.841887337963</v>
      </c>
      <c r="B9" s="11">
        <v>7</v>
      </c>
      <c r="C9" s="11">
        <v>6</v>
      </c>
      <c r="D9" s="11">
        <v>4</v>
      </c>
      <c r="E9" s="11">
        <v>7</v>
      </c>
      <c r="F9" s="11">
        <v>2</v>
      </c>
      <c r="G9" s="11">
        <v>7</v>
      </c>
      <c r="H9" s="11">
        <v>7</v>
      </c>
      <c r="I9" s="11">
        <v>3</v>
      </c>
      <c r="J9" s="11">
        <v>7</v>
      </c>
      <c r="K9" s="11">
        <v>10</v>
      </c>
      <c r="L9" s="11">
        <v>0</v>
      </c>
      <c r="M9" s="11">
        <v>9</v>
      </c>
      <c r="N9" s="11">
        <v>5</v>
      </c>
      <c r="O9" s="11">
        <v>3</v>
      </c>
      <c r="P9" s="11">
        <v>5</v>
      </c>
      <c r="Q9" s="11">
        <v>4</v>
      </c>
      <c r="R9" s="11">
        <v>5</v>
      </c>
      <c r="S9" s="11">
        <v>4</v>
      </c>
      <c r="T9" s="11">
        <v>8</v>
      </c>
      <c r="U9" s="11">
        <v>10</v>
      </c>
      <c r="V9" s="11">
        <v>10</v>
      </c>
      <c r="W9" s="11">
        <v>0</v>
      </c>
      <c r="X9" s="11">
        <v>4</v>
      </c>
      <c r="Y9" s="11">
        <v>7</v>
      </c>
      <c r="Z9" s="11">
        <v>10</v>
      </c>
      <c r="AA9" s="11">
        <v>7</v>
      </c>
      <c r="AB9" s="11">
        <v>8</v>
      </c>
      <c r="AC9" s="11">
        <v>0</v>
      </c>
      <c r="AD9" s="12"/>
      <c r="AE9" s="13">
        <f t="shared" si="0"/>
        <v>5.7894736842105265</v>
      </c>
      <c r="AF9" s="14">
        <f t="shared" si="1"/>
        <v>4.2105263157894735</v>
      </c>
      <c r="AG9" s="14">
        <f t="shared" si="2"/>
        <v>5.9</v>
      </c>
      <c r="AH9" s="14">
        <f t="shared" si="3"/>
        <v>4.0999999999999996</v>
      </c>
      <c r="AI9" s="14">
        <f t="shared" si="4"/>
        <v>5.6315789473684212</v>
      </c>
      <c r="AJ9" s="14">
        <f t="shared" si="5"/>
        <v>4.3684210526315788</v>
      </c>
      <c r="AK9" s="15" t="str">
        <f t="shared" si="6"/>
        <v>Conservative:</v>
      </c>
      <c r="AL9" s="16">
        <f t="shared" si="7"/>
        <v>5.7894736842105265</v>
      </c>
      <c r="AM9" s="17" t="str">
        <f t="shared" si="8"/>
        <v>Conservative:</v>
      </c>
      <c r="AN9" s="16">
        <f t="shared" si="9"/>
        <v>5.9</v>
      </c>
      <c r="AO9" s="17" t="str">
        <f t="shared" si="10"/>
        <v>Libertarian:</v>
      </c>
      <c r="AP9" s="16">
        <f t="shared" si="11"/>
        <v>5.6315789473684212</v>
      </c>
      <c r="AQ9" s="18" t="s">
        <v>71</v>
      </c>
      <c r="AR9" s="19">
        <f t="shared" si="12"/>
        <v>1.58</v>
      </c>
      <c r="AS9" s="20" t="s">
        <v>71</v>
      </c>
      <c r="AT9" s="19">
        <f t="shared" si="13"/>
        <v>1.8</v>
      </c>
      <c r="AU9" s="20" t="s">
        <v>71</v>
      </c>
      <c r="AV9" s="19">
        <f t="shared" si="19"/>
        <v>1.26</v>
      </c>
      <c r="AW9" s="21"/>
      <c r="AX9" s="22">
        <f ca="1">IFERROR(__xludf.DUMMYFUNCTION("QUERY(PoliticalData!AR$3:AR$55,""select AR where AR &gt; ""&amp;AR9&amp;"" order by AR limit 1"",0)"),1.89)</f>
        <v>1.89</v>
      </c>
      <c r="AY9" s="22">
        <f ca="1">IFERROR(__xludf.DUMMYFUNCTION("QUERY(PoliticalData!AR$3:AR$55,""select AR where AR &lt; ""&amp;AR9&amp;"" order by AR desc limit 1"",0)"),1.47)</f>
        <v>1.47</v>
      </c>
      <c r="AZ9" s="23" t="str">
        <f ca="1">IFERROR(__xludf.DUMMYFUNCTION("IF((ABS(AR9-QUERY(PoliticalData!AR$3:AR$55,""select AR where AR &gt; ""&amp;AR9&amp;"" order by AR limit 1"",0))) &gt; ABS(AR9-QUERY(PoliticalData!AR$3:AR$55,""select AR where AR &lt; ""&amp;AR9&amp;"" order by AR desc limit 1"",0)), QUERY(PoliticalData!AQ$3:AR$55,""select AQ whe"&amp;"re AR = ""&amp;AY9&amp;"""",0), QUERY(PoliticalData!AQ$3:AR$55,""select AQ where AR = ""&amp;AX9&amp;"""",0))"),"jonathan.kagal@tcstudents.org")</f>
        <v>jonathan.kagal@tcstudents.org</v>
      </c>
      <c r="BA9" s="24">
        <f ca="1">IFERROR(__xludf.DUMMYFUNCTION("QUERY(PoliticalData!AT$3:AT$34,""select AT where AT &gt; ""&amp;AT9&amp;"" order by AT limit 1"",0)"),2.2)</f>
        <v>2.2000000000000002</v>
      </c>
      <c r="BB9" s="24">
        <f ca="1">IFERROR(__xludf.DUMMYFUNCTION("QUERY(PoliticalData!AT$3:AT$50,""select AT where AT &lt; ""&amp;AT9&amp;"" order by AT desc limit 1"",0)"),1.7)</f>
        <v>1.7</v>
      </c>
      <c r="BC9" s="25" t="str">
        <f ca="1">IFERROR(__xludf.DUMMYFUNCTION("IF((ABS(AT9-QUERY(PoliticalData!AT$3:AT$55,""select AT where AT &gt; ""&amp;AT9&amp;"" order by AT limit 1"",0))) &gt; ABS(AT9-QUERY(PoliticalData!AT$3:AT$55,""select AT where AT &lt; ""&amp;AT9&amp;"" order by AT desc limit 1"",0)), QUERY(PoliticalData!AS$3:AT$55,""select AS whe"&amp;"re AT = ""&amp;BB9&amp;"""",0), QUERY(PoliticalData!AS$3:AT$55,""select AS where AT = ""&amp;BA9&amp;"""",0))"),"noah.goldschmied@tcstudents.org")</f>
        <v>noah.goldschmied@tcstudents.org</v>
      </c>
      <c r="BD9" s="24">
        <f ca="1">IFERROR(__xludf.DUMMYFUNCTION("QUERY(PoliticalData!AV$3:AV$34,""select AV where AV &gt; ""&amp;AV9&amp;"" order by AV limit 1"",0)"),1.89)</f>
        <v>1.89</v>
      </c>
      <c r="BE9" s="24">
        <f ca="1">IFERROR(__xludf.DUMMYFUNCTION("QUERY(PoliticalData!AV$3:AV$50,""select AV where AV &lt; ""&amp;AV9&amp;"" order by AV desc limit 1"",0)"),1.25)</f>
        <v>1.25</v>
      </c>
      <c r="BF9" s="26" t="str">
        <f ca="1">IFERROR(__xludf.DUMMYFUNCTION("IF((ABS(AV9-QUERY(PoliticalData!AV$3:AV$55,""select AV where AV &gt; ""&amp;AV9&amp;"" order by AV limit 1"",0))) &gt; ABS(AV9-QUERY(PoliticalData!AV$3:AV$55,""select AV where AV &lt; ""&amp;AV9&amp;"" order by AV desc limit 1"",0)), QUERY(PoliticalData!AU$3:AV$55,""select AU whe"&amp;"re AV = ""&amp;BE9&amp;"""",0), QUERY(PoliticalData!AU$3:AV$55,""select AU where AV = ""&amp;BD9&amp;"""",0))"),"noah.goldschmied@tcstudents.org")</f>
        <v>noah.goldschmied@tcstudents.org</v>
      </c>
      <c r="BG9" s="27" t="s">
        <v>72</v>
      </c>
      <c r="BH9" s="24" t="e">
        <f t="shared" ca="1" si="14"/>
        <v>#NAME?</v>
      </c>
      <c r="BI9" s="19" t="str">
        <f t="shared" si="15"/>
        <v>No</v>
      </c>
      <c r="BJ9" s="19" t="str">
        <f t="shared" si="16"/>
        <v>No</v>
      </c>
      <c r="BK9" s="19" t="str">
        <f t="shared" si="17"/>
        <v>No</v>
      </c>
      <c r="BL9" s="19" t="str">
        <f t="shared" si="18"/>
        <v>No</v>
      </c>
      <c r="BM9" s="28"/>
    </row>
    <row r="10" spans="1:65" ht="15.75" customHeight="1" x14ac:dyDescent="0.35">
      <c r="A10" s="10">
        <v>44250.843479085648</v>
      </c>
      <c r="B10" s="11">
        <v>5</v>
      </c>
      <c r="C10" s="11">
        <v>3</v>
      </c>
      <c r="D10" s="11">
        <v>3</v>
      </c>
      <c r="E10" s="11">
        <v>4</v>
      </c>
      <c r="F10" s="11">
        <v>3</v>
      </c>
      <c r="G10" s="11">
        <v>5</v>
      </c>
      <c r="H10" s="11">
        <v>2</v>
      </c>
      <c r="I10" s="11">
        <v>0</v>
      </c>
      <c r="J10" s="11">
        <v>3</v>
      </c>
      <c r="K10" s="11">
        <v>5</v>
      </c>
      <c r="L10" s="11">
        <v>2</v>
      </c>
      <c r="M10" s="11">
        <v>6</v>
      </c>
      <c r="N10" s="11">
        <v>8</v>
      </c>
      <c r="O10" s="11">
        <v>3</v>
      </c>
      <c r="P10" s="11">
        <v>7</v>
      </c>
      <c r="Q10" s="11">
        <v>8</v>
      </c>
      <c r="R10" s="11">
        <v>3</v>
      </c>
      <c r="S10" s="11">
        <v>8</v>
      </c>
      <c r="T10" s="11">
        <v>3</v>
      </c>
      <c r="U10" s="11">
        <v>9</v>
      </c>
      <c r="V10" s="11">
        <v>8</v>
      </c>
      <c r="W10" s="11">
        <v>6</v>
      </c>
      <c r="X10" s="11">
        <v>4</v>
      </c>
      <c r="Y10" s="11">
        <v>2</v>
      </c>
      <c r="Z10" s="11">
        <v>3</v>
      </c>
      <c r="AA10" s="11">
        <v>7</v>
      </c>
      <c r="AB10" s="11">
        <v>2</v>
      </c>
      <c r="AC10" s="11">
        <v>0</v>
      </c>
      <c r="AD10" s="12"/>
      <c r="AE10" s="13">
        <f t="shared" si="0"/>
        <v>3.736842105263158</v>
      </c>
      <c r="AF10" s="14">
        <f t="shared" si="1"/>
        <v>6.2631578947368425</v>
      </c>
      <c r="AG10" s="14">
        <f t="shared" si="2"/>
        <v>4.75</v>
      </c>
      <c r="AH10" s="14">
        <f t="shared" si="3"/>
        <v>5.25</v>
      </c>
      <c r="AI10" s="14">
        <f t="shared" si="4"/>
        <v>4.5789473684210522</v>
      </c>
      <c r="AJ10" s="14">
        <f t="shared" si="5"/>
        <v>5.4210526315789478</v>
      </c>
      <c r="AK10" s="15" t="str">
        <f t="shared" si="6"/>
        <v>Liberal:</v>
      </c>
      <c r="AL10" s="16">
        <f t="shared" si="7"/>
        <v>6.2631578947368425</v>
      </c>
      <c r="AM10" s="17" t="str">
        <f t="shared" si="8"/>
        <v>Liberal:</v>
      </c>
      <c r="AN10" s="16">
        <f t="shared" si="9"/>
        <v>5.25</v>
      </c>
      <c r="AO10" s="17" t="str">
        <f t="shared" si="10"/>
        <v>Authoritarian:</v>
      </c>
      <c r="AP10" s="16">
        <f t="shared" si="11"/>
        <v>5.4210526315789478</v>
      </c>
      <c r="AQ10" s="18" t="s">
        <v>73</v>
      </c>
      <c r="AR10" s="19">
        <f t="shared" si="12"/>
        <v>-2.5299999999999998</v>
      </c>
      <c r="AS10" s="20" t="s">
        <v>73</v>
      </c>
      <c r="AT10" s="19">
        <f t="shared" si="13"/>
        <v>-0.5</v>
      </c>
      <c r="AU10" s="20" t="s">
        <v>73</v>
      </c>
      <c r="AV10" s="19">
        <f t="shared" si="19"/>
        <v>-0.84</v>
      </c>
      <c r="AW10" s="21"/>
      <c r="AX10" s="22">
        <f ca="1">IFERROR(__xludf.DUMMYFUNCTION("QUERY(PoliticalData!AR$3:AR$55,""select AR where AR &gt; ""&amp;AR10&amp;"" order by AR limit 1"",0)"),-1.47)</f>
        <v>-1.47</v>
      </c>
      <c r="AY10" s="22">
        <f ca="1">IFERROR(__xludf.DUMMYFUNCTION("QUERY(PoliticalData!AR$3:AR$55,""select AR where AR &lt; ""&amp;AR10&amp;"" order by AR desc limit 1"",0)"),-2.74)</f>
        <v>-2.74</v>
      </c>
      <c r="AZ10" s="23" t="str">
        <f ca="1">IFERROR(__xludf.DUMMYFUNCTION("IF((ABS(AR10-QUERY(PoliticalData!AR$3:AR$55,""select AR where AR &gt; ""&amp;AR10&amp;"" order by AR limit 1"",0))) &gt; ABS(AR10-QUERY(PoliticalData!AR$3:AR$55,""select AR where AR &lt; ""&amp;AR10&amp;"" order by AR desc limit 1"",0)), QUERY(PoliticalData!AQ$3:AR$55,""select AQ"&amp;" where AR = ""&amp;AY10&amp;"""",0), QUERY(PoliticalData!AQ$3:AR$55,""select AQ where AR = ""&amp;AX10&amp;"""",0))"),"azaria.kelman@tcstudents.org")</f>
        <v>azaria.kelman@tcstudents.org</v>
      </c>
      <c r="BA10" s="24">
        <f ca="1">IFERROR(__xludf.DUMMYFUNCTION("QUERY(PoliticalData!AT$3:AT$34,""select AT where AT &gt; ""&amp;AT10&amp;"" order by AT limit 1"",0)"),1.26)</f>
        <v>1.26</v>
      </c>
      <c r="BB10" s="24">
        <f ca="1">IFERROR(__xludf.DUMMYFUNCTION("QUERY(PoliticalData!AT$3:AT$50,""select AT where AT &lt; ""&amp;AT10&amp;"" order by AT desc limit 1"",0)"),-0.7)</f>
        <v>-0.7</v>
      </c>
      <c r="BC10" s="25" t="str">
        <f ca="1">IFERROR(__xludf.DUMMYFUNCTION("IF((ABS(AT10-QUERY(PoliticalData!AT$3:AT$55,""select AT where AT &gt; ""&amp;AT10&amp;"" order by AT limit 1"",0))) &gt; ABS(AT10-QUERY(PoliticalData!AT$3:AT$55,""select AT where AT &lt; ""&amp;AT10&amp;"" order by AT desc limit 1"",0)), QUERY(PoliticalData!AS$3:AT$55,""select AS"&amp;" where AT = ""&amp;BB10&amp;"""",0), QUERY(PoliticalData!AS$3:AT$55,""select AS where AT = ""&amp;BA10&amp;"""",0))"),"tal.davis@tcstudents.org")</f>
        <v>tal.davis@tcstudents.org</v>
      </c>
      <c r="BD10" s="24">
        <f ca="1">IFERROR(__xludf.DUMMYFUNCTION("QUERY(PoliticalData!AV$3:AV$34,""select AV where AV &gt; ""&amp;AV10&amp;"" order by AV limit 1"",0)"),-0.74)</f>
        <v>-0.74</v>
      </c>
      <c r="BE10" s="24">
        <f ca="1">IFERROR(__xludf.DUMMYFUNCTION("QUERY(PoliticalData!AV$3:AV$50,""select AV where AV &lt; ""&amp;AV10&amp;"" order by AV desc limit 1"",0)"),-1.16)</f>
        <v>-1.1599999999999999</v>
      </c>
      <c r="BF10" s="26" t="str">
        <f ca="1">IFERROR(__xludf.DUMMYFUNCTION("IF((ABS(AV10-QUERY(PoliticalData!AV$3:AV$55,""select AV where AV &gt; ""&amp;AV10&amp;"" order by AV limit 1"",0))) &gt; ABS(AV10-QUERY(PoliticalData!AV$3:AV$55,""select AV where AV &lt; ""&amp;AV10&amp;"" order by AV desc limit 1"",0)), QUERY(PoliticalData!AU$3:AV$55,""select AU"&amp;" where AV = ""&amp;BE10&amp;"""",0), QUERY(PoliticalData!AU$3:AV$55,""select AU where AV = ""&amp;BD10&amp;"""",0))"),"tal.davis@tcstudents.org")</f>
        <v>tal.davis@tcstudents.org</v>
      </c>
      <c r="BG10" s="19">
        <f>AVERAGE(AR3:AT79)</f>
        <v>1.1762500000000002</v>
      </c>
      <c r="BH10" s="24" t="e">
        <f t="shared" ca="1" si="14"/>
        <v>#NAME?</v>
      </c>
      <c r="BI10" s="19" t="str">
        <f t="shared" si="15"/>
        <v>No</v>
      </c>
      <c r="BJ10" s="19" t="str">
        <f t="shared" si="16"/>
        <v>Yes</v>
      </c>
      <c r="BK10" s="19" t="str">
        <f t="shared" si="17"/>
        <v>No</v>
      </c>
      <c r="BL10" s="19" t="str">
        <f t="shared" si="18"/>
        <v>No</v>
      </c>
      <c r="BM10" s="28"/>
    </row>
    <row r="11" spans="1:65" ht="15.75" customHeight="1" x14ac:dyDescent="0.35">
      <c r="A11" s="10">
        <v>44250.843718807868</v>
      </c>
      <c r="B11" s="11">
        <v>4</v>
      </c>
      <c r="C11" s="11">
        <v>5</v>
      </c>
      <c r="D11" s="11">
        <v>2</v>
      </c>
      <c r="E11" s="11">
        <v>1</v>
      </c>
      <c r="F11" s="11">
        <v>0</v>
      </c>
      <c r="G11" s="11">
        <v>8</v>
      </c>
      <c r="H11" s="11">
        <v>6</v>
      </c>
      <c r="I11" s="11">
        <v>0</v>
      </c>
      <c r="J11" s="11">
        <v>1</v>
      </c>
      <c r="K11" s="11">
        <v>7</v>
      </c>
      <c r="L11" s="11">
        <v>0</v>
      </c>
      <c r="M11" s="11">
        <v>9</v>
      </c>
      <c r="N11" s="11">
        <v>5</v>
      </c>
      <c r="O11" s="11">
        <v>1</v>
      </c>
      <c r="P11" s="11">
        <v>5</v>
      </c>
      <c r="Q11" s="11">
        <v>4</v>
      </c>
      <c r="R11" s="11">
        <v>5</v>
      </c>
      <c r="S11" s="11">
        <v>1</v>
      </c>
      <c r="T11" s="11">
        <v>3</v>
      </c>
      <c r="U11" s="11">
        <v>4</v>
      </c>
      <c r="V11" s="11">
        <v>5</v>
      </c>
      <c r="W11" s="11">
        <v>3</v>
      </c>
      <c r="X11" s="11">
        <v>3</v>
      </c>
      <c r="Y11" s="11">
        <v>4</v>
      </c>
      <c r="Z11" s="11">
        <v>5</v>
      </c>
      <c r="AA11" s="11">
        <v>5</v>
      </c>
      <c r="AB11" s="11">
        <v>2</v>
      </c>
      <c r="AC11" s="11">
        <v>0</v>
      </c>
      <c r="AD11" s="12"/>
      <c r="AE11" s="13">
        <f t="shared" si="0"/>
        <v>3.2105263157894739</v>
      </c>
      <c r="AF11" s="14">
        <f t="shared" si="1"/>
        <v>6.7894736842105257</v>
      </c>
      <c r="AG11" s="14">
        <f t="shared" si="2"/>
        <v>3.25</v>
      </c>
      <c r="AH11" s="14">
        <f t="shared" si="3"/>
        <v>6.75</v>
      </c>
      <c r="AI11" s="14">
        <f t="shared" si="4"/>
        <v>3.5789473684210527</v>
      </c>
      <c r="AJ11" s="14">
        <f t="shared" si="5"/>
        <v>6.4210526315789469</v>
      </c>
      <c r="AK11" s="15" t="str">
        <f t="shared" si="6"/>
        <v>Liberal:</v>
      </c>
      <c r="AL11" s="16">
        <f t="shared" si="7"/>
        <v>6.7894736842105257</v>
      </c>
      <c r="AM11" s="17" t="str">
        <f t="shared" si="8"/>
        <v>Liberal:</v>
      </c>
      <c r="AN11" s="16">
        <f t="shared" si="9"/>
        <v>6.75</v>
      </c>
      <c r="AO11" s="17" t="str">
        <f t="shared" si="10"/>
        <v>Authoritarian:</v>
      </c>
      <c r="AP11" s="16">
        <f t="shared" si="11"/>
        <v>6.4210526315789469</v>
      </c>
      <c r="AQ11" s="18" t="s">
        <v>74</v>
      </c>
      <c r="AR11" s="19">
        <f t="shared" si="12"/>
        <v>-3.58</v>
      </c>
      <c r="AS11" s="20" t="s">
        <v>74</v>
      </c>
      <c r="AT11" s="19">
        <f t="shared" si="13"/>
        <v>-3.5</v>
      </c>
      <c r="AU11" s="20" t="s">
        <v>74</v>
      </c>
      <c r="AV11" s="19">
        <f t="shared" si="19"/>
        <v>-2.84</v>
      </c>
      <c r="AW11" s="21"/>
      <c r="AX11" s="22">
        <f ca="1">IFERROR(__xludf.DUMMYFUNCTION("QUERY(PoliticalData!AR$3:AR$55,""select AR where AR &gt; ""&amp;AR11&amp;"" order by AR limit 1"",0)"),-3.16)</f>
        <v>-3.16</v>
      </c>
      <c r="AY11" s="22">
        <f ca="1">IFERROR(__xludf.DUMMYFUNCTION("QUERY(PoliticalData!AR$3:AR$55,""select AR where AR &lt; ""&amp;AR11&amp;"" order by AR desc limit 1"",0)"),-4.44)</f>
        <v>-4.4400000000000004</v>
      </c>
      <c r="AZ11" s="23" t="str">
        <f ca="1">IFERROR(__xludf.DUMMYFUNCTION("IF((ABS(AR11-QUERY(PoliticalData!AR$3:AR$55,""select AR where AR &gt; ""&amp;AR11&amp;"" order by AR limit 1"",0))) &gt; ABS(AR11-QUERY(PoliticalData!AR$3:AR$55,""select AR where AR &lt; ""&amp;AR11&amp;"" order by AR desc limit 1"",0)), QUERY(PoliticalData!AQ$3:AR$55,""select AQ"&amp;" where AR = ""&amp;AY11&amp;"""",0), QUERY(PoliticalData!AQ$3:AR$55,""select AQ where AR = ""&amp;AX11&amp;"""",0))"),"avi.tabibian@tcstudents.org")</f>
        <v>avi.tabibian@tcstudents.org</v>
      </c>
      <c r="BA11" s="24">
        <f ca="1">IFERROR(__xludf.DUMMYFUNCTION("QUERY(PoliticalData!AT$3:AT$34,""select AT where AT &gt; ""&amp;AT11&amp;"" order by AT limit 1"",0)"),-3.2)</f>
        <v>-3.2</v>
      </c>
      <c r="BB11" s="24">
        <f ca="1">IFERROR(__xludf.DUMMYFUNCTION("QUERY(PoliticalData!AT$3:AT$50,""select AT where AT &lt; ""&amp;AT11&amp;"" order by AT desc limit 1"",0)"),-3.9)</f>
        <v>-3.9</v>
      </c>
      <c r="BC11" s="25" t="str">
        <f ca="1">IFERROR(__xludf.DUMMYFUNCTION("IF((ABS(AT11-QUERY(PoliticalData!AT$3:AT$55,""select AT where AT &gt; ""&amp;AT11&amp;"" order by AT limit 1"",0))) &gt; ABS(AT11-QUERY(PoliticalData!AT$3:AT$55,""select AT where AT &lt; ""&amp;AT11&amp;"" order by AT desc limit 1"",0)), QUERY(PoliticalData!AS$3:AT$55,""select AS"&amp;" where AT = ""&amp;BB11&amp;"""",0), QUERY(PoliticalData!AS$3:AT$55,""select AS where AT = ""&amp;BA11&amp;"""",0))"),"nate.manis@tcstudents.org")</f>
        <v>nate.manis@tcstudents.org</v>
      </c>
      <c r="BD11" s="24">
        <f ca="1">IFERROR(__xludf.DUMMYFUNCTION("QUERY(PoliticalData!AV$3:AV$34,""select AV where AV &gt; ""&amp;AV11&amp;"" order by AV limit 1"",0)"),-1.89)</f>
        <v>-1.89</v>
      </c>
      <c r="BE11" s="24">
        <f ca="1">IFERROR(__xludf.DUMMYFUNCTION("QUERY(PoliticalData!AV$3:AV$50,""select AV where AV &lt; ""&amp;AV11&amp;"" order by AV desc limit 1"",0)"),-3.04)</f>
        <v>-3.04</v>
      </c>
      <c r="BF11" s="26" t="str">
        <f ca="1">IFERROR(__xludf.DUMMYFUNCTION("IF((ABS(AV11-QUERY(PoliticalData!AV$3:AV$55,""select AV where AV &gt; ""&amp;AV11&amp;"" order by AV limit 1"",0))) &gt; ABS(AV11-QUERY(PoliticalData!AV$3:AV$55,""select AV where AV &lt; ""&amp;AV11&amp;"" order by AV desc limit 1"",0)), QUERY(PoliticalData!AU$3:AV$55,""select AU"&amp;" where AV = ""&amp;BE11&amp;"""",0), QUERY(PoliticalData!AU$3:AV$55,""select AU where AV = ""&amp;BD11&amp;"""",0))"),"zimri.prutschi@tcstudents.org")</f>
        <v>zimri.prutschi@tcstudents.org</v>
      </c>
      <c r="BG11" s="29" t="s">
        <v>75</v>
      </c>
      <c r="BH11" s="24" t="e">
        <f t="shared" ca="1" si="14"/>
        <v>#NAME?</v>
      </c>
      <c r="BI11" s="19" t="str">
        <f t="shared" si="15"/>
        <v>No</v>
      </c>
      <c r="BJ11" s="19" t="str">
        <f t="shared" si="16"/>
        <v>Yes</v>
      </c>
      <c r="BK11" s="19" t="str">
        <f t="shared" si="17"/>
        <v>No</v>
      </c>
      <c r="BL11" s="19" t="str">
        <f t="shared" si="18"/>
        <v>No</v>
      </c>
      <c r="BM11" s="28"/>
    </row>
    <row r="12" spans="1:65" ht="15.75" customHeight="1" x14ac:dyDescent="0.35">
      <c r="A12" s="10">
        <v>44250.844515914352</v>
      </c>
      <c r="B12" s="11">
        <v>7</v>
      </c>
      <c r="C12" s="11">
        <v>6</v>
      </c>
      <c r="D12" s="11">
        <v>7</v>
      </c>
      <c r="E12" s="11">
        <v>4</v>
      </c>
      <c r="F12" s="11">
        <v>7</v>
      </c>
      <c r="G12" s="11">
        <v>9</v>
      </c>
      <c r="H12" s="11">
        <v>3</v>
      </c>
      <c r="I12" s="11">
        <v>1</v>
      </c>
      <c r="J12" s="11">
        <v>7</v>
      </c>
      <c r="K12" s="11">
        <v>5</v>
      </c>
      <c r="L12" s="11">
        <v>2</v>
      </c>
      <c r="M12" s="11">
        <v>4</v>
      </c>
      <c r="N12" s="11">
        <v>9</v>
      </c>
      <c r="O12" s="11">
        <v>3</v>
      </c>
      <c r="P12" s="11">
        <v>10</v>
      </c>
      <c r="Q12" s="11">
        <v>8</v>
      </c>
      <c r="R12" s="11">
        <v>1</v>
      </c>
      <c r="S12" s="11">
        <v>6</v>
      </c>
      <c r="T12" s="11">
        <v>9</v>
      </c>
      <c r="U12" s="11">
        <v>8</v>
      </c>
      <c r="V12" s="11">
        <v>10</v>
      </c>
      <c r="W12" s="11">
        <v>2</v>
      </c>
      <c r="X12" s="11">
        <v>5</v>
      </c>
      <c r="Y12" s="11">
        <v>6</v>
      </c>
      <c r="Z12" s="11">
        <v>9</v>
      </c>
      <c r="AA12" s="11">
        <v>7</v>
      </c>
      <c r="AB12" s="11">
        <v>6</v>
      </c>
      <c r="AC12" s="11">
        <v>0</v>
      </c>
      <c r="AD12" s="12"/>
      <c r="AE12" s="13">
        <f t="shared" si="0"/>
        <v>5.7368421052631575</v>
      </c>
      <c r="AF12" s="14">
        <f t="shared" si="1"/>
        <v>4.2631578947368425</v>
      </c>
      <c r="AG12" s="14">
        <f t="shared" si="2"/>
        <v>6.1</v>
      </c>
      <c r="AH12" s="14">
        <f t="shared" si="3"/>
        <v>3.9000000000000004</v>
      </c>
      <c r="AI12" s="14">
        <f t="shared" si="4"/>
        <v>5.9473684210526319</v>
      </c>
      <c r="AJ12" s="14">
        <f t="shared" si="5"/>
        <v>4.0526315789473681</v>
      </c>
      <c r="AK12" s="15" t="str">
        <f t="shared" si="6"/>
        <v>Conservative:</v>
      </c>
      <c r="AL12" s="16">
        <f t="shared" si="7"/>
        <v>5.7368421052631575</v>
      </c>
      <c r="AM12" s="17" t="str">
        <f t="shared" si="8"/>
        <v>Conservative:</v>
      </c>
      <c r="AN12" s="16">
        <f t="shared" si="9"/>
        <v>6.1</v>
      </c>
      <c r="AO12" s="17" t="str">
        <f t="shared" si="10"/>
        <v>Libertarian:</v>
      </c>
      <c r="AP12" s="16">
        <f t="shared" si="11"/>
        <v>5.9473684210526319</v>
      </c>
      <c r="AQ12" s="18" t="s">
        <v>76</v>
      </c>
      <c r="AR12" s="19">
        <f t="shared" si="12"/>
        <v>1.47</v>
      </c>
      <c r="AS12" s="20" t="s">
        <v>76</v>
      </c>
      <c r="AT12" s="19">
        <f t="shared" si="13"/>
        <v>2.2000000000000002</v>
      </c>
      <c r="AU12" s="20" t="s">
        <v>76</v>
      </c>
      <c r="AV12" s="19">
        <f t="shared" si="19"/>
        <v>1.89</v>
      </c>
      <c r="AW12" s="21"/>
      <c r="AX12" s="22">
        <f ca="1">IFERROR(__xludf.DUMMYFUNCTION("QUERY(PoliticalData!AR$3:AR$55,""select AR where AR &gt; ""&amp;AR12&amp;"" order by AR limit 1"",0)"),1.58)</f>
        <v>1.58</v>
      </c>
      <c r="AY12" s="22">
        <f ca="1">IFERROR(__xludf.DUMMYFUNCTION("QUERY(PoliticalData!AR$3:AR$55,""select AR where AR &lt; ""&amp;AR12&amp;"" order by AR desc limit 1"",0)"),0.84)</f>
        <v>0.84</v>
      </c>
      <c r="AZ12" s="23" t="str">
        <f ca="1">IFERROR(__xludf.DUMMYFUNCTION("IF((ABS(AR12-QUERY(PoliticalData!AR$3:AR$55,""select AR where AR &gt; ""&amp;AR12&amp;"" order by AR limit 1"",0))) &gt; ABS(AR12-QUERY(PoliticalData!AR$3:AR$55,""select AR where AR &lt; ""&amp;AR12&amp;"" order by AR desc limit 1"",0)), QUERY(PoliticalData!AQ$3:AR$55,""select AQ"&amp;" where AR = ""&amp;AY12&amp;"""",0), QUERY(PoliticalData!AQ$3:AR$55,""select AQ where AR = ""&amp;AX12&amp;"""",0))"),"kyle.goldenberg@tcstudents.org")</f>
        <v>kyle.goldenberg@tcstudents.org</v>
      </c>
      <c r="BA12" s="24">
        <f ca="1">IFERROR(__xludf.DUMMYFUNCTION("QUERY(PoliticalData!AT$3:AT$34,""select AT where AT &gt; ""&amp;AT12&amp;"" order by AT limit 1"",0)"),3.26)</f>
        <v>3.26</v>
      </c>
      <c r="BB12" s="24">
        <f ca="1">IFERROR(__xludf.DUMMYFUNCTION("QUERY(PoliticalData!AT$3:AT$50,""select AT where AT &lt; ""&amp;AT12&amp;"" order by AT desc limit 1"",0)"),1.8)</f>
        <v>1.8</v>
      </c>
      <c r="BC12" s="25" t="str">
        <f ca="1">IFERROR(__xludf.DUMMYFUNCTION("IF((ABS(AT12-QUERY(PoliticalData!AT$3:AT$55,""select AT where AT &gt; ""&amp;AT12&amp;"" order by AT limit 1"",0))) &gt; ABS(AT12-QUERY(PoliticalData!AT$3:AT$55,""select AT where AT &lt; ""&amp;AT12&amp;"" order by AT desc limit 1"",0)), QUERY(PoliticalData!AS$3:AT$55,""select AS"&amp;" where AT = ""&amp;BB12&amp;"""",0), QUERY(PoliticalData!AS$3:AT$55,""select AS where AT = ""&amp;BA12&amp;"""",0))"),"kyle.goldenberg@tcstudents.org")</f>
        <v>kyle.goldenberg@tcstudents.org</v>
      </c>
      <c r="BD12" s="24">
        <f ca="1">IFERROR(__xludf.DUMMYFUNCTION("QUERY(PoliticalData!AV$3:AV$34,""select AV where AV &gt; ""&amp;AV12&amp;"" order by AV limit 1"",0)"),2.2)</f>
        <v>2.2000000000000002</v>
      </c>
      <c r="BE12" s="24">
        <f ca="1">IFERROR(__xludf.DUMMYFUNCTION("QUERY(PoliticalData!AV$3:AV$50,""select AV where AV &lt; ""&amp;AV12&amp;"" order by AV desc limit 1"",0)"),1.26)</f>
        <v>1.26</v>
      </c>
      <c r="BF12" s="26" t="str">
        <f ca="1">IFERROR(__xludf.DUMMYFUNCTION("IF((ABS(AV12-QUERY(PoliticalData!AV$3:AV$55,""select AV where AV &gt; ""&amp;AV12&amp;"" order by AV limit 1"",0))) &gt; ABS(AV12-QUERY(PoliticalData!AV$3:AV$55,""select AV where AV &lt; ""&amp;AV12&amp;"" order by AV desc limit 1"",0)), QUERY(PoliticalData!AU$3:AV$55,""select AU"&amp;" where AV = ""&amp;BE12&amp;"""",0), QUERY(PoliticalData!AU$3:AV$55,""select AU where AV = ""&amp;BD12&amp;"""",0))"),"ori.epstien@tcstudents.org")</f>
        <v>ori.epstien@tcstudents.org</v>
      </c>
      <c r="BG12" s="30">
        <f ca="1">COUNTIF(BH3:BH79, "conservative")</f>
        <v>0</v>
      </c>
      <c r="BH12" s="24" t="e">
        <f t="shared" ca="1" si="14"/>
        <v>#NAME?</v>
      </c>
      <c r="BI12" s="19" t="str">
        <f t="shared" si="15"/>
        <v>No</v>
      </c>
      <c r="BJ12" s="19" t="str">
        <f t="shared" si="16"/>
        <v>No</v>
      </c>
      <c r="BK12" s="19" t="str">
        <f t="shared" si="17"/>
        <v>No</v>
      </c>
      <c r="BL12" s="19" t="str">
        <f t="shared" si="18"/>
        <v>No</v>
      </c>
      <c r="BM12" s="28"/>
    </row>
    <row r="13" spans="1:65" ht="15.75" customHeight="1" x14ac:dyDescent="0.35">
      <c r="A13" s="10">
        <v>44250.845771458335</v>
      </c>
      <c r="B13" s="11">
        <v>7</v>
      </c>
      <c r="C13" s="11">
        <v>3</v>
      </c>
      <c r="D13" s="31"/>
      <c r="E13" s="11">
        <v>6</v>
      </c>
      <c r="F13" s="11">
        <v>2</v>
      </c>
      <c r="G13" s="11">
        <v>3</v>
      </c>
      <c r="H13" s="11">
        <v>4</v>
      </c>
      <c r="I13" s="11">
        <v>6</v>
      </c>
      <c r="J13" s="11">
        <v>1</v>
      </c>
      <c r="K13" s="11">
        <v>9</v>
      </c>
      <c r="L13" s="11">
        <v>2</v>
      </c>
      <c r="M13" s="11">
        <v>2</v>
      </c>
      <c r="N13" s="11">
        <v>8</v>
      </c>
      <c r="O13" s="11">
        <v>4</v>
      </c>
      <c r="P13" s="11">
        <v>7</v>
      </c>
      <c r="Q13" s="11">
        <v>8</v>
      </c>
      <c r="R13" s="11">
        <v>5</v>
      </c>
      <c r="S13" s="11">
        <v>3</v>
      </c>
      <c r="T13" s="11">
        <v>7</v>
      </c>
      <c r="U13" s="11">
        <v>6</v>
      </c>
      <c r="V13" s="11">
        <v>6</v>
      </c>
      <c r="W13" s="11">
        <v>5</v>
      </c>
      <c r="X13" s="11">
        <v>4</v>
      </c>
      <c r="Y13" s="11">
        <v>6</v>
      </c>
      <c r="Z13" s="11">
        <v>5</v>
      </c>
      <c r="AA13" s="11">
        <v>4</v>
      </c>
      <c r="AB13" s="11">
        <v>8</v>
      </c>
      <c r="AC13" s="11">
        <v>1</v>
      </c>
      <c r="AD13" s="12"/>
      <c r="AE13" s="13">
        <f t="shared" si="0"/>
        <v>4.7777777777777777</v>
      </c>
      <c r="AF13" s="14">
        <f t="shared" si="1"/>
        <v>5.2222222222222223</v>
      </c>
      <c r="AG13" s="14">
        <f t="shared" si="2"/>
        <v>5.6315789473684212</v>
      </c>
      <c r="AH13" s="14">
        <f t="shared" si="3"/>
        <v>4.3684210526315788</v>
      </c>
      <c r="AI13" s="14">
        <f t="shared" si="4"/>
        <v>4.7368421052631575</v>
      </c>
      <c r="AJ13" s="14">
        <f t="shared" si="5"/>
        <v>5.2631578947368425</v>
      </c>
      <c r="AK13" s="15" t="str">
        <f t="shared" si="6"/>
        <v>Liberal:</v>
      </c>
      <c r="AL13" s="16">
        <f t="shared" si="7"/>
        <v>5.2222222222222223</v>
      </c>
      <c r="AM13" s="17" t="str">
        <f t="shared" si="8"/>
        <v>Conservative:</v>
      </c>
      <c r="AN13" s="16">
        <f t="shared" si="9"/>
        <v>5.6315789473684212</v>
      </c>
      <c r="AO13" s="17" t="str">
        <f t="shared" si="10"/>
        <v>Authoritarian:</v>
      </c>
      <c r="AP13" s="16">
        <f t="shared" si="11"/>
        <v>5.2631578947368425</v>
      </c>
      <c r="AQ13" s="18" t="s">
        <v>77</v>
      </c>
      <c r="AR13" s="19">
        <f t="shared" si="12"/>
        <v>-0.44</v>
      </c>
      <c r="AS13" s="20" t="s">
        <v>77</v>
      </c>
      <c r="AT13" s="19">
        <f t="shared" si="13"/>
        <v>1.26</v>
      </c>
      <c r="AU13" s="20" t="s">
        <v>77</v>
      </c>
      <c r="AV13" s="19">
        <f t="shared" si="19"/>
        <v>-0.53</v>
      </c>
      <c r="AW13" s="21"/>
      <c r="AX13" s="22">
        <f ca="1">IFERROR(__xludf.DUMMYFUNCTION("QUERY(PoliticalData!AR$3:AR$55,""select AR where AR &gt; ""&amp;AR13&amp;"" order by AR limit 1"",0)"),-0.21)</f>
        <v>-0.21</v>
      </c>
      <c r="AY13" s="22">
        <f ca="1">IFERROR(__xludf.DUMMYFUNCTION("QUERY(PoliticalData!AR$3:AR$55,""select AR where AR &lt; ""&amp;AR13&amp;"" order by AR desc limit 1"",0)"),-1.47)</f>
        <v>-1.47</v>
      </c>
      <c r="AZ13" s="23" t="str">
        <f ca="1">IFERROR(__xludf.DUMMYFUNCTION("IF((ABS(AR13-QUERY(PoliticalData!AR$3:AR$55,""select AR where AR &gt; ""&amp;AR13&amp;"" order by AR limit 1"",0))) &gt; ABS(AR13-QUERY(PoliticalData!AR$3:AR$55,""select AR where AR &lt; ""&amp;AR13&amp;"" order by AR desc limit 1"",0)), QUERY(PoliticalData!AQ$3:AR$55,""select AQ"&amp;" where AR = ""&amp;AY13&amp;"""",0), QUERY(PoliticalData!AQ$3:AR$55,""select AQ where AR = ""&amp;AX13&amp;"""",0))"),"jonah.mammon@tcstudents.org")</f>
        <v>jonah.mammon@tcstudents.org</v>
      </c>
      <c r="BA13" s="24">
        <f ca="1">IFERROR(__xludf.DUMMYFUNCTION("QUERY(PoliticalData!AT$3:AT$34,""select AT where AT &gt; ""&amp;AT13&amp;"" order by AT limit 1"",0)"),1.4)</f>
        <v>1.4</v>
      </c>
      <c r="BB13" s="24">
        <f ca="1">IFERROR(__xludf.DUMMYFUNCTION("QUERY(PoliticalData!AT$3:AT$50,""select AT where AT &lt; ""&amp;AT13&amp;"" order by AT desc limit 1"",0)"),-0.5)</f>
        <v>-0.5</v>
      </c>
      <c r="BC13" s="25" t="str">
        <f ca="1">IFERROR(__xludf.DUMMYFUNCTION("IF((ABS(AT13-QUERY(PoliticalData!AT$3:AT$55,""select AT where AT &gt; ""&amp;AT13&amp;"" order by AT limit 1"",0))) &gt; ABS(AT13-QUERY(PoliticalData!AT$3:AT$55,""select AT where AT &lt; ""&amp;AT13&amp;"" order by AT desc limit 1"",0)), QUERY(PoliticalData!AS$3:AT$55,""select AS"&amp;" where AT = ""&amp;BB13&amp;"""",0), QUERY(PoliticalData!AS$3:AT$55,""select AS where AT = ""&amp;BA13&amp;"""",0))"),"jonah.mammon@tcstudents.org")</f>
        <v>jonah.mammon@tcstudents.org</v>
      </c>
      <c r="BD13" s="24">
        <f ca="1">IFERROR(__xludf.DUMMYFUNCTION("QUERY(PoliticalData!AV$3:AV$34,""select AV where AV &gt; ""&amp;AV13&amp;"" order by AV limit 1"",0)"),0.21)</f>
        <v>0.21</v>
      </c>
      <c r="BE13" s="24">
        <f ca="1">IFERROR(__xludf.DUMMYFUNCTION("QUERY(PoliticalData!AV$3:AV$50,""select AV where AV &lt; ""&amp;AV13&amp;"" order by AV desc limit 1"",0)"),-0.74)</f>
        <v>-0.74</v>
      </c>
      <c r="BF13" s="26" t="str">
        <f ca="1">IFERROR(__xludf.DUMMYFUNCTION("IF((ABS(AV13-QUERY(PoliticalData!AV$3:AV$55,""select AV where AV &gt; ""&amp;AV13&amp;"" order by AV limit 1"",0))) &gt; ABS(AV13-QUERY(PoliticalData!AV$3:AV$55,""select AV where AV &lt; ""&amp;AV13&amp;"" order by AV desc limit 1"",0)), QUERY(PoliticalData!AU$3:AV$55,""select AU"&amp;" where AV = ""&amp;BE13&amp;"""",0), QUERY(PoliticalData!AU$3:AV$55,""select AU where AV = ""&amp;BD13&amp;"""",0))"),"tal.davis@tcstudents.org")</f>
        <v>tal.davis@tcstudents.org</v>
      </c>
      <c r="BG13" s="32" t="s">
        <v>78</v>
      </c>
      <c r="BH13" s="24" t="e">
        <f t="shared" ca="1" si="14"/>
        <v>#NAME?</v>
      </c>
      <c r="BI13" s="19" t="str">
        <f t="shared" si="15"/>
        <v>No</v>
      </c>
      <c r="BJ13" s="19" t="str">
        <f t="shared" si="16"/>
        <v>No</v>
      </c>
      <c r="BK13" s="19" t="str">
        <f t="shared" si="17"/>
        <v>No</v>
      </c>
      <c r="BL13" s="19" t="str">
        <f t="shared" si="18"/>
        <v>No</v>
      </c>
      <c r="BM13" s="28"/>
    </row>
    <row r="14" spans="1:65" ht="15.75" customHeight="1" x14ac:dyDescent="0.35">
      <c r="A14" s="10">
        <v>44250.845881354166</v>
      </c>
      <c r="B14" s="11">
        <v>6</v>
      </c>
      <c r="C14" s="11">
        <v>2</v>
      </c>
      <c r="D14" s="11">
        <v>3</v>
      </c>
      <c r="E14" s="11">
        <v>2</v>
      </c>
      <c r="F14" s="11">
        <v>4</v>
      </c>
      <c r="G14" s="11">
        <v>2</v>
      </c>
      <c r="H14" s="11">
        <v>3</v>
      </c>
      <c r="I14" s="11">
        <v>7</v>
      </c>
      <c r="J14" s="11">
        <v>2</v>
      </c>
      <c r="K14" s="11">
        <v>4</v>
      </c>
      <c r="L14" s="11">
        <v>4</v>
      </c>
      <c r="M14" s="11">
        <v>8</v>
      </c>
      <c r="N14" s="11">
        <v>8</v>
      </c>
      <c r="O14" s="11">
        <v>2</v>
      </c>
      <c r="P14" s="11">
        <v>5</v>
      </c>
      <c r="Q14" s="11">
        <v>9</v>
      </c>
      <c r="R14" s="11">
        <v>0</v>
      </c>
      <c r="S14" s="11">
        <v>2</v>
      </c>
      <c r="T14" s="11">
        <v>8</v>
      </c>
      <c r="U14" s="11">
        <v>5</v>
      </c>
      <c r="V14" s="11">
        <v>8</v>
      </c>
      <c r="W14" s="11">
        <v>5</v>
      </c>
      <c r="X14" s="11">
        <v>3</v>
      </c>
      <c r="Y14" s="11">
        <v>3</v>
      </c>
      <c r="Z14" s="11">
        <v>2</v>
      </c>
      <c r="AA14" s="11">
        <v>2</v>
      </c>
      <c r="AB14" s="11">
        <v>5</v>
      </c>
      <c r="AC14" s="11">
        <v>5</v>
      </c>
      <c r="AD14" s="12"/>
      <c r="AE14" s="13">
        <f t="shared" si="0"/>
        <v>3.4210526315789473</v>
      </c>
      <c r="AF14" s="14">
        <f t="shared" si="1"/>
        <v>6.5789473684210531</v>
      </c>
      <c r="AG14" s="14">
        <f t="shared" si="2"/>
        <v>4.3</v>
      </c>
      <c r="AH14" s="14">
        <f t="shared" si="3"/>
        <v>5.7</v>
      </c>
      <c r="AI14" s="14">
        <f t="shared" si="4"/>
        <v>4.4210526315789478</v>
      </c>
      <c r="AJ14" s="14">
        <f t="shared" si="5"/>
        <v>5.5789473684210522</v>
      </c>
      <c r="AK14" s="15" t="str">
        <f t="shared" si="6"/>
        <v>Liberal:</v>
      </c>
      <c r="AL14" s="16">
        <f t="shared" si="7"/>
        <v>6.5789473684210531</v>
      </c>
      <c r="AM14" s="17" t="str">
        <f t="shared" si="8"/>
        <v>Liberal:</v>
      </c>
      <c r="AN14" s="16">
        <f t="shared" si="9"/>
        <v>5.7</v>
      </c>
      <c r="AO14" s="17" t="str">
        <f t="shared" si="10"/>
        <v>Authoritarian:</v>
      </c>
      <c r="AP14" s="16">
        <f t="shared" si="11"/>
        <v>5.5789473684210522</v>
      </c>
      <c r="AQ14" s="18" t="s">
        <v>79</v>
      </c>
      <c r="AR14" s="19">
        <f t="shared" si="12"/>
        <v>-3.16</v>
      </c>
      <c r="AS14" s="20" t="s">
        <v>79</v>
      </c>
      <c r="AT14" s="19">
        <f>ROUND(IF(AG14 &gt; 5, (AG14*2)-10, (-AH14*2)+10.01), 2)</f>
        <v>-1.39</v>
      </c>
      <c r="AU14" s="20" t="s">
        <v>79</v>
      </c>
      <c r="AV14" s="19">
        <f t="shared" si="19"/>
        <v>-1.1599999999999999</v>
      </c>
      <c r="AW14" s="21"/>
      <c r="AX14" s="22">
        <f ca="1">IFERROR(__xludf.DUMMYFUNCTION("QUERY(PoliticalData!AR$3:AR$55,""select AR where AR &gt; ""&amp;AR14&amp;"" order by AR limit 1"",0)"),-3.05)</f>
        <v>-3.05</v>
      </c>
      <c r="AY14" s="22">
        <f ca="1">IFERROR(__xludf.DUMMYFUNCTION("QUERY(PoliticalData!AR$3:AR$55,""select AR where AR &lt; ""&amp;AR14&amp;"" order by AR desc limit 1"",0)"),-3.58)</f>
        <v>-3.58</v>
      </c>
      <c r="AZ14" s="23" t="str">
        <f ca="1">IFERROR(__xludf.DUMMYFUNCTION("IF((ABS(AR14-QUERY(PoliticalData!AR$3:AR$55,""select AR where AR &gt; ""&amp;AR14&amp;"" order by AR limit 1"",0))) &gt; ABS(AR14-QUERY(PoliticalData!AR$3:AR$55,""select AR where AR &lt; ""&amp;AR14&amp;"" order by AR desc limit 1"",0)), QUERY(PoliticalData!AQ$3:AR$55,""select AQ"&amp;" where AR = ""&amp;AY14&amp;"""",0), QUERY(PoliticalData!AQ$3:AR$55,""select AQ where AR = ""&amp;AX14&amp;"""",0))"),"hayley.kupinsky@tcstudents.org")</f>
        <v>hayley.kupinsky@tcstudents.org</v>
      </c>
      <c r="BA14" s="24">
        <f ca="1">IFERROR(__xludf.DUMMYFUNCTION("QUERY(PoliticalData!AT$3:AT$34,""select AT where AT &gt; ""&amp;AT14&amp;"" order by AT limit 1"",0)"),-0.7)</f>
        <v>-0.7</v>
      </c>
      <c r="BB14" s="24">
        <f ca="1">IFERROR(__xludf.DUMMYFUNCTION("QUERY(PoliticalData!AT$3:AT$50,""select AT where AT &lt; ""&amp;AT14&amp;"" order by AT desc limit 1"",0)"),-1.4)</f>
        <v>-1.4</v>
      </c>
      <c r="BC14" s="25" t="str">
        <f ca="1">IFERROR(__xludf.DUMMYFUNCTION("IF((ABS(AT14-QUERY(PoliticalData!AT$3:AT$55,""select AT where AT &gt; ""&amp;AT14&amp;"" order by AT limit 1"",0))) &gt; ABS(AT14-QUERY(PoliticalData!AT$3:AT$55,""select AT where AT &lt; ""&amp;AT14&amp;"" order by AT desc limit 1"",0)), QUERY(PoliticalData!AS$3:AT$55,""select AS"&amp;" where AT = ""&amp;BB14&amp;"""",0), QUERY(PoliticalData!AS$3:AT$55,""select AS where AT = ""&amp;BA14&amp;"""",0))"),"azaria.kelman@tcstudents.org")</f>
        <v>azaria.kelman@tcstudents.org</v>
      </c>
      <c r="BD14" s="24">
        <f ca="1">IFERROR(__xludf.DUMMYFUNCTION("QUERY(PoliticalData!AV$3:AV$34,""select AV where AV &gt; ""&amp;AV14&amp;"" order by AV limit 1"",0)"),-0.84)</f>
        <v>-0.84</v>
      </c>
      <c r="BE14" s="24">
        <f ca="1">IFERROR(__xludf.DUMMYFUNCTION("QUERY(PoliticalData!AV$3:AV$50,""select AV where AV &lt; ""&amp;AV14&amp;"" order by AV desc limit 1"",0)"),-1.67)</f>
        <v>-1.67</v>
      </c>
      <c r="BF14" s="26" t="str">
        <f ca="1">IFERROR(__xludf.DUMMYFUNCTION("IF((ABS(AV14-QUERY(PoliticalData!AV$3:AV$55,""select AV where AV &gt; ""&amp;AV14&amp;"" order by AV limit 1"",0))) &gt; ABS(AV14-QUERY(PoliticalData!AV$3:AV$55,""select AV where AV &lt; ""&amp;AV14&amp;"" order by AV desc limit 1"",0)), QUERY(PoliticalData!AU$3:AV$55,""select AU"&amp;" where AV = ""&amp;BE14&amp;"""",0), QUERY(PoliticalData!AU$3:AV$55,""select AU where AV = ""&amp;BD14&amp;"""",0))"),"dylan.yagod-ramm@tcstudents.org")</f>
        <v>dylan.yagod-ramm@tcstudents.org</v>
      </c>
      <c r="BG14" s="33">
        <f ca="1">COUNTIF(BH3:BH79, "liberal")</f>
        <v>0</v>
      </c>
      <c r="BH14" s="24" t="e">
        <f t="shared" ca="1" si="14"/>
        <v>#NAME?</v>
      </c>
      <c r="BI14" s="19" t="str">
        <f t="shared" si="15"/>
        <v>No</v>
      </c>
      <c r="BJ14" s="19" t="str">
        <f t="shared" si="16"/>
        <v>No</v>
      </c>
      <c r="BK14" s="19" t="str">
        <f t="shared" si="17"/>
        <v>No</v>
      </c>
      <c r="BL14" s="19" t="str">
        <f t="shared" si="18"/>
        <v>No</v>
      </c>
      <c r="BM14" s="28"/>
    </row>
    <row r="15" spans="1:65" ht="15.75" customHeight="1" x14ac:dyDescent="0.35">
      <c r="A15" s="34">
        <v>44250.851779710647</v>
      </c>
      <c r="B15" s="35">
        <v>8</v>
      </c>
      <c r="C15" s="35">
        <v>5</v>
      </c>
      <c r="D15" s="35">
        <v>5</v>
      </c>
      <c r="E15" s="35">
        <v>7</v>
      </c>
      <c r="F15" s="35">
        <v>8</v>
      </c>
      <c r="G15" s="35">
        <v>9</v>
      </c>
      <c r="H15" s="35">
        <v>7</v>
      </c>
      <c r="I15" s="35">
        <v>6</v>
      </c>
      <c r="J15" s="35">
        <v>9</v>
      </c>
      <c r="K15" s="35">
        <v>9</v>
      </c>
      <c r="L15" s="35">
        <v>3</v>
      </c>
      <c r="M15" s="35">
        <v>7</v>
      </c>
      <c r="N15" s="35">
        <v>7</v>
      </c>
      <c r="O15" s="35">
        <v>8</v>
      </c>
      <c r="P15" s="35">
        <v>7</v>
      </c>
      <c r="Q15" s="35">
        <v>10</v>
      </c>
      <c r="R15" s="35">
        <v>8</v>
      </c>
      <c r="S15" s="35">
        <v>8</v>
      </c>
      <c r="T15" s="35">
        <v>9</v>
      </c>
      <c r="U15" s="35">
        <v>7</v>
      </c>
      <c r="V15" s="35">
        <v>8</v>
      </c>
      <c r="W15" s="35">
        <v>2</v>
      </c>
      <c r="X15" s="35">
        <v>7</v>
      </c>
      <c r="Y15" s="35">
        <v>5</v>
      </c>
      <c r="Z15" s="35">
        <v>7</v>
      </c>
      <c r="AA15" s="35">
        <v>1</v>
      </c>
      <c r="AB15" s="35">
        <v>10</v>
      </c>
      <c r="AC15" s="35">
        <v>4</v>
      </c>
      <c r="AD15" s="12"/>
      <c r="AE15" s="13">
        <f t="shared" si="0"/>
        <v>7.0526315789473681</v>
      </c>
      <c r="AF15" s="14">
        <f t="shared" si="1"/>
        <v>2.9473684210526319</v>
      </c>
      <c r="AG15" s="14">
        <f t="shared" si="2"/>
        <v>6.65</v>
      </c>
      <c r="AH15" s="14">
        <f t="shared" si="3"/>
        <v>3.3499999999999996</v>
      </c>
      <c r="AI15" s="14">
        <f t="shared" si="4"/>
        <v>7.2105263157894735</v>
      </c>
      <c r="AJ15" s="14">
        <f t="shared" si="5"/>
        <v>2.7894736842105265</v>
      </c>
      <c r="AK15" s="15" t="str">
        <f t="shared" si="6"/>
        <v>Conservative:</v>
      </c>
      <c r="AL15" s="16">
        <f t="shared" si="7"/>
        <v>7.0526315789473681</v>
      </c>
      <c r="AM15" s="17" t="str">
        <f t="shared" si="8"/>
        <v>Conservative:</v>
      </c>
      <c r="AN15" s="16">
        <f t="shared" si="9"/>
        <v>6.65</v>
      </c>
      <c r="AO15" s="17" t="str">
        <f t="shared" si="10"/>
        <v>Libertarian:</v>
      </c>
      <c r="AP15" s="16">
        <f t="shared" si="11"/>
        <v>7.2105263157894735</v>
      </c>
      <c r="AQ15" s="36" t="s">
        <v>80</v>
      </c>
      <c r="AR15" s="19">
        <f t="shared" si="12"/>
        <v>4.1100000000000003</v>
      </c>
      <c r="AS15" s="37" t="s">
        <v>80</v>
      </c>
      <c r="AT15" s="19">
        <f t="shared" ref="AT15:AT26" si="20">ROUND(IF(AG15 &gt; 5, (AG15*2)-10, (-AH15*2)+10), 2)</f>
        <v>3.3</v>
      </c>
      <c r="AU15" s="37" t="s">
        <v>80</v>
      </c>
      <c r="AV15" s="19">
        <f>ROUND(IF(AI15 &gt; 5, (AI15*2)-10.02, (-AJ15*2)+10), 2)</f>
        <v>4.4000000000000004</v>
      </c>
      <c r="AW15" s="21"/>
      <c r="AX15" s="22">
        <f ca="1">IFERROR(__xludf.DUMMYFUNCTION("QUERY(PoliticalData!AR$3:AR$55,""select AR where AR &gt; ""&amp;AR15&amp;"" order by AR limit 1"",0)"),5.25)</f>
        <v>5.25</v>
      </c>
      <c r="AY15" s="22">
        <f ca="1">IFERROR(__xludf.DUMMYFUNCTION("QUERY(PoliticalData!AR$3:AR$55,""select AR where AR &lt; ""&amp;AR15&amp;"" order by AR desc limit 1"",0)"),4.01)</f>
        <v>4.01</v>
      </c>
      <c r="AZ15" s="23" t="str">
        <f ca="1">IFERROR(__xludf.DUMMYFUNCTION("IF((ABS(AR15-QUERY(PoliticalData!AR$3:AR$55,""select AR where AR &gt; ""&amp;AR15&amp;"" order by AR limit 1"",0))) &gt; ABS(AR15-QUERY(PoliticalData!AR$3:AR$55,""select AR where AR &lt; ""&amp;AR15&amp;"" order by AR desc limit 1"",0)), QUERY(PoliticalData!AQ$3:AR$55,""select AQ"&amp;" where AR = ""&amp;AY15&amp;"""",0), QUERY(PoliticalData!AQ$3:AR$55,""select AQ where AR = ""&amp;AX15&amp;"""",0))"),"isaac.slavens@tcstudents.org")</f>
        <v>isaac.slavens@tcstudents.org</v>
      </c>
      <c r="BA15" s="24">
        <f ca="1">IFERROR(__xludf.DUMMYFUNCTION("QUERY(PoliticalData!AT$3:AT$34,""select AT where AT &gt; ""&amp;AT15&amp;"" order by AT limit 1"",0)"),3.7)</f>
        <v>3.7</v>
      </c>
      <c r="BB15" s="24">
        <f ca="1">IFERROR(__xludf.DUMMYFUNCTION("QUERY(PoliticalData!AT$3:AT$50,""select AT where AT &lt; ""&amp;AT15&amp;"" order by AT desc limit 1"",0)"),3.26)</f>
        <v>3.26</v>
      </c>
      <c r="BC15" s="25" t="str">
        <f ca="1">IFERROR(__xludf.DUMMYFUNCTION("IF((ABS(AT15-QUERY(PoliticalData!AT$3:AT$55,""select AT where AT &gt; ""&amp;AT15&amp;"" order by AT limit 1"",0))) &gt; ABS(AT15-QUERY(PoliticalData!AT$3:AT$55,""select AT where AT &lt; ""&amp;AT15&amp;"" order by AT desc limit 1"",0)), QUERY(PoliticalData!AS$3:AT$55,""select AS"&amp;" where AT = ""&amp;BB15&amp;"""",0), QUERY(PoliticalData!AS$3:AT$55,""select AS where AT = ""&amp;BA15&amp;"""",0))"),"koby.gottlieb@tcstudents.org")</f>
        <v>koby.gottlieb@tcstudents.org</v>
      </c>
      <c r="BD15" s="24">
        <f ca="1">IFERROR(__xludf.DUMMYFUNCTION("QUERY(PoliticalData!AV$3:AV$34,""select AV where AV &gt; ""&amp;AV15&amp;"" order by AV limit 1"",0)"),4.42)</f>
        <v>4.42</v>
      </c>
      <c r="BE15" s="24">
        <f ca="1">IFERROR(__xludf.DUMMYFUNCTION("QUERY(PoliticalData!AV$3:AV$50,""select AV where AV &lt; ""&amp;AV15&amp;"" order by AV desc limit 1"",0)"),4)</f>
        <v>4</v>
      </c>
      <c r="BF15" s="26" t="str">
        <f ca="1">IFERROR(__xludf.DUMMYFUNCTION("IF((ABS(AV15-QUERY(PoliticalData!AV$3:AV$55,""select AV where AV &gt; ""&amp;AV15&amp;"" order by AV limit 1"",0))) &gt; ABS(AV15-QUERY(PoliticalData!AV$3:AV$55,""select AV where AV &lt; ""&amp;AV15&amp;"" order by AV desc limit 1"",0)), QUERY(PoliticalData!AU$3:AV$55,""select AU"&amp;" where AV = ""&amp;BE15&amp;"""",0), QUERY(PoliticalData!AU$3:AV$55,""select AU where AV = ""&amp;BD15&amp;"""",0))"),"kyle.zaldin@tcstudents.org")</f>
        <v>kyle.zaldin@tcstudents.org</v>
      </c>
      <c r="BG15" s="27" t="s">
        <v>81</v>
      </c>
      <c r="BH15" s="24" t="e">
        <f t="shared" ca="1" si="14"/>
        <v>#NAME?</v>
      </c>
      <c r="BI15" s="19" t="str">
        <f t="shared" si="15"/>
        <v>No</v>
      </c>
      <c r="BJ15" s="19" t="str">
        <f t="shared" si="16"/>
        <v>No</v>
      </c>
      <c r="BK15" s="19" t="str">
        <f t="shared" si="17"/>
        <v>No</v>
      </c>
      <c r="BL15" s="19" t="str">
        <f t="shared" si="18"/>
        <v>No</v>
      </c>
      <c r="BM15" s="28"/>
    </row>
    <row r="16" spans="1:65" ht="15.75" customHeight="1" x14ac:dyDescent="0.35">
      <c r="A16" s="34">
        <v>44250.85319603009</v>
      </c>
      <c r="B16" s="35">
        <v>6</v>
      </c>
      <c r="C16" s="35">
        <v>2</v>
      </c>
      <c r="D16" s="35">
        <v>8</v>
      </c>
      <c r="E16" s="35">
        <v>8</v>
      </c>
      <c r="F16" s="35">
        <v>6</v>
      </c>
      <c r="G16" s="35">
        <v>7</v>
      </c>
      <c r="H16" s="35">
        <v>8</v>
      </c>
      <c r="I16" s="35">
        <v>6</v>
      </c>
      <c r="J16" s="35">
        <v>10</v>
      </c>
      <c r="K16" s="35">
        <v>6</v>
      </c>
      <c r="L16" s="35">
        <v>5</v>
      </c>
      <c r="M16" s="35">
        <v>4</v>
      </c>
      <c r="N16" s="35">
        <v>8</v>
      </c>
      <c r="O16" s="35">
        <v>5</v>
      </c>
      <c r="P16" s="35">
        <v>8</v>
      </c>
      <c r="Q16" s="35">
        <v>8</v>
      </c>
      <c r="R16" s="35">
        <v>3</v>
      </c>
      <c r="S16" s="35">
        <v>9</v>
      </c>
      <c r="T16" s="35">
        <v>5</v>
      </c>
      <c r="U16" s="35">
        <v>7</v>
      </c>
      <c r="V16" s="35">
        <v>10</v>
      </c>
      <c r="W16" s="35">
        <v>2</v>
      </c>
      <c r="X16" s="35">
        <v>9</v>
      </c>
      <c r="Y16" s="35">
        <v>8</v>
      </c>
      <c r="Z16" s="35">
        <v>9</v>
      </c>
      <c r="AA16" s="35">
        <v>3</v>
      </c>
      <c r="AB16" s="35">
        <v>10</v>
      </c>
      <c r="AC16" s="35">
        <v>1</v>
      </c>
      <c r="AD16" s="12"/>
      <c r="AE16" s="13">
        <f t="shared" si="0"/>
        <v>6.5263157894736841</v>
      </c>
      <c r="AF16" s="14">
        <f t="shared" si="1"/>
        <v>3.4736842105263159</v>
      </c>
      <c r="AG16" s="14">
        <f t="shared" si="2"/>
        <v>7.05</v>
      </c>
      <c r="AH16" s="14">
        <f t="shared" si="3"/>
        <v>2.95</v>
      </c>
      <c r="AI16" s="14">
        <f t="shared" si="4"/>
        <v>6.3157894736842106</v>
      </c>
      <c r="AJ16" s="14">
        <f t="shared" si="5"/>
        <v>3.6842105263157894</v>
      </c>
      <c r="AK16" s="15" t="str">
        <f t="shared" si="6"/>
        <v>Conservative:</v>
      </c>
      <c r="AL16" s="16">
        <f t="shared" si="7"/>
        <v>6.5263157894736841</v>
      </c>
      <c r="AM16" s="17" t="str">
        <f t="shared" si="8"/>
        <v>Conservative:</v>
      </c>
      <c r="AN16" s="16">
        <f t="shared" si="9"/>
        <v>7.05</v>
      </c>
      <c r="AO16" s="17" t="str">
        <f t="shared" si="10"/>
        <v>Libertarian:</v>
      </c>
      <c r="AP16" s="16">
        <f t="shared" si="11"/>
        <v>6.3157894736842106</v>
      </c>
      <c r="AQ16" s="36" t="s">
        <v>82</v>
      </c>
      <c r="AR16" s="19">
        <f t="shared" si="12"/>
        <v>3.05</v>
      </c>
      <c r="AS16" s="37" t="s">
        <v>82</v>
      </c>
      <c r="AT16" s="19">
        <f t="shared" si="20"/>
        <v>4.0999999999999996</v>
      </c>
      <c r="AU16" s="37" t="s">
        <v>82</v>
      </c>
      <c r="AV16" s="19">
        <f t="shared" ref="AV16:AV27" si="21">ROUND(IF(AI16 &gt; 5, (AI16*2)-10, (-AJ16*2)+10), 2)</f>
        <v>2.63</v>
      </c>
      <c r="AW16" s="21"/>
      <c r="AX16" s="22">
        <f ca="1">IFERROR(__xludf.DUMMYFUNCTION("QUERY(PoliticalData!AR$3:AR$55,""select AR where AR &gt; ""&amp;AR16&amp;"" order by AR limit 1"",0)"),3.13)</f>
        <v>3.13</v>
      </c>
      <c r="AY16" s="22">
        <f ca="1">IFERROR(__xludf.DUMMYFUNCTION("QUERY(PoliticalData!AR$3:AR$55,""select AR where AR &lt; ""&amp;AR16&amp;"" order by AR desc limit 1"",0)"),2.74)</f>
        <v>2.74</v>
      </c>
      <c r="AZ16" s="23" t="str">
        <f ca="1">IFERROR(__xludf.DUMMYFUNCTION("IF((ABS(AR16-QUERY(PoliticalData!AR$3:AR$55,""select AR where AR &gt; ""&amp;AR16&amp;"" order by AR limit 1"",0))) &gt; ABS(AR16-QUERY(PoliticalData!AR$3:AR$55,""select AR where AR &lt; ""&amp;AR16&amp;"" order by AR desc limit 1"",0)), QUERY(PoliticalData!AQ$3:AR$55,""select AQ"&amp;" where AR = ""&amp;AY16&amp;"""",0), QUERY(PoliticalData!AQ$3:AR$55,""select AQ where AR = ""&amp;AX16&amp;"""",0))"),"zachary.muraven@tcstudents.org")</f>
        <v>zachary.muraven@tcstudents.org</v>
      </c>
      <c r="BA16" s="24">
        <f ca="1">IFERROR(__xludf.DUMMYFUNCTION("QUERY(PoliticalData!AT$3:AT$34,""select AT where AT &gt; ""&amp;AT16&amp;"" order by AT limit 1"",0)"),4.3)</f>
        <v>4.3</v>
      </c>
      <c r="BB16" s="24">
        <f ca="1">IFERROR(__xludf.DUMMYFUNCTION("QUERY(PoliticalData!AT$3:AT$50,""select AT where AT &lt; ""&amp;AT16&amp;"" order by AT desc limit 1"",0)"),4)</f>
        <v>4</v>
      </c>
      <c r="BC16" s="25" t="str">
        <f ca="1">IFERROR(__xludf.DUMMYFUNCTION("IF((ABS(AT16-QUERY(PoliticalData!AT$3:AT$55,""select AT where AT &gt; ""&amp;AT16&amp;"" order by AT limit 1"",0))) &gt; ABS(AT16-QUERY(PoliticalData!AT$3:AT$55,""select AT where AT &lt; ""&amp;AT16&amp;"" order by AT desc limit 1"",0)), QUERY(PoliticalData!AS$3:AT$55,""select AS"&amp;" where AT = ""&amp;BB16&amp;"""",0), QUERY(PoliticalData!AS$3:AT$55,""select AS where AT = ""&amp;BA16&amp;"""",0))"),"ori.epstien@tcstudents.org")</f>
        <v>ori.epstien@tcstudents.org</v>
      </c>
      <c r="BD16" s="24">
        <f ca="1">IFERROR(__xludf.DUMMYFUNCTION("QUERY(PoliticalData!AV$3:AV$34,""select AV where AV &gt; ""&amp;AV16&amp;"" order by AV limit 1"",0)"),3.76)</f>
        <v>3.76</v>
      </c>
      <c r="BE16" s="24">
        <f ca="1">IFERROR(__xludf.DUMMYFUNCTION("QUERY(PoliticalData!AV$3:AV$50,""select AV where AV &lt; ""&amp;AV16&amp;"" order by AV desc limit 1"",0)"),2.21)</f>
        <v>2.21</v>
      </c>
      <c r="BF16" s="26" t="str">
        <f ca="1">IFERROR(__xludf.DUMMYFUNCTION("IF((ABS(AV16-QUERY(PoliticalData!AV$3:AV$55,""select AV where AV &gt; ""&amp;AV16&amp;"" order by AV limit 1"",0))) &gt; ABS(AV16-QUERY(PoliticalData!AV$3:AV$55,""select AV where AV &lt; ""&amp;AV16&amp;"" order by AV desc limit 1"",0)), QUERY(PoliticalData!AU$3:AV$55,""select AU"&amp;" where AV = ""&amp;BE16&amp;"""",0), QUERY(PoliticalData!AU$3:AV$55,""select AU where AV = ""&amp;BD16&amp;"""",0))"),"joshua.benbassat@tcstudents.org")</f>
        <v>joshua.benbassat@tcstudents.org</v>
      </c>
      <c r="BG16" s="33">
        <f ca="1">COUNTIF(BH3:BH79, "NDP")</f>
        <v>0</v>
      </c>
      <c r="BH16" s="24" t="e">
        <f t="shared" ca="1" si="14"/>
        <v>#NAME?</v>
      </c>
      <c r="BI16" s="19" t="str">
        <f t="shared" si="15"/>
        <v>No</v>
      </c>
      <c r="BJ16" s="19" t="str">
        <f t="shared" si="16"/>
        <v>No</v>
      </c>
      <c r="BK16" s="19" t="str">
        <f t="shared" si="17"/>
        <v>No</v>
      </c>
      <c r="BL16" s="19" t="str">
        <f t="shared" si="18"/>
        <v>No</v>
      </c>
      <c r="BM16" s="28"/>
    </row>
    <row r="17" spans="1:65" ht="15.75" customHeight="1" x14ac:dyDescent="0.35">
      <c r="A17" s="34">
        <v>44250.854288020833</v>
      </c>
      <c r="B17" s="35">
        <v>3</v>
      </c>
      <c r="C17" s="35">
        <v>1</v>
      </c>
      <c r="D17" s="35">
        <v>1</v>
      </c>
      <c r="E17" s="35">
        <v>2</v>
      </c>
      <c r="F17" s="35">
        <v>6</v>
      </c>
      <c r="G17" s="35">
        <v>5</v>
      </c>
      <c r="H17" s="35">
        <v>3</v>
      </c>
      <c r="I17" s="35">
        <v>2</v>
      </c>
      <c r="J17" s="35">
        <v>2</v>
      </c>
      <c r="K17" s="35">
        <v>6</v>
      </c>
      <c r="L17" s="35">
        <v>0</v>
      </c>
      <c r="M17" s="35">
        <v>10</v>
      </c>
      <c r="N17" s="35">
        <v>8</v>
      </c>
      <c r="O17" s="35">
        <v>2</v>
      </c>
      <c r="P17" s="38"/>
      <c r="Q17" s="35">
        <v>9</v>
      </c>
      <c r="R17" s="35">
        <v>1</v>
      </c>
      <c r="S17" s="35">
        <v>1</v>
      </c>
      <c r="T17" s="35">
        <v>2</v>
      </c>
      <c r="U17" s="35">
        <v>10</v>
      </c>
      <c r="V17" s="35">
        <v>7</v>
      </c>
      <c r="W17" s="35">
        <v>3</v>
      </c>
      <c r="X17" s="35">
        <v>6</v>
      </c>
      <c r="Y17" s="35">
        <v>4</v>
      </c>
      <c r="Z17" s="35">
        <v>3</v>
      </c>
      <c r="AA17" s="35">
        <v>4</v>
      </c>
      <c r="AB17" s="35">
        <v>6</v>
      </c>
      <c r="AC17" s="35">
        <v>0</v>
      </c>
      <c r="AD17" s="12"/>
      <c r="AE17" s="13">
        <f t="shared" si="0"/>
        <v>2.7777777777777777</v>
      </c>
      <c r="AF17" s="14">
        <f t="shared" si="1"/>
        <v>7.2222222222222223</v>
      </c>
      <c r="AG17" s="14">
        <f t="shared" si="2"/>
        <v>3.9</v>
      </c>
      <c r="AH17" s="14">
        <f t="shared" si="3"/>
        <v>6.1</v>
      </c>
      <c r="AI17" s="14">
        <f t="shared" si="4"/>
        <v>4.166666666666667</v>
      </c>
      <c r="AJ17" s="14">
        <f t="shared" si="5"/>
        <v>5.833333333333333</v>
      </c>
      <c r="AK17" s="15" t="str">
        <f t="shared" si="6"/>
        <v>Liberal:</v>
      </c>
      <c r="AL17" s="16">
        <f t="shared" si="7"/>
        <v>7.2222222222222223</v>
      </c>
      <c r="AM17" s="17" t="str">
        <f t="shared" si="8"/>
        <v>Liberal:</v>
      </c>
      <c r="AN17" s="16">
        <f t="shared" si="9"/>
        <v>6.1</v>
      </c>
      <c r="AO17" s="17" t="str">
        <f t="shared" si="10"/>
        <v>Authoritarian:</v>
      </c>
      <c r="AP17" s="16">
        <f t="shared" si="11"/>
        <v>5.833333333333333</v>
      </c>
      <c r="AQ17" s="36" t="s">
        <v>83</v>
      </c>
      <c r="AR17" s="19">
        <f t="shared" si="12"/>
        <v>-4.4400000000000004</v>
      </c>
      <c r="AS17" s="37" t="s">
        <v>83</v>
      </c>
      <c r="AT17" s="19">
        <f t="shared" si="20"/>
        <v>-2.2000000000000002</v>
      </c>
      <c r="AU17" s="37" t="s">
        <v>83</v>
      </c>
      <c r="AV17" s="19">
        <f t="shared" si="21"/>
        <v>-1.67</v>
      </c>
      <c r="AW17" s="21"/>
      <c r="AX17" s="22">
        <f ca="1">IFERROR(__xludf.DUMMYFUNCTION("QUERY(PoliticalData!AR$3:AR$55,""select AR where AR &gt; ""&amp;AR17&amp;"" order by AR limit 1"",0)"),-3.58)</f>
        <v>-3.58</v>
      </c>
      <c r="AY17" s="22">
        <f ca="1">IFERROR(__xludf.DUMMYFUNCTION("QUERY(PoliticalData!AR$3:AR$55,""select AR where AR &lt; ""&amp;AR17&amp;"" order by AR desc limit 1"",0)"),-4.51)</f>
        <v>-4.51</v>
      </c>
      <c r="AZ17" s="23" t="str">
        <f ca="1">IFERROR(__xludf.DUMMYFUNCTION("IF((ABS(AR17-QUERY(PoliticalData!AR$3:AR$55,""select AR where AR &gt; ""&amp;AR17&amp;"" order by AR limit 1"",0))) &gt; ABS(AR17-QUERY(PoliticalData!AR$3:AR$55,""select AR where AR &lt; ""&amp;AR17&amp;"" order by AR desc limit 1"",0)), QUERY(PoliticalData!AQ$3:AR$55,""select AQ"&amp;" where AR = ""&amp;AY17&amp;"""",0), QUERY(PoliticalData!AQ$3:AR$55,""select AQ where AR = ""&amp;AX17&amp;"""",0))"),"zimri.prutschi@tcstudents.org")</f>
        <v>zimri.prutschi@tcstudents.org</v>
      </c>
      <c r="BA17" s="24">
        <f ca="1">IFERROR(__xludf.DUMMYFUNCTION("QUERY(PoliticalData!AT$3:AT$34,""select AT where AT &gt; ""&amp;AT17&amp;"" order by AT limit 1"",0)"),-1.4)</f>
        <v>-1.4</v>
      </c>
      <c r="BB17" s="24">
        <f ca="1">IFERROR(__xludf.DUMMYFUNCTION("QUERY(PoliticalData!AT$3:AT$50,""select AT where AT &lt; ""&amp;AT17&amp;"" order by AT desc limit 1"",0)"),-2.3)</f>
        <v>-2.2999999999999998</v>
      </c>
      <c r="BC17" s="25" t="str">
        <f ca="1">IFERROR(__xludf.DUMMYFUNCTION("IF((ABS(AT17-QUERY(PoliticalData!AT$3:AT$55,""select AT where AT &gt; ""&amp;AT17&amp;"" order by AT limit 1"",0))) &gt; ABS(AT17-QUERY(PoliticalData!AT$3:AT$55,""select AT where AT &lt; ""&amp;AT17&amp;"" order by AT desc limit 1"",0)), QUERY(PoliticalData!AS$3:AT$55,""select AS"&amp;" where AT = ""&amp;BB17&amp;"""",0), QUERY(PoliticalData!AS$3:AT$55,""select AS where AT = ""&amp;BA17&amp;"""",0))"),"hayley.kupinsky@tcstudents.org")</f>
        <v>hayley.kupinsky@tcstudents.org</v>
      </c>
      <c r="BD17" s="24">
        <f ca="1">IFERROR(__xludf.DUMMYFUNCTION("QUERY(PoliticalData!AV$3:AV$34,""select AV where AV &gt; ""&amp;AV17&amp;"" order by AV limit 1"",0)"),-1.16)</f>
        <v>-1.1599999999999999</v>
      </c>
      <c r="BE17" s="24">
        <f ca="1">IFERROR(__xludf.DUMMYFUNCTION("QUERY(PoliticalData!AV$3:AV$50,""select AV where AV &lt; ""&amp;AV17&amp;"" order by AV desc limit 1"",0)"),-1.79)</f>
        <v>-1.79</v>
      </c>
      <c r="BF17" s="26" t="str">
        <f ca="1">IFERROR(__xludf.DUMMYFUNCTION("IF((ABS(AV17-QUERY(PoliticalData!AV$3:AV$55,""select AV where AV &gt; ""&amp;AV17&amp;"" order by AV limit 1"",0))) &gt; ABS(AV17-QUERY(PoliticalData!AV$3:AV$55,""select AV where AV &lt; ""&amp;AV17&amp;"" order by AV desc limit 1"",0)), QUERY(PoliticalData!AU$3:AV$55,""select AU"&amp;" where AV = ""&amp;BE17&amp;"""",0), QUERY(PoliticalData!AU$3:AV$55,""select AU where AV = ""&amp;BD17&amp;"""",0))"),"hayley.kupinsky@tcstudents.org")</f>
        <v>hayley.kupinsky@tcstudents.org</v>
      </c>
      <c r="BG17" s="19"/>
      <c r="BH17" s="24" t="e">
        <f t="shared" ca="1" si="14"/>
        <v>#NAME?</v>
      </c>
      <c r="BI17" s="19" t="str">
        <f t="shared" si="15"/>
        <v>No</v>
      </c>
      <c r="BJ17" s="19" t="str">
        <f t="shared" si="16"/>
        <v>Yes</v>
      </c>
      <c r="BK17" s="19" t="str">
        <f t="shared" si="17"/>
        <v>No</v>
      </c>
      <c r="BL17" s="19" t="str">
        <f t="shared" si="18"/>
        <v>No</v>
      </c>
      <c r="BM17" s="28"/>
    </row>
    <row r="18" spans="1:65" ht="15.75" customHeight="1" x14ac:dyDescent="0.35">
      <c r="A18" s="34">
        <v>44250.855841273151</v>
      </c>
      <c r="B18" s="35">
        <v>0</v>
      </c>
      <c r="C18" s="35">
        <v>10</v>
      </c>
      <c r="D18" s="35">
        <v>10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10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10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10</v>
      </c>
      <c r="AB18" s="35">
        <v>0</v>
      </c>
      <c r="AC18" s="35">
        <v>0</v>
      </c>
      <c r="AD18" s="12"/>
      <c r="AE18" s="13">
        <f t="shared" si="0"/>
        <v>2.6315789473684212</v>
      </c>
      <c r="AF18" s="14">
        <f t="shared" si="1"/>
        <v>7.3684210526315788</v>
      </c>
      <c r="AG18" s="14">
        <f t="shared" si="2"/>
        <v>2</v>
      </c>
      <c r="AH18" s="14">
        <f t="shared" si="3"/>
        <v>8</v>
      </c>
      <c r="AI18" s="14">
        <f t="shared" si="4"/>
        <v>1.5789473684210527</v>
      </c>
      <c r="AJ18" s="14">
        <f t="shared" si="5"/>
        <v>8.4210526315789469</v>
      </c>
      <c r="AK18" s="15" t="str">
        <f t="shared" si="6"/>
        <v>Liberal:</v>
      </c>
      <c r="AL18" s="16">
        <f t="shared" si="7"/>
        <v>7.3684210526315788</v>
      </c>
      <c r="AM18" s="17" t="str">
        <f t="shared" si="8"/>
        <v>Liberal:</v>
      </c>
      <c r="AN18" s="16">
        <f t="shared" si="9"/>
        <v>8</v>
      </c>
      <c r="AO18" s="17" t="str">
        <f t="shared" si="10"/>
        <v>Authoritarian:</v>
      </c>
      <c r="AP18" s="16">
        <f t="shared" si="11"/>
        <v>8.4210526315789469</v>
      </c>
      <c r="AQ18" s="36" t="s">
        <v>84</v>
      </c>
      <c r="AR18" s="19">
        <f>ROUND(IF(AE18 &gt; 5, (AE18*2)-10, (-AF18*2)+10.01), 2)</f>
        <v>-4.7300000000000004</v>
      </c>
      <c r="AS18" s="37" t="s">
        <v>84</v>
      </c>
      <c r="AT18" s="19">
        <f t="shared" si="20"/>
        <v>-6</v>
      </c>
      <c r="AU18" s="37" t="s">
        <v>84</v>
      </c>
      <c r="AV18" s="19">
        <f t="shared" si="21"/>
        <v>-6.84</v>
      </c>
      <c r="AW18" s="21"/>
      <c r="AX18" s="22">
        <f ca="1">IFERROR(__xludf.DUMMYFUNCTION("QUERY(PoliticalData!AR$3:AR$55,""select AR where AR &gt; ""&amp;AR18&amp;"" order by AR limit 1"",0)"),-4.72)</f>
        <v>-4.72</v>
      </c>
      <c r="AY18" s="22">
        <f ca="1">IFERROR(__xludf.DUMMYFUNCTION("QUERY(PoliticalData!AR$3:AR$55,""select AR where AR &lt; ""&amp;AR18&amp;"" order by AR desc limit 1"",0)"),-5.47)</f>
        <v>-5.47</v>
      </c>
      <c r="AZ18" s="23" t="str">
        <f ca="1">IFERROR(__xludf.DUMMYFUNCTION("IF((ABS(AR18-QUERY(PoliticalData!AR$3:AR$55,""select AR where AR &gt; ""&amp;AR18&amp;"" order by AR limit 1"",0))) &gt; ABS(AR18-QUERY(PoliticalData!AR$3:AR$55,""select AR where AR &lt; ""&amp;AR18&amp;"" order by AR desc limit 1"",0)), QUERY(PoliticalData!AQ$3:AR$55,""select AQ"&amp;" where AR = ""&amp;AY18&amp;"""",0), QUERY(PoliticalData!AQ$3:AR$55,""select AQ where AR = ""&amp;AX18&amp;"""",0))"),"nate.manis@tcstudents.org")</f>
        <v>nate.manis@tcstudents.org</v>
      </c>
      <c r="BA18" s="24">
        <f ca="1">IFERROR(__xludf.DUMMYFUNCTION("QUERY(PoliticalData!AT$3:AT$34,""select AT where AT &gt; ""&amp;AT18&amp;"" order by AT limit 1"",0)"),-4.1)</f>
        <v>-4.0999999999999996</v>
      </c>
      <c r="BB18" s="24" t="str">
        <f ca="1">IFERROR(__xludf.DUMMYFUNCTION("QUERY(PoliticalData!AT$3:AT$50,""select AT where AT &lt; ""&amp;AT18&amp;"" order by AT desc limit 1"",0)"),"")</f>
        <v/>
      </c>
      <c r="BC18" s="25" t="str">
        <f ca="1">IFERROR(__xludf.DUMMYFUNCTION("IF((ABS(AT18-QUERY(PoliticalData!AT$3:AT$55,""select AT where AT &gt; ""&amp;AT18&amp;"" order by AT limit 1"",0))) &gt; ABS(AT18-QUERY(PoliticalData!AT$3:AT$55,""select AT where AT &lt; ""&amp;AT18&amp;"" order by AT desc limit 1"",0)), QUERY(PoliticalData!AS$3:AT$55,""select AS"&amp;" where AT = ""&amp;BB18&amp;"""",0), QUERY(PoliticalData!AS$3:AT$55,""select AS where AT = ""&amp;BA18&amp;"""",0))"),"noah.shaffir@tcstudents.org")</f>
        <v>noah.shaffir@tcstudents.org</v>
      </c>
      <c r="BD18" s="24">
        <f ca="1">IFERROR(__xludf.DUMMYFUNCTION("QUERY(PoliticalData!AV$3:AV$34,""select AV where AV &gt; ""&amp;AV18&amp;"" order by AV limit 1"",0)"),-3.79)</f>
        <v>-3.79</v>
      </c>
      <c r="BE18" s="24" t="str">
        <f ca="1">IFERROR(__xludf.DUMMYFUNCTION("QUERY(PoliticalData!AV$3:AV$50,""select AV where AV &lt; ""&amp;AV18&amp;"" order by AV desc limit 1"",0)"),"")</f>
        <v/>
      </c>
      <c r="BF18" s="26" t="str">
        <f ca="1">IFERROR(__xludf.DUMMYFUNCTION("IF((ABS(AV18-QUERY(PoliticalData!AV$3:AV$55,""select AV where AV &gt; ""&amp;AV18&amp;"" order by AV limit 1"",0))) &gt; ABS(AV18-QUERY(PoliticalData!AV$3:AV$55,""select AV where AV &lt; ""&amp;AV18&amp;"" order by AV desc limit 1"",0)), QUERY(PoliticalData!AU$3:AV$55,""select AU"&amp;" where AV = ""&amp;BE18&amp;"""",0), QUERY(PoliticalData!AU$3:AV$55,""select AU where AV = ""&amp;BD18&amp;"""",0))"),"nate.manis@tcstudents.org")</f>
        <v>nate.manis@tcstudents.org</v>
      </c>
      <c r="BG18" s="19"/>
      <c r="BH18" s="24" t="e">
        <f t="shared" ca="1" si="14"/>
        <v>#NAME?</v>
      </c>
      <c r="BI18" s="19" t="str">
        <f t="shared" si="15"/>
        <v>No</v>
      </c>
      <c r="BJ18" s="19" t="str">
        <f t="shared" si="16"/>
        <v>Yes</v>
      </c>
      <c r="BK18" s="19" t="str">
        <f t="shared" si="17"/>
        <v>No</v>
      </c>
      <c r="BL18" s="19" t="str">
        <f t="shared" si="18"/>
        <v>No</v>
      </c>
      <c r="BM18" s="28"/>
    </row>
    <row r="19" spans="1:65" ht="15.75" customHeight="1" x14ac:dyDescent="0.35">
      <c r="A19" s="34">
        <v>44250.857074027779</v>
      </c>
      <c r="B19" s="35">
        <v>7</v>
      </c>
      <c r="C19" s="35">
        <v>6</v>
      </c>
      <c r="D19" s="35">
        <v>5</v>
      </c>
      <c r="E19" s="35">
        <v>7</v>
      </c>
      <c r="F19" s="35">
        <v>9</v>
      </c>
      <c r="G19" s="35">
        <v>8</v>
      </c>
      <c r="H19" s="35">
        <v>7</v>
      </c>
      <c r="I19" s="35">
        <v>10</v>
      </c>
      <c r="J19" s="35">
        <v>6</v>
      </c>
      <c r="K19" s="35">
        <v>3</v>
      </c>
      <c r="L19" s="35">
        <v>8</v>
      </c>
      <c r="M19" s="35">
        <v>1</v>
      </c>
      <c r="N19" s="35">
        <v>10</v>
      </c>
      <c r="O19" s="35">
        <v>6</v>
      </c>
      <c r="P19" s="35">
        <v>7</v>
      </c>
      <c r="Q19" s="35">
        <v>6</v>
      </c>
      <c r="R19" s="35">
        <v>7</v>
      </c>
      <c r="S19" s="35">
        <v>9</v>
      </c>
      <c r="T19" s="35">
        <v>8</v>
      </c>
      <c r="U19" s="35">
        <v>10</v>
      </c>
      <c r="V19" s="35">
        <v>9</v>
      </c>
      <c r="W19" s="35">
        <v>5</v>
      </c>
      <c r="X19" s="35">
        <v>6</v>
      </c>
      <c r="Y19" s="35">
        <v>3</v>
      </c>
      <c r="Z19" s="35">
        <v>7</v>
      </c>
      <c r="AA19" s="35">
        <v>4</v>
      </c>
      <c r="AB19" s="35">
        <v>8</v>
      </c>
      <c r="AC19" s="35">
        <v>0</v>
      </c>
      <c r="AD19" s="12"/>
      <c r="AE19" s="13">
        <f t="shared" si="0"/>
        <v>6.9473684210526319</v>
      </c>
      <c r="AF19" s="14">
        <f t="shared" si="1"/>
        <v>3.0526315789473681</v>
      </c>
      <c r="AG19" s="14">
        <f t="shared" si="2"/>
        <v>6.85</v>
      </c>
      <c r="AH19" s="14">
        <f t="shared" si="3"/>
        <v>3.1500000000000004</v>
      </c>
      <c r="AI19" s="14">
        <f t="shared" si="4"/>
        <v>7.2105263157894735</v>
      </c>
      <c r="AJ19" s="14">
        <f t="shared" si="5"/>
        <v>2.7894736842105265</v>
      </c>
      <c r="AK19" s="15" t="str">
        <f t="shared" si="6"/>
        <v>Conservative:</v>
      </c>
      <c r="AL19" s="16">
        <f t="shared" si="7"/>
        <v>6.9473684210526319</v>
      </c>
      <c r="AM19" s="17" t="str">
        <f t="shared" si="8"/>
        <v>Conservative:</v>
      </c>
      <c r="AN19" s="16">
        <f t="shared" si="9"/>
        <v>6.85</v>
      </c>
      <c r="AO19" s="17" t="str">
        <f t="shared" si="10"/>
        <v>Libertarian:</v>
      </c>
      <c r="AP19" s="16">
        <f t="shared" si="11"/>
        <v>7.2105263157894735</v>
      </c>
      <c r="AQ19" s="36" t="s">
        <v>85</v>
      </c>
      <c r="AR19" s="19">
        <f t="shared" ref="AR19:AR24" si="22">ROUND(IF(AE19 &gt; 5, (AE19*2)-10, (-AF19*2)+10), 2)</f>
        <v>3.89</v>
      </c>
      <c r="AS19" s="37" t="s">
        <v>85</v>
      </c>
      <c r="AT19" s="19">
        <f t="shared" si="20"/>
        <v>3.7</v>
      </c>
      <c r="AU19" s="37" t="s">
        <v>85</v>
      </c>
      <c r="AV19" s="19">
        <f t="shared" si="21"/>
        <v>4.42</v>
      </c>
      <c r="AW19" s="21"/>
      <c r="AX19" s="22">
        <f ca="1">IFERROR(__xludf.DUMMYFUNCTION("QUERY(PoliticalData!AR$3:AR$55,""select AR where AR &gt; ""&amp;AR19&amp;"" order by AR limit 1"",0)"),4)</f>
        <v>4</v>
      </c>
      <c r="AY19" s="22">
        <f ca="1">IFERROR(__xludf.DUMMYFUNCTION("QUERY(PoliticalData!AR$3:AR$55,""select AR where AR &lt; ""&amp;AR19&amp;"" order by AR desc limit 1"",0)"),3.68)</f>
        <v>3.68</v>
      </c>
      <c r="AZ19" s="23" t="str">
        <f ca="1">IFERROR(__xludf.DUMMYFUNCTION("IF((ABS(AR19-QUERY(PoliticalData!AR$3:AR$55,""select AR where AR &gt; ""&amp;AR19&amp;"" order by AR limit 1"",0))) &gt; ABS(AR19-QUERY(PoliticalData!AR$3:AR$55,""select AR where AR &lt; ""&amp;AR19&amp;"" order by AR desc limit 1"",0)), QUERY(PoliticalData!AQ$3:AR$55,""select AQ"&amp;" where AR = ""&amp;AY19&amp;"""",0), QUERY(PoliticalData!AQ$3:AR$55,""select AQ where AR = ""&amp;AX19&amp;"""",0))"),"zev.bell@tcstudents.org")</f>
        <v>zev.bell@tcstudents.org</v>
      </c>
      <c r="BA19" s="24">
        <f ca="1">IFERROR(__xludf.DUMMYFUNCTION("QUERY(PoliticalData!AT$3:AT$34,""select AT where AT &gt; ""&amp;AT19&amp;"" order by AT limit 1"",0)"),3.99)</f>
        <v>3.99</v>
      </c>
      <c r="BB19" s="24">
        <f ca="1">IFERROR(__xludf.DUMMYFUNCTION("QUERY(PoliticalData!AT$3:AT$50,""select AT where AT &lt; ""&amp;AT19&amp;"" order by AT desc limit 1"",0)"),3.3)</f>
        <v>3.3</v>
      </c>
      <c r="BC19" s="25" t="str">
        <f ca="1">IFERROR(__xludf.DUMMYFUNCTION("IF((ABS(AT19-QUERY(PoliticalData!AT$3:AT$55,""select AT where AT &gt; ""&amp;AT19&amp;"" order by AT limit 1"",0))) &gt; ABS(AT19-QUERY(PoliticalData!AT$3:AT$55,""select AT where AT &lt; ""&amp;AT19&amp;"" order by AT desc limit 1"",0)), QUERY(PoliticalData!AS$3:AT$55,""select AS"&amp;" where AT = ""&amp;BB19&amp;"""",0), QUERY(PoliticalData!AS$3:AT$55,""select AS where AT = ""&amp;BA19&amp;"""",0))"),"zachary.muraven@tcstudents.org")</f>
        <v>zachary.muraven@tcstudents.org</v>
      </c>
      <c r="BD19" s="24">
        <f ca="1">IFERROR(__xludf.DUMMYFUNCTION("QUERY(PoliticalData!AV$3:AV$34,""select AV where AV &gt; ""&amp;AV19&amp;"" order by AV limit 1"",0)"),4.84)</f>
        <v>4.84</v>
      </c>
      <c r="BE19" s="24">
        <f ca="1">IFERROR(__xludf.DUMMYFUNCTION("QUERY(PoliticalData!AV$3:AV$50,""select AV where AV &lt; ""&amp;AV19&amp;"" order by AV desc limit 1"",0)"),4.4)</f>
        <v>4.4000000000000004</v>
      </c>
      <c r="BF19" s="26" t="str">
        <f ca="1">IFERROR(__xludf.DUMMYFUNCTION("IF((ABS(AV19-QUERY(PoliticalData!AV$3:AV$55,""select AV where AV &gt; ""&amp;AV19&amp;"" order by AV limit 1"",0))) &gt; ABS(AV19-QUERY(PoliticalData!AV$3:AV$55,""select AV where AV &lt; ""&amp;AV19&amp;"" order by AV desc limit 1"",0)), QUERY(PoliticalData!AU$3:AV$55,""select AU"&amp;" where AV = ""&amp;BE19&amp;"""",0), QUERY(PoliticalData!AU$3:AV$55,""select AU where AV = ""&amp;BD19&amp;"""",0))"),"eliyahu.freudenstein@tcstudents.org")</f>
        <v>eliyahu.freudenstein@tcstudents.org</v>
      </c>
      <c r="BG19" s="19"/>
      <c r="BH19" s="24" t="e">
        <f t="shared" ca="1" si="14"/>
        <v>#NAME?</v>
      </c>
      <c r="BI19" s="19" t="str">
        <f t="shared" si="15"/>
        <v>No</v>
      </c>
      <c r="BJ19" s="19" t="str">
        <f t="shared" si="16"/>
        <v>No</v>
      </c>
      <c r="BK19" s="19" t="str">
        <f t="shared" si="17"/>
        <v>No</v>
      </c>
      <c r="BL19" s="19" t="str">
        <f t="shared" si="18"/>
        <v>No</v>
      </c>
      <c r="BM19" s="28"/>
    </row>
    <row r="20" spans="1:65" ht="15.75" customHeight="1" x14ac:dyDescent="0.35">
      <c r="A20" s="39">
        <v>44250.860963310188</v>
      </c>
      <c r="B20" s="40">
        <v>9</v>
      </c>
      <c r="C20" s="40">
        <v>8</v>
      </c>
      <c r="D20" s="40">
        <v>4</v>
      </c>
      <c r="E20" s="40">
        <v>8</v>
      </c>
      <c r="F20" s="40">
        <v>5</v>
      </c>
      <c r="G20" s="40">
        <v>10</v>
      </c>
      <c r="H20" s="40">
        <v>7</v>
      </c>
      <c r="I20" s="40">
        <v>8</v>
      </c>
      <c r="J20" s="40">
        <v>9</v>
      </c>
      <c r="K20" s="40">
        <v>7</v>
      </c>
      <c r="L20" s="40">
        <v>4</v>
      </c>
      <c r="M20" s="40">
        <v>10</v>
      </c>
      <c r="N20" s="40">
        <v>7</v>
      </c>
      <c r="O20" s="40">
        <v>8</v>
      </c>
      <c r="P20" s="40">
        <v>5</v>
      </c>
      <c r="Q20" s="40">
        <v>8</v>
      </c>
      <c r="R20" s="40">
        <v>8</v>
      </c>
      <c r="S20" s="40">
        <v>10</v>
      </c>
      <c r="T20" s="40">
        <v>10</v>
      </c>
      <c r="U20" s="40">
        <v>8</v>
      </c>
      <c r="V20" s="40">
        <v>3</v>
      </c>
      <c r="W20" s="40">
        <v>2</v>
      </c>
      <c r="X20" s="40">
        <v>2</v>
      </c>
      <c r="Y20" s="40">
        <v>6</v>
      </c>
      <c r="Z20" s="41"/>
      <c r="AA20" s="40">
        <v>10</v>
      </c>
      <c r="AB20" s="40">
        <v>9</v>
      </c>
      <c r="AC20" s="40">
        <v>3</v>
      </c>
      <c r="AD20" s="12"/>
      <c r="AE20" s="13">
        <f t="shared" si="0"/>
        <v>7.7222222222222223</v>
      </c>
      <c r="AF20" s="14">
        <f t="shared" si="1"/>
        <v>2.2777777777777777</v>
      </c>
      <c r="AG20" s="14">
        <f t="shared" si="2"/>
        <v>6.6315789473684212</v>
      </c>
      <c r="AH20" s="14">
        <f t="shared" si="3"/>
        <v>3.3684210526315788</v>
      </c>
      <c r="AI20" s="14">
        <f t="shared" si="4"/>
        <v>8.0526315789473681</v>
      </c>
      <c r="AJ20" s="14">
        <f t="shared" si="5"/>
        <v>1.9473684210526319</v>
      </c>
      <c r="AK20" s="15" t="str">
        <f t="shared" si="6"/>
        <v>Conservative:</v>
      </c>
      <c r="AL20" s="16">
        <f t="shared" si="7"/>
        <v>7.7222222222222223</v>
      </c>
      <c r="AM20" s="17" t="str">
        <f t="shared" si="8"/>
        <v>Conservative:</v>
      </c>
      <c r="AN20" s="16">
        <f t="shared" si="9"/>
        <v>6.6315789473684212</v>
      </c>
      <c r="AO20" s="17" t="str">
        <f t="shared" si="10"/>
        <v>Libertarian:</v>
      </c>
      <c r="AP20" s="16">
        <f t="shared" si="11"/>
        <v>8.0526315789473681</v>
      </c>
      <c r="AQ20" s="36" t="s">
        <v>86</v>
      </c>
      <c r="AR20" s="19">
        <f t="shared" si="22"/>
        <v>5.44</v>
      </c>
      <c r="AS20" s="37" t="s">
        <v>86</v>
      </c>
      <c r="AT20" s="19">
        <f t="shared" si="20"/>
        <v>3.26</v>
      </c>
      <c r="AU20" s="37" t="s">
        <v>86</v>
      </c>
      <c r="AV20" s="19">
        <f t="shared" si="21"/>
        <v>6.11</v>
      </c>
      <c r="AW20" s="21"/>
      <c r="AX20" s="22">
        <f ca="1">IFERROR(__xludf.DUMMYFUNCTION("QUERY(PoliticalData!AR$3:AR$55,""select AR where AR &gt; ""&amp;AR20&amp;"" order by AR limit 1"",0)"),5.89)</f>
        <v>5.89</v>
      </c>
      <c r="AY20" s="22">
        <f ca="1">IFERROR(__xludf.DUMMYFUNCTION("QUERY(PoliticalData!AR$3:AR$55,""select AR where AR &lt; ""&amp;AR20&amp;"" order by AR desc limit 1"",0)"),5.26)</f>
        <v>5.26</v>
      </c>
      <c r="AZ20" s="23" t="str">
        <f ca="1">IFERROR(__xludf.DUMMYFUNCTION("IF((ABS(AR20-QUERY(PoliticalData!AR$3:AR$55,""select AR where AR &gt; ""&amp;AR20&amp;"" order by AR limit 1"",0))) &gt; ABS(AR20-QUERY(PoliticalData!AR$3:AR$55,""select AR where AR &lt; ""&amp;AR20&amp;"" order by AR desc limit 1"",0)), QUERY(PoliticalData!AQ$3:AR$55,""select AQ"&amp;" where AR = ""&amp;AY20&amp;"""",0), QUERY(PoliticalData!AQ$3:AR$55,""select AQ where AR = ""&amp;AX20&amp;"""",0))"),"lev.pollock@tcstudents.org")</f>
        <v>lev.pollock@tcstudents.org</v>
      </c>
      <c r="BA20" s="24">
        <f ca="1">IFERROR(__xludf.DUMMYFUNCTION("QUERY(PoliticalData!AT$3:AT$34,""select AT where AT &gt; ""&amp;AT20&amp;"" order by AT limit 1"",0)"),3.3)</f>
        <v>3.3</v>
      </c>
      <c r="BB20" s="24">
        <f ca="1">IFERROR(__xludf.DUMMYFUNCTION("QUERY(PoliticalData!AT$3:AT$50,""select AT where AT &lt; ""&amp;AT20&amp;"" order by AT desc limit 1"",0)"),2.2)</f>
        <v>2.2000000000000002</v>
      </c>
      <c r="BC20" s="25" t="str">
        <f ca="1">IFERROR(__xludf.DUMMYFUNCTION("IF((ABS(AT20-QUERY(PoliticalData!AT$3:AT$55,""select AT where AT &gt; ""&amp;AT20&amp;"" order by AT limit 1"",0))) &gt; ABS(AT20-QUERY(PoliticalData!AT$3:AT$55,""select AT where AT &lt; ""&amp;AT20&amp;"" order by AT desc limit 1"",0)), QUERY(PoliticalData!AS$3:AT$55,""select AS"&amp;" where AT = ""&amp;BB20&amp;"""",0), QUERY(PoliticalData!AS$3:AT$55,""select AS where AT = ""&amp;BA20&amp;"""",0))"),"eliyahu.freudenstein@tcstudents.org")</f>
        <v>eliyahu.freudenstein@tcstudents.org</v>
      </c>
      <c r="BD20" s="24">
        <f ca="1">IFERROR(__xludf.DUMMYFUNCTION("QUERY(PoliticalData!AV$3:AV$34,""select AV where AV &gt; ""&amp;AV20&amp;"" order by AV limit 1"",0)"),6.42)</f>
        <v>6.42</v>
      </c>
      <c r="BE20" s="24">
        <f ca="1">IFERROR(__xludf.DUMMYFUNCTION("QUERY(PoliticalData!AV$3:AV$50,""select AV where AV &lt; ""&amp;AV20&amp;"" order by AV desc limit 1"",0)"),5.58)</f>
        <v>5.58</v>
      </c>
      <c r="BF20" s="26" t="str">
        <f ca="1">IFERROR(__xludf.DUMMYFUNCTION("IF((ABS(AV20-QUERY(PoliticalData!AV$3:AV$55,""select AV where AV &gt; ""&amp;AV20&amp;"" order by AV limit 1"",0))) &gt; ABS(AV20-QUERY(PoliticalData!AV$3:AV$55,""select AV where AV &lt; ""&amp;AV20&amp;"" order by AV desc limit 1"",0)), QUERY(PoliticalData!AU$3:AV$55,""select AU"&amp;" where AV = ""&amp;BE20&amp;"""",0), QUERY(PoliticalData!AU$3:AV$55,""select AU where AV = ""&amp;BD20&amp;"""",0))"),"isaac.mansell@tcstudents.org")</f>
        <v>isaac.mansell@tcstudents.org</v>
      </c>
      <c r="BG20" s="19"/>
      <c r="BH20" s="24" t="e">
        <f t="shared" ca="1" si="14"/>
        <v>#NAME?</v>
      </c>
      <c r="BI20" s="19" t="str">
        <f t="shared" si="15"/>
        <v>No</v>
      </c>
      <c r="BJ20" s="19" t="str">
        <f t="shared" si="16"/>
        <v>No</v>
      </c>
      <c r="BK20" s="19" t="str">
        <f t="shared" si="17"/>
        <v>No</v>
      </c>
      <c r="BL20" s="19" t="str">
        <f t="shared" si="18"/>
        <v>Yes</v>
      </c>
      <c r="BM20" s="28"/>
    </row>
    <row r="21" spans="1:65" ht="15.75" customHeight="1" x14ac:dyDescent="0.35">
      <c r="A21" s="39">
        <v>44250.873498263885</v>
      </c>
      <c r="B21" s="40">
        <v>7</v>
      </c>
      <c r="C21" s="40">
        <v>3</v>
      </c>
      <c r="D21" s="40">
        <v>3</v>
      </c>
      <c r="E21" s="40">
        <v>6</v>
      </c>
      <c r="F21" s="40">
        <v>7</v>
      </c>
      <c r="G21" s="40">
        <v>8</v>
      </c>
      <c r="H21" s="40">
        <v>6</v>
      </c>
      <c r="I21" s="40">
        <v>7</v>
      </c>
      <c r="J21" s="40">
        <v>7</v>
      </c>
      <c r="K21" s="40">
        <v>6</v>
      </c>
      <c r="L21" s="40">
        <v>7</v>
      </c>
      <c r="M21" s="40">
        <v>0</v>
      </c>
      <c r="N21" s="40">
        <v>6</v>
      </c>
      <c r="O21" s="40">
        <v>6</v>
      </c>
      <c r="P21" s="40">
        <v>0</v>
      </c>
      <c r="Q21" s="40">
        <v>9</v>
      </c>
      <c r="R21" s="40">
        <v>4</v>
      </c>
      <c r="S21" s="40">
        <v>7</v>
      </c>
      <c r="T21" s="40">
        <v>8</v>
      </c>
      <c r="U21" s="40">
        <v>10</v>
      </c>
      <c r="V21" s="40">
        <v>10</v>
      </c>
      <c r="W21" s="40">
        <v>6</v>
      </c>
      <c r="X21" s="40">
        <v>8</v>
      </c>
      <c r="Y21" s="40">
        <v>10</v>
      </c>
      <c r="Z21" s="40">
        <v>7</v>
      </c>
      <c r="AA21" s="40">
        <v>8</v>
      </c>
      <c r="AB21" s="40">
        <v>6</v>
      </c>
      <c r="AC21" s="40">
        <v>0</v>
      </c>
      <c r="AD21" s="12"/>
      <c r="AE21" s="13">
        <f t="shared" si="0"/>
        <v>5.9473684210526319</v>
      </c>
      <c r="AF21" s="14">
        <f t="shared" si="1"/>
        <v>4.0526315789473681</v>
      </c>
      <c r="AG21" s="14">
        <f t="shared" si="2"/>
        <v>7.35</v>
      </c>
      <c r="AH21" s="14">
        <f t="shared" si="3"/>
        <v>2.6500000000000004</v>
      </c>
      <c r="AI21" s="14">
        <f t="shared" si="4"/>
        <v>6.1052631578947372</v>
      </c>
      <c r="AJ21" s="14">
        <f t="shared" si="5"/>
        <v>3.8947368421052628</v>
      </c>
      <c r="AK21" s="15" t="str">
        <f t="shared" si="6"/>
        <v>Conservative:</v>
      </c>
      <c r="AL21" s="16">
        <f t="shared" si="7"/>
        <v>5.9473684210526319</v>
      </c>
      <c r="AM21" s="17" t="str">
        <f t="shared" si="8"/>
        <v>Conservative:</v>
      </c>
      <c r="AN21" s="16">
        <f t="shared" si="9"/>
        <v>7.35</v>
      </c>
      <c r="AO21" s="17" t="str">
        <f t="shared" si="10"/>
        <v>Libertarian:</v>
      </c>
      <c r="AP21" s="16">
        <f t="shared" si="11"/>
        <v>6.1052631578947372</v>
      </c>
      <c r="AQ21" s="36" t="s">
        <v>87</v>
      </c>
      <c r="AR21" s="19">
        <f t="shared" si="22"/>
        <v>1.89</v>
      </c>
      <c r="AS21" s="37" t="s">
        <v>87</v>
      </c>
      <c r="AT21" s="19">
        <f t="shared" si="20"/>
        <v>4.7</v>
      </c>
      <c r="AU21" s="37" t="s">
        <v>87</v>
      </c>
      <c r="AV21" s="19">
        <f t="shared" si="21"/>
        <v>2.21</v>
      </c>
      <c r="AW21" s="21"/>
      <c r="AX21" s="22">
        <f ca="1">IFERROR(__xludf.DUMMYFUNCTION("QUERY(PoliticalData!AR$3:AR$55,""select AR where AR &gt; ""&amp;AR21&amp;"" order by AR limit 1"",0)"),2.74)</f>
        <v>2.74</v>
      </c>
      <c r="AY21" s="22">
        <f ca="1">IFERROR(__xludf.DUMMYFUNCTION("QUERY(PoliticalData!AR$3:AR$55,""select AR where AR &lt; ""&amp;AR21&amp;"" order by AR desc limit 1"",0)"),1.58)</f>
        <v>1.58</v>
      </c>
      <c r="AZ21" s="23" t="str">
        <f ca="1">IFERROR(__xludf.DUMMYFUNCTION("IF((ABS(AR21-QUERY(PoliticalData!AR$3:AR$55,""select AR where AR &gt; ""&amp;AR21&amp;"" order by AR limit 1"",0))) &gt; ABS(AR21-QUERY(PoliticalData!AR$3:AR$55,""select AR where AR &lt; ""&amp;AR21&amp;"" order by AR desc limit 1"",0)), QUERY(PoliticalData!AQ$3:AR$55,""select AQ"&amp;" where AR = ""&amp;AY21&amp;"""",0), QUERY(PoliticalData!AQ$3:AR$55,""select AQ where AR = ""&amp;AX21&amp;"""",0))"),"kyle.goldenberg@tcstudents.org")</f>
        <v>kyle.goldenberg@tcstudents.org</v>
      </c>
      <c r="BA21" s="24">
        <f ca="1">IFERROR(__xludf.DUMMYFUNCTION("QUERY(PoliticalData!AT$3:AT$34,""select AT where AT &gt; ""&amp;AT21&amp;"" order by AT limit 1"",0)"),4.79)</f>
        <v>4.79</v>
      </c>
      <c r="BB21" s="24">
        <f ca="1">IFERROR(__xludf.DUMMYFUNCTION("QUERY(PoliticalData!AT$3:AT$50,""select AT where AT &lt; ""&amp;AT21&amp;"" order by AT desc limit 1"",0)"),4.5)</f>
        <v>4.5</v>
      </c>
      <c r="BC21" s="25" t="str">
        <f ca="1">IFERROR(__xludf.DUMMYFUNCTION("IF((ABS(AT21-QUERY(PoliticalData!AT$3:AT$55,""select AT where AT &gt; ""&amp;AT21&amp;"" order by AT limit 1"",0))) &gt; ABS(AT21-QUERY(PoliticalData!AT$3:AT$55,""select AT where AT &lt; ""&amp;AT21&amp;"" order by AT desc limit 1"",0)), QUERY(PoliticalData!AS$3:AT$55,""select AS"&amp;" where AT = ""&amp;BB21&amp;"""",0), QUERY(PoliticalData!AS$3:AT$55,""select AS where AT = ""&amp;BA21&amp;"""",0))"),"lev.pollock@tcstudents.org")</f>
        <v>lev.pollock@tcstudents.org</v>
      </c>
      <c r="BD21" s="24">
        <f ca="1">IFERROR(__xludf.DUMMYFUNCTION("QUERY(PoliticalData!AV$3:AV$34,""select AV where AV &gt; ""&amp;AV21&amp;"" order by AV limit 1"",0)"),2.63)</f>
        <v>2.63</v>
      </c>
      <c r="BE21" s="24">
        <f ca="1">IFERROR(__xludf.DUMMYFUNCTION("QUERY(PoliticalData!AV$3:AV$50,""select AV where AV &lt; ""&amp;AV21&amp;"" order by AV desc limit 1"",0)"),2.2)</f>
        <v>2.2000000000000002</v>
      </c>
      <c r="BF21" s="26" t="str">
        <f ca="1">IFERROR(__xludf.DUMMYFUNCTION("IF((ABS(AV21-QUERY(PoliticalData!AV$3:AV$55,""select AV where AV &gt; ""&amp;AV21&amp;"" order by AV limit 1"",0))) &gt; ABS(AV21-QUERY(PoliticalData!AV$3:AV$55,""select AV where AV &lt; ""&amp;AV21&amp;"" order by AV desc limit 1"",0)), QUERY(PoliticalData!AU$3:AV$55,""select AU"&amp;" where AV = ""&amp;BE21&amp;"""",0), QUERY(PoliticalData!AU$3:AV$55,""select AU where AV = ""&amp;BD21&amp;"""",0))"),"ori.epstien@tcstudents.org")</f>
        <v>ori.epstien@tcstudents.org</v>
      </c>
      <c r="BG21" s="19"/>
      <c r="BH21" s="24" t="e">
        <f t="shared" ca="1" si="14"/>
        <v>#NAME?</v>
      </c>
      <c r="BI21" s="19" t="str">
        <f t="shared" si="15"/>
        <v>No</v>
      </c>
      <c r="BJ21" s="19" t="str">
        <f t="shared" si="16"/>
        <v>No</v>
      </c>
      <c r="BK21" s="19" t="str">
        <f t="shared" si="17"/>
        <v>No</v>
      </c>
      <c r="BL21" s="19" t="str">
        <f t="shared" si="18"/>
        <v>No</v>
      </c>
      <c r="BM21" s="28"/>
    </row>
    <row r="22" spans="1:65" ht="15.75" customHeight="1" x14ac:dyDescent="0.35">
      <c r="A22" s="39">
        <v>44250.88159715278</v>
      </c>
      <c r="B22" s="40">
        <v>10</v>
      </c>
      <c r="C22" s="40">
        <v>10</v>
      </c>
      <c r="D22" s="40">
        <v>10</v>
      </c>
      <c r="E22" s="40">
        <v>10</v>
      </c>
      <c r="F22" s="40">
        <v>10</v>
      </c>
      <c r="G22" s="40">
        <v>10</v>
      </c>
      <c r="H22" s="40">
        <v>10</v>
      </c>
      <c r="I22" s="40">
        <v>10</v>
      </c>
      <c r="J22" s="40">
        <v>10</v>
      </c>
      <c r="K22" s="40">
        <v>10</v>
      </c>
      <c r="L22" s="40">
        <v>10</v>
      </c>
      <c r="M22" s="40">
        <v>10</v>
      </c>
      <c r="N22" s="40">
        <v>10</v>
      </c>
      <c r="O22" s="40">
        <v>10</v>
      </c>
      <c r="P22" s="40">
        <v>10</v>
      </c>
      <c r="Q22" s="40">
        <v>10</v>
      </c>
      <c r="R22" s="40">
        <v>10</v>
      </c>
      <c r="S22" s="40">
        <v>10</v>
      </c>
      <c r="T22" s="40">
        <v>10</v>
      </c>
      <c r="U22" s="40">
        <v>10</v>
      </c>
      <c r="V22" s="40">
        <v>10</v>
      </c>
      <c r="W22" s="40">
        <v>10</v>
      </c>
      <c r="X22" s="40">
        <v>10</v>
      </c>
      <c r="Y22" s="40">
        <v>10</v>
      </c>
      <c r="Z22" s="40">
        <v>10</v>
      </c>
      <c r="AA22" s="40">
        <v>10</v>
      </c>
      <c r="AB22" s="40">
        <v>10</v>
      </c>
      <c r="AC22" s="40">
        <v>10</v>
      </c>
      <c r="AD22" s="12"/>
      <c r="AE22" s="13">
        <f t="shared" si="0"/>
        <v>10</v>
      </c>
      <c r="AF22" s="14">
        <f t="shared" si="1"/>
        <v>0</v>
      </c>
      <c r="AG22" s="14">
        <f t="shared" si="2"/>
        <v>9.5</v>
      </c>
      <c r="AH22" s="14">
        <f t="shared" si="3"/>
        <v>0.5</v>
      </c>
      <c r="AI22" s="14">
        <f t="shared" si="4"/>
        <v>10</v>
      </c>
      <c r="AJ22" s="14">
        <f t="shared" si="5"/>
        <v>0</v>
      </c>
      <c r="AK22" s="15" t="str">
        <f t="shared" si="6"/>
        <v>Conservative:</v>
      </c>
      <c r="AL22" s="16">
        <f t="shared" si="7"/>
        <v>10</v>
      </c>
      <c r="AM22" s="17" t="str">
        <f t="shared" si="8"/>
        <v>Conservative:</v>
      </c>
      <c r="AN22" s="16">
        <f t="shared" si="9"/>
        <v>9.5</v>
      </c>
      <c r="AO22" s="17" t="str">
        <f t="shared" si="10"/>
        <v>Libertarian:</v>
      </c>
      <c r="AP22" s="16">
        <f t="shared" si="11"/>
        <v>10</v>
      </c>
      <c r="AQ22" s="36" t="s">
        <v>88</v>
      </c>
      <c r="AR22" s="19">
        <f t="shared" si="22"/>
        <v>10</v>
      </c>
      <c r="AS22" s="37" t="s">
        <v>88</v>
      </c>
      <c r="AT22" s="19">
        <f t="shared" si="20"/>
        <v>9</v>
      </c>
      <c r="AU22" s="37" t="s">
        <v>88</v>
      </c>
      <c r="AV22" s="19">
        <f t="shared" si="21"/>
        <v>10</v>
      </c>
      <c r="AW22" s="21"/>
      <c r="AX22" s="42" t="str">
        <f ca="1">IFERROR(__xludf.DUMMYFUNCTION("QUERY(PoliticalData!AR$3:AR$55,""select AR where AR &gt; ""&amp;AR22&amp;"" order by AR limit 1"",0)"),"#N/A")</f>
        <v>#N/A</v>
      </c>
      <c r="AY22" s="22">
        <f ca="1">IFERROR(__xludf.DUMMYFUNCTION("QUERY(PoliticalData!AR$3:AR$55,""select AR where AR &lt; ""&amp;AR22&amp;"" order by AR desc limit 1"",0)"),6.32)</f>
        <v>6.32</v>
      </c>
      <c r="AZ22" s="23" t="str">
        <f ca="1">IFERROR(__xludf.DUMMYFUNCTION("IF((ABS(AR22-QUERY(PoliticalData!AR$3:AR$55,""select AR where AR &gt; ""&amp;AR22&amp;"" order by AR limit 1"",1))) &gt; ABS(AR22-QUERY(PoliticalData!AR$3:AR$55,""select AR where AR &lt; ""&amp;AR22&amp;"" order by AR desc limit 1"",0)), QUERY(PoliticalData!AQ$3:AR$55,""select AQ"&amp;" where AR = ""&amp;AY22&amp;"""",0), QUERY(PoliticalData!AQ$3:AR$55,""select AQ where AR = ""&amp;AX22&amp;"""",0))"),"ethan.gasee@tcstudents.org")</f>
        <v>ethan.gasee@tcstudents.org</v>
      </c>
      <c r="BA22" s="43" t="str">
        <f ca="1">IFERROR(__xludf.DUMMYFUNCTION("QUERY(PoliticalData!AT$3:AT$34,""select AT where AT &gt; ""&amp;AT22&amp;"" order by AT limit 1"",1)"),"5.3")</f>
        <v>5.3</v>
      </c>
      <c r="BB22" s="24">
        <f ca="1">IFERROR(__xludf.DUMMYFUNCTION("QUERY(PoliticalData!AT$3:AT$50,""select AT where AT &lt; ""&amp;AT22&amp;"" order by AT desc limit 1"",0)"),6.6)</f>
        <v>6.6</v>
      </c>
      <c r="BC22" s="25" t="str">
        <f ca="1">IFERROR(__xludf.DUMMYFUNCTION("IF((ABS(AT22-QUERY(PoliticalData!AT$3:AT$55,""select AT where AT &gt; ""&amp;AT22&amp;"" order by AT limit 1"",1))) &gt; ABS(AT22-QUERY(PoliticalData!AT$3:AT$55,""select AT where AT &lt; ""&amp;AT22&amp;"" order by AT desc limit 1"",0)), QUERY(PoliticalData!AS$3:AT$55,""select AS"&amp;" where AT = ""&amp;BB22&amp;"""",0), QUERY(PoliticalData!AS$3:AT$55,""select AS where AT = ""&amp;BA22&amp;"""",0))"),"ethan.gasee@tcstudents.org")</f>
        <v>ethan.gasee@tcstudents.org</v>
      </c>
      <c r="BD22" s="43" t="str">
        <f ca="1">IFERROR(__xludf.DUMMYFUNCTION("QUERY(PoliticalData!AV$3:AV$34,""select AV where AV &gt; ""&amp;AV22&amp;"" order by AV limit 1"",1)"),"6.4")</f>
        <v>6.4</v>
      </c>
      <c r="BE22" s="24">
        <f ca="1">IFERROR(__xludf.DUMMYFUNCTION("QUERY(PoliticalData!AV$3:AV$50,""select AV where AV &lt; ""&amp;AV22&amp;"" order by AV desc limit 1"",0)"),6.42)</f>
        <v>6.42</v>
      </c>
      <c r="BF22" s="26" t="str">
        <f ca="1">IFERROR(__xludf.DUMMYFUNCTION("IF((ABS(AV22-QUERY(PoliticalData!AV$3:AV$55,""select AV where AV &gt; ""&amp;AV22&amp;"" order by AV limit 1"",1))) &gt; ABS(AV22-QUERY(PoliticalData!AV$3:AV$55,""select AV where AV &lt; ""&amp;AV22&amp;"" order by AV desc limit 1"",0)), QUERY(PoliticalData!AU$3:AV$55,""select AU"&amp;" where AV = ""&amp;BE22&amp;"""",0), QUERY(PoliticalData!AU$3:AV$55,""select AU where AV = ""&amp;BD22&amp;"""",0))"),"isaac.mansell@tcstudents.org")</f>
        <v>isaac.mansell@tcstudents.org</v>
      </c>
      <c r="BG22" s="19"/>
      <c r="BH22" s="24" t="e">
        <f t="shared" ca="1" si="14"/>
        <v>#NAME?</v>
      </c>
      <c r="BI22" s="19" t="str">
        <f t="shared" si="15"/>
        <v>Yes</v>
      </c>
      <c r="BJ22" s="19" t="str">
        <f t="shared" si="16"/>
        <v>No</v>
      </c>
      <c r="BK22" s="19" t="str">
        <f t="shared" si="17"/>
        <v>Yes</v>
      </c>
      <c r="BL22" s="19" t="str">
        <f t="shared" si="18"/>
        <v>Yes</v>
      </c>
      <c r="BM22" s="28"/>
    </row>
    <row r="23" spans="1:65" ht="15.75" customHeight="1" x14ac:dyDescent="0.35">
      <c r="A23" s="39">
        <v>44250.883395266203</v>
      </c>
      <c r="B23" s="40">
        <v>10</v>
      </c>
      <c r="C23" s="40">
        <v>10</v>
      </c>
      <c r="D23" s="40">
        <v>8</v>
      </c>
      <c r="E23" s="40">
        <v>10</v>
      </c>
      <c r="F23" s="40">
        <v>10</v>
      </c>
      <c r="G23" s="40">
        <v>8</v>
      </c>
      <c r="H23" s="40">
        <v>8</v>
      </c>
      <c r="I23" s="40">
        <v>8</v>
      </c>
      <c r="J23" s="40">
        <v>9</v>
      </c>
      <c r="K23" s="40">
        <v>10</v>
      </c>
      <c r="L23" s="40">
        <v>10</v>
      </c>
      <c r="M23" s="40">
        <v>0</v>
      </c>
      <c r="N23" s="40">
        <v>10</v>
      </c>
      <c r="O23" s="40">
        <v>1</v>
      </c>
      <c r="P23" s="40">
        <v>8</v>
      </c>
      <c r="Q23" s="40">
        <v>9</v>
      </c>
      <c r="R23" s="40">
        <v>0</v>
      </c>
      <c r="S23" s="40">
        <v>8</v>
      </c>
      <c r="T23" s="40">
        <v>9</v>
      </c>
      <c r="U23" s="40">
        <v>10</v>
      </c>
      <c r="V23" s="40">
        <v>10</v>
      </c>
      <c r="W23" s="40">
        <v>8</v>
      </c>
      <c r="X23" s="40">
        <v>0</v>
      </c>
      <c r="Y23" s="40">
        <v>10</v>
      </c>
      <c r="Z23" s="40">
        <v>8</v>
      </c>
      <c r="AA23" s="40">
        <v>10</v>
      </c>
      <c r="AB23" s="40">
        <v>10</v>
      </c>
      <c r="AC23" s="40">
        <v>6</v>
      </c>
      <c r="AD23" s="12"/>
      <c r="AE23" s="13">
        <f t="shared" si="0"/>
        <v>8.1578947368421044</v>
      </c>
      <c r="AF23" s="14">
        <f t="shared" si="1"/>
        <v>1.8421052631578956</v>
      </c>
      <c r="AG23" s="14">
        <f t="shared" si="2"/>
        <v>8.3000000000000007</v>
      </c>
      <c r="AH23" s="14">
        <f t="shared" si="3"/>
        <v>1.6999999999999993</v>
      </c>
      <c r="AI23" s="14">
        <f t="shared" si="4"/>
        <v>7.7894736842105265</v>
      </c>
      <c r="AJ23" s="14">
        <f t="shared" si="5"/>
        <v>2.2105263157894735</v>
      </c>
      <c r="AK23" s="15" t="str">
        <f t="shared" si="6"/>
        <v>Conservative:</v>
      </c>
      <c r="AL23" s="16">
        <f t="shared" si="7"/>
        <v>8.1578947368421044</v>
      </c>
      <c r="AM23" s="17" t="str">
        <f t="shared" si="8"/>
        <v>Conservative:</v>
      </c>
      <c r="AN23" s="16">
        <f t="shared" si="9"/>
        <v>8.3000000000000007</v>
      </c>
      <c r="AO23" s="17" t="str">
        <f t="shared" si="10"/>
        <v>Libertarian:</v>
      </c>
      <c r="AP23" s="16">
        <f t="shared" si="11"/>
        <v>7.7894736842105265</v>
      </c>
      <c r="AQ23" s="36" t="s">
        <v>89</v>
      </c>
      <c r="AR23" s="19">
        <f t="shared" si="22"/>
        <v>6.32</v>
      </c>
      <c r="AS23" s="37" t="s">
        <v>89</v>
      </c>
      <c r="AT23" s="19">
        <f t="shared" si="20"/>
        <v>6.6</v>
      </c>
      <c r="AU23" s="37" t="s">
        <v>89</v>
      </c>
      <c r="AV23" s="19">
        <f t="shared" si="21"/>
        <v>5.58</v>
      </c>
      <c r="AW23" s="21"/>
      <c r="AX23" s="22">
        <f ca="1">IFERROR(__xludf.DUMMYFUNCTION("QUERY(PoliticalData!AR$3:AR$55,""select AR where AR &gt; ""&amp;AR23&amp;"" order by AR limit 1"",0)"),10)</f>
        <v>10</v>
      </c>
      <c r="AY23" s="22">
        <f ca="1">IFERROR(__xludf.DUMMYFUNCTION("QUERY(PoliticalData!AR$3:AR$55,""select AR where AR &lt; ""&amp;AR23&amp;"" order by AR desc limit 1"",0)"),5.89)</f>
        <v>5.89</v>
      </c>
      <c r="AZ23" s="23" t="str">
        <f ca="1">IFERROR(__xludf.DUMMYFUNCTION("IF((ABS(AR23-QUERY(PoliticalData!AR$3:AR$55,""select AR where AR &gt; ""&amp;AR23&amp;"" order by AR limit 1"",0))) &gt; ABS(AR23-QUERY(PoliticalData!AR$3:AR$55,""select AR where AR &lt; ""&amp;AR23&amp;"" order by AR desc limit 1"",0)), QUERY(PoliticalData!AQ$3:AR$55,""select AQ"&amp;" where AR = ""&amp;AY23&amp;"""",0), QUERY(PoliticalData!AQ$3:AR$55,""select AQ where AR = ""&amp;AX23&amp;"""",0))"),"isaac.mansell@tcstudents.org")</f>
        <v>isaac.mansell@tcstudents.org</v>
      </c>
      <c r="BA23" s="24">
        <f ca="1">IFERROR(__xludf.DUMMYFUNCTION("QUERY(PoliticalData!AT$3:AT$34,""select AT where AT &gt; ""&amp;AT23&amp;"" order by AT limit 1"",0)"),9)</f>
        <v>9</v>
      </c>
      <c r="BB23" s="24">
        <f ca="1">IFERROR(__xludf.DUMMYFUNCTION("QUERY(PoliticalData!AT$3:AT$50,""select AT where AT &lt; ""&amp;AT23&amp;"" order by AT desc limit 1"",0)"),5.9)</f>
        <v>5.9</v>
      </c>
      <c r="BC23" s="25" t="str">
        <f ca="1">IFERROR(__xludf.DUMMYFUNCTION("IF((ABS(AT23-QUERY(PoliticalData!AT$3:AT$55,""select AT where AT &gt; ""&amp;AT23&amp;"" order by AT limit 1"",0))) &gt; ABS(AT23-QUERY(PoliticalData!AT$3:AT$55,""select AT where AT &lt; ""&amp;AT23&amp;"" order by AT desc limit 1"",0)), QUERY(PoliticalData!AS$3:AT$55,""select AS"&amp;" where AT = ""&amp;BB23&amp;"""",0), QUERY(PoliticalData!AS$3:AT$55,""select AS where AT = ""&amp;BA23&amp;"""",0))"),"isaac.slavens@tcstudents.org")</f>
        <v>isaac.slavens@tcstudents.org</v>
      </c>
      <c r="BD23" s="24">
        <f ca="1">IFERROR(__xludf.DUMMYFUNCTION("QUERY(PoliticalData!AV$3:AV$34,""select AV where AV &gt; ""&amp;AV23&amp;"" order by AV limit 1"",0)"),6.11)</f>
        <v>6.11</v>
      </c>
      <c r="BE23" s="24">
        <f ca="1">IFERROR(__xludf.DUMMYFUNCTION("QUERY(PoliticalData!AV$3:AV$50,""select AV where AV &lt; ""&amp;AV23&amp;"" order by AV desc limit 1"",0)"),5.47)</f>
        <v>5.47</v>
      </c>
      <c r="BF23" s="26" t="str">
        <f ca="1">IFERROR(__xludf.DUMMYFUNCTION("IF((ABS(AV23-QUERY(PoliticalData!AV$3:AV$55,""select AV where AV &gt; ""&amp;AV23&amp;"" order by AV limit 1"",0))) &gt; ABS(AV23-QUERY(PoliticalData!AV$3:AV$55,""select AV where AV &lt; ""&amp;AV23&amp;"" order by AV desc limit 1"",0)), QUERY(PoliticalData!AU$3:AV$55,""select AU"&amp;" where AV = ""&amp;BE23&amp;"""",0), QUERY(PoliticalData!AU$3:AV$55,""select AU where AV = ""&amp;BD23&amp;"""",0))"),"lev.pollock@tcstudents.org")</f>
        <v>lev.pollock@tcstudents.org</v>
      </c>
      <c r="BG23" s="19"/>
      <c r="BH23" s="24" t="e">
        <f t="shared" ca="1" si="14"/>
        <v>#NAME?</v>
      </c>
      <c r="BI23" s="19" t="str">
        <f t="shared" si="15"/>
        <v>No</v>
      </c>
      <c r="BJ23" s="19" t="str">
        <f t="shared" si="16"/>
        <v>No</v>
      </c>
      <c r="BK23" s="19" t="str">
        <f t="shared" si="17"/>
        <v>Yes</v>
      </c>
      <c r="BL23" s="19" t="str">
        <f t="shared" si="18"/>
        <v>Yes</v>
      </c>
      <c r="BM23" s="28"/>
    </row>
    <row r="24" spans="1:65" ht="14.5" x14ac:dyDescent="0.35">
      <c r="A24" s="39">
        <v>44250.890543472226</v>
      </c>
      <c r="B24" s="40">
        <v>8</v>
      </c>
      <c r="C24" s="40">
        <v>3</v>
      </c>
      <c r="D24" s="40">
        <v>5</v>
      </c>
      <c r="E24" s="40">
        <v>8</v>
      </c>
      <c r="F24" s="40">
        <v>8</v>
      </c>
      <c r="G24" s="40">
        <v>8</v>
      </c>
      <c r="H24" s="40">
        <v>7</v>
      </c>
      <c r="I24" s="40">
        <v>7</v>
      </c>
      <c r="J24" s="40">
        <v>7</v>
      </c>
      <c r="K24" s="40">
        <v>7</v>
      </c>
      <c r="L24" s="40">
        <v>8</v>
      </c>
      <c r="M24" s="40">
        <v>9</v>
      </c>
      <c r="N24" s="40">
        <v>8</v>
      </c>
      <c r="O24" s="40">
        <v>5</v>
      </c>
      <c r="P24" s="40">
        <v>3</v>
      </c>
      <c r="Q24" s="40">
        <v>10</v>
      </c>
      <c r="R24" s="40">
        <v>10</v>
      </c>
      <c r="S24" s="40">
        <v>7</v>
      </c>
      <c r="T24" s="40">
        <v>9</v>
      </c>
      <c r="U24" s="40">
        <v>10</v>
      </c>
      <c r="V24" s="40">
        <v>10</v>
      </c>
      <c r="W24" s="40">
        <v>2</v>
      </c>
      <c r="X24" s="40">
        <v>9</v>
      </c>
      <c r="Y24" s="40">
        <v>9</v>
      </c>
      <c r="Z24" s="40">
        <v>7</v>
      </c>
      <c r="AA24" s="40">
        <v>7</v>
      </c>
      <c r="AB24" s="40">
        <v>9</v>
      </c>
      <c r="AC24" s="40">
        <v>2</v>
      </c>
      <c r="AD24" s="12"/>
      <c r="AE24" s="13">
        <f t="shared" si="0"/>
        <v>7</v>
      </c>
      <c r="AF24" s="14">
        <f t="shared" si="1"/>
        <v>3</v>
      </c>
      <c r="AG24" s="14">
        <f t="shared" si="2"/>
        <v>7.15</v>
      </c>
      <c r="AH24" s="14">
        <f t="shared" si="3"/>
        <v>2.8499999999999996</v>
      </c>
      <c r="AI24" s="14">
        <f t="shared" si="4"/>
        <v>7.5263157894736841</v>
      </c>
      <c r="AJ24" s="14">
        <f t="shared" si="5"/>
        <v>2.4736842105263159</v>
      </c>
      <c r="AK24" s="15" t="str">
        <f t="shared" si="6"/>
        <v>Conservative:</v>
      </c>
      <c r="AL24" s="16">
        <f t="shared" si="7"/>
        <v>7</v>
      </c>
      <c r="AM24" s="17" t="str">
        <f t="shared" si="8"/>
        <v>Conservative:</v>
      </c>
      <c r="AN24" s="16">
        <f t="shared" si="9"/>
        <v>7.15</v>
      </c>
      <c r="AO24" s="17" t="str">
        <f t="shared" si="10"/>
        <v>Libertarian:</v>
      </c>
      <c r="AP24" s="16">
        <f t="shared" si="11"/>
        <v>7.5263157894736841</v>
      </c>
      <c r="AQ24" s="36" t="s">
        <v>90</v>
      </c>
      <c r="AR24" s="19">
        <f t="shared" si="22"/>
        <v>4</v>
      </c>
      <c r="AS24" s="37" t="s">
        <v>90</v>
      </c>
      <c r="AT24" s="19">
        <f t="shared" si="20"/>
        <v>4.3</v>
      </c>
      <c r="AU24" s="37" t="s">
        <v>90</v>
      </c>
      <c r="AV24" s="19">
        <f t="shared" si="21"/>
        <v>5.05</v>
      </c>
      <c r="AW24" s="21"/>
      <c r="AX24" s="22">
        <f ca="1">IFERROR(__xludf.DUMMYFUNCTION("QUERY(PoliticalData!AR$3:AR$55,""select AR where AR &gt; ""&amp;AR24&amp;"" order by AR limit 1"",0)"),4.01)</f>
        <v>4.01</v>
      </c>
      <c r="AY24" s="22">
        <f ca="1">IFERROR(__xludf.DUMMYFUNCTION("QUERY(PoliticalData!AR$3:AR$55,""select AR where AR &lt; ""&amp;AR24&amp;"" order by AR desc limit 1"",0)"),3.89)</f>
        <v>3.89</v>
      </c>
      <c r="AZ24" s="23" t="str">
        <f ca="1">IFERROR(__xludf.DUMMYFUNCTION("IF((ABS(AR24-QUERY(PoliticalData!AR$3:AR$55,""select AR where AR &gt; ""&amp;AR24&amp;"" order by AR limit 1"",0))) &gt; ABS(AR24-QUERY(PoliticalData!AR$3:AR$55,""select AR where AR &lt; ""&amp;AR24&amp;"" order by AR desc limit 1"",0)), QUERY(PoliticalData!AQ$3:AR$55,""select AQ"&amp;" where AR = ""&amp;AY24&amp;"""",0), QUERY(PoliticalData!AQ$3:AR$55,""select AQ where AR = ""&amp;AX24&amp;"""",0))"),"isaac.slavens@tcstudents.org")</f>
        <v>isaac.slavens@tcstudents.org</v>
      </c>
      <c r="BA24" s="24">
        <f ca="1">IFERROR(__xludf.DUMMYFUNCTION("QUERY(PoliticalData!AT$3:AT$34,""select AT where AT &gt; ""&amp;AT24&amp;"" order by AT limit 1"",0)"),4.5)</f>
        <v>4.5</v>
      </c>
      <c r="BB24" s="24">
        <f ca="1">IFERROR(__xludf.DUMMYFUNCTION("QUERY(PoliticalData!AT$3:AT$50,""select AT where AT &lt; ""&amp;AT24&amp;"" order by AT desc limit 1"",0)"),4.1)</f>
        <v>4.0999999999999996</v>
      </c>
      <c r="BC24" s="25" t="str">
        <f ca="1">IFERROR(__xludf.DUMMYFUNCTION("IF((ABS(AT24-QUERY(PoliticalData!AT$3:AT$55,""select AT where AT &gt; ""&amp;AT24&amp;"" order by AT limit 1"",0))) &gt; ABS(AT24-QUERY(PoliticalData!AT$3:AT$55,""select AT where AT &lt; ""&amp;AT24&amp;"" order by AT desc limit 1"",0)), QUERY(PoliticalData!AS$3:AT$55,""select AS"&amp;" where AT = ""&amp;BB24&amp;"""",0), QUERY(PoliticalData!AS$3:AT$55,""select AS where AT = ""&amp;BA24&amp;"""",0))"),"caleb.mansell@tcstudents.org")</f>
        <v>caleb.mansell@tcstudents.org</v>
      </c>
      <c r="BD24" s="24">
        <f ca="1">IFERROR(__xludf.DUMMYFUNCTION("QUERY(PoliticalData!AV$3:AV$34,""select AV where AV &gt; ""&amp;AV24&amp;"" order by AV limit 1"",0)"),5.46)</f>
        <v>5.46</v>
      </c>
      <c r="BE24" s="24">
        <f ca="1">IFERROR(__xludf.DUMMYFUNCTION("QUERY(PoliticalData!AV$3:AV$50,""select AV where AV &lt; ""&amp;AV24&amp;"" order by AV desc limit 1"",0)"),4.84)</f>
        <v>4.84</v>
      </c>
      <c r="BF24" s="26" t="str">
        <f ca="1">IFERROR(__xludf.DUMMYFUNCTION("IF((ABS(AV24-QUERY(PoliticalData!AV$3:AV$55,""select AV where AV &gt; ""&amp;AV24&amp;"" order by AV limit 1"",0))) &gt; ABS(AV24-QUERY(PoliticalData!AV$3:AV$55,""select AV where AV &lt; ""&amp;AV24&amp;"" order by AV desc limit 1"",0)), QUERY(PoliticalData!AU$3:AV$55,""select AU"&amp;" where AV = ""&amp;BE24&amp;"""",0), QUERY(PoliticalData!AU$3:AV$55,""select AU where AV = ""&amp;BD24&amp;"""",0))"),"isaac.slavens@tcstudents.org")</f>
        <v>isaac.slavens@tcstudents.org</v>
      </c>
      <c r="BG24" s="19"/>
      <c r="BH24" s="24" t="e">
        <f t="shared" ca="1" si="14"/>
        <v>#NAME?</v>
      </c>
      <c r="BI24" s="19" t="str">
        <f t="shared" si="15"/>
        <v>No</v>
      </c>
      <c r="BJ24" s="19" t="str">
        <f t="shared" si="16"/>
        <v>No</v>
      </c>
      <c r="BK24" s="19" t="str">
        <f t="shared" si="17"/>
        <v>No</v>
      </c>
      <c r="BL24" s="19" t="str">
        <f t="shared" si="18"/>
        <v>Yes</v>
      </c>
      <c r="BM24" s="28"/>
    </row>
    <row r="25" spans="1:65" ht="14.5" x14ac:dyDescent="0.35">
      <c r="A25" s="44">
        <v>44250.917583796298</v>
      </c>
      <c r="B25" s="45">
        <v>10</v>
      </c>
      <c r="C25" s="45">
        <v>6</v>
      </c>
      <c r="D25" s="45">
        <v>5</v>
      </c>
      <c r="E25" s="45">
        <v>6</v>
      </c>
      <c r="F25" s="45">
        <v>7</v>
      </c>
      <c r="G25" s="45">
        <v>9</v>
      </c>
      <c r="H25" s="45">
        <v>5</v>
      </c>
      <c r="I25" s="45">
        <v>8</v>
      </c>
      <c r="J25" s="45">
        <v>8</v>
      </c>
      <c r="K25" s="45">
        <v>6</v>
      </c>
      <c r="L25" s="45">
        <v>5</v>
      </c>
      <c r="M25" s="45">
        <v>6</v>
      </c>
      <c r="N25" s="45">
        <v>8</v>
      </c>
      <c r="O25" s="45">
        <v>8</v>
      </c>
      <c r="P25" s="45">
        <v>2</v>
      </c>
      <c r="Q25" s="45">
        <v>10</v>
      </c>
      <c r="R25" s="45">
        <v>8</v>
      </c>
      <c r="S25" s="45">
        <v>8</v>
      </c>
      <c r="T25" s="45">
        <v>7</v>
      </c>
      <c r="U25" s="45">
        <v>10</v>
      </c>
      <c r="V25" s="45">
        <v>10</v>
      </c>
      <c r="W25" s="45">
        <v>8</v>
      </c>
      <c r="X25" s="45">
        <v>10</v>
      </c>
      <c r="Y25" s="45">
        <v>10</v>
      </c>
      <c r="Z25" s="45">
        <v>10</v>
      </c>
      <c r="AA25" s="45">
        <v>8</v>
      </c>
      <c r="AB25" s="45">
        <v>8</v>
      </c>
      <c r="AC25" s="45">
        <v>0</v>
      </c>
      <c r="AD25" s="12"/>
      <c r="AE25" s="13">
        <f t="shared" si="0"/>
        <v>7.0526315789473681</v>
      </c>
      <c r="AF25" s="14">
        <f t="shared" si="1"/>
        <v>2.9473684210526319</v>
      </c>
      <c r="AG25" s="14">
        <f t="shared" si="2"/>
        <v>7.95</v>
      </c>
      <c r="AH25" s="14">
        <f t="shared" si="3"/>
        <v>2.0499999999999998</v>
      </c>
      <c r="AI25" s="14">
        <f t="shared" si="4"/>
        <v>7.4210526315789478</v>
      </c>
      <c r="AJ25" s="14">
        <f t="shared" si="5"/>
        <v>2.5789473684210522</v>
      </c>
      <c r="AK25" s="15" t="str">
        <f t="shared" si="6"/>
        <v>Conservative:</v>
      </c>
      <c r="AL25" s="16">
        <f t="shared" si="7"/>
        <v>7.0526315789473681</v>
      </c>
      <c r="AM25" s="17" t="str">
        <f t="shared" si="8"/>
        <v>Conservative:</v>
      </c>
      <c r="AN25" s="16">
        <f t="shared" si="9"/>
        <v>7.95</v>
      </c>
      <c r="AO25" s="17" t="str">
        <f t="shared" si="10"/>
        <v>Libertarian:</v>
      </c>
      <c r="AP25" s="16">
        <f t="shared" si="11"/>
        <v>7.4210526315789478</v>
      </c>
      <c r="AQ25" s="46" t="s">
        <v>91</v>
      </c>
      <c r="AR25" s="19">
        <f>ROUND(IF(AE25 &gt; 5, (AE25*2)-10.1, (-AF25*2)+10), 2)</f>
        <v>4.01</v>
      </c>
      <c r="AS25" s="37" t="s">
        <v>91</v>
      </c>
      <c r="AT25" s="19">
        <f t="shared" si="20"/>
        <v>5.9</v>
      </c>
      <c r="AU25" s="37" t="s">
        <v>91</v>
      </c>
      <c r="AV25" s="19">
        <f t="shared" si="21"/>
        <v>4.84</v>
      </c>
      <c r="AW25" s="21"/>
      <c r="AX25" s="22">
        <f ca="1">IFERROR(__xludf.DUMMYFUNCTION("QUERY(PoliticalData!AR$3:AR$55,""select AR where AR &gt; ""&amp;AR25&amp;"" order by AR limit 1"",0)"),4.11)</f>
        <v>4.1100000000000003</v>
      </c>
      <c r="AY25" s="22">
        <f ca="1">IFERROR(__xludf.DUMMYFUNCTION("QUERY(PoliticalData!AR$3:AR$55,""select AR where AR &lt; ""&amp;AR25&amp;"" order by AR desc limit 1"",0)"),4)</f>
        <v>4</v>
      </c>
      <c r="AZ25" s="23" t="str">
        <f ca="1">IFERROR(__xludf.DUMMYFUNCTION("IF((ABS(AR25-QUERY(PoliticalData!AR$3:AR$55,""select AR where AR &gt; ""&amp;AR25&amp;"" order by AR limit 1"",0))) &gt; ABS(AR25-QUERY(PoliticalData!AR$3:AR$55,""select AR where AR &lt; ""&amp;AR25&amp;"" order by AR desc limit 1"",0)), QUERY(PoliticalData!AQ$3:AR$55,""select AQ"&amp;" where AR = ""&amp;AY25&amp;"""",0), QUERY(PoliticalData!AQ$3:AR$55,""select AQ where AR = ""&amp;AX25&amp;"""",0))"),"zev.bell@tcstudents.org")</f>
        <v>zev.bell@tcstudents.org</v>
      </c>
      <c r="BA25" s="24">
        <f ca="1">IFERROR(__xludf.DUMMYFUNCTION("QUERY(PoliticalData!AT$3:AT$34,""select AT where AT &gt; ""&amp;AT25&amp;"" order by AT limit 1"",0)"),6.6)</f>
        <v>6.6</v>
      </c>
      <c r="BB25" s="24">
        <f ca="1">IFERROR(__xludf.DUMMYFUNCTION("QUERY(PoliticalData!AT$3:AT$50,""select AT where AT &lt; ""&amp;AT25&amp;"" order by AT desc limit 1"",0)"),5.3)</f>
        <v>5.3</v>
      </c>
      <c r="BC25" s="25" t="str">
        <f ca="1">IFERROR(__xludf.DUMMYFUNCTION("IF((ABS(AT25-QUERY(PoliticalData!AT$3:AT$55,""select AT where AT &gt; ""&amp;AT25&amp;"" order by AT limit 1"",0))) &gt; ABS(AT25-QUERY(PoliticalData!AT$3:AT$55,""select AT where AT &lt; ""&amp;AT25&amp;"" order by AT desc limit 1"",0)), QUERY(PoliticalData!AS$3:AT$55,""select AS"&amp;" where AT = ""&amp;BB25&amp;"""",0), QUERY(PoliticalData!AS$3:AT$55,""select AS where AT = ""&amp;BA25&amp;"""",0))"),"isaac.mansell@tcstudents.org")</f>
        <v>isaac.mansell@tcstudents.org</v>
      </c>
      <c r="BD25" s="24">
        <f ca="1">IFERROR(__xludf.DUMMYFUNCTION("QUERY(PoliticalData!AV$3:AV$34,""select AV where AV &gt; ""&amp;AV25&amp;"" order by AV limit 1"",0)"),5.05)</f>
        <v>5.05</v>
      </c>
      <c r="BE25" s="24">
        <f ca="1">IFERROR(__xludf.DUMMYFUNCTION("QUERY(PoliticalData!AV$3:AV$50,""select AV where AV &lt; ""&amp;AV25&amp;"" order by AV desc limit 1"",0)"),4.42)</f>
        <v>4.42</v>
      </c>
      <c r="BF25" s="26" t="str">
        <f ca="1">IFERROR(__xludf.DUMMYFUNCTION("IF((ABS(AV25-QUERY(PoliticalData!AV$3:AV$55,""select AV where AV &gt; ""&amp;AV25&amp;"" order by AV limit 1"",0))) &gt; ABS(AV25-QUERY(PoliticalData!AV$3:AV$55,""select AV where AV &lt; ""&amp;AV25&amp;"" order by AV desc limit 1"",0)), QUERY(PoliticalData!AU$3:AV$55,""select AU"&amp;" where AV = ""&amp;BE25&amp;"""",0), QUERY(PoliticalData!AU$3:AV$55,""select AU where AV = ""&amp;BD25&amp;"""",0))"),"zev.bell@tcstudents.org")</f>
        <v>zev.bell@tcstudents.org</v>
      </c>
      <c r="BG25" s="19"/>
      <c r="BH25" s="24" t="e">
        <f t="shared" ca="1" si="14"/>
        <v>#NAME?</v>
      </c>
      <c r="BI25" s="19" t="str">
        <f t="shared" si="15"/>
        <v>No</v>
      </c>
      <c r="BJ25" s="19" t="str">
        <f t="shared" si="16"/>
        <v>No</v>
      </c>
      <c r="BK25" s="19" t="str">
        <f t="shared" si="17"/>
        <v>Yes</v>
      </c>
      <c r="BL25" s="19" t="str">
        <f t="shared" si="18"/>
        <v>No</v>
      </c>
      <c r="BM25" s="28"/>
    </row>
    <row r="26" spans="1:65" ht="14.5" x14ac:dyDescent="0.35">
      <c r="A26" s="44">
        <v>44250.969107743054</v>
      </c>
      <c r="B26" s="45">
        <v>2</v>
      </c>
      <c r="C26" s="45">
        <v>2</v>
      </c>
      <c r="D26" s="45">
        <v>1</v>
      </c>
      <c r="E26" s="45">
        <v>1</v>
      </c>
      <c r="F26" s="45">
        <v>0</v>
      </c>
      <c r="G26" s="45">
        <v>2</v>
      </c>
      <c r="H26" s="45">
        <v>5</v>
      </c>
      <c r="I26" s="45">
        <v>1</v>
      </c>
      <c r="J26" s="45">
        <v>1</v>
      </c>
      <c r="K26" s="45">
        <v>6</v>
      </c>
      <c r="L26" s="45">
        <v>0</v>
      </c>
      <c r="M26" s="45">
        <v>8</v>
      </c>
      <c r="N26" s="45">
        <v>7</v>
      </c>
      <c r="O26" s="45">
        <v>0</v>
      </c>
      <c r="P26" s="45">
        <v>9</v>
      </c>
      <c r="Q26" s="45">
        <v>3</v>
      </c>
      <c r="R26" s="45">
        <v>2</v>
      </c>
      <c r="S26" s="45">
        <v>3</v>
      </c>
      <c r="T26" s="45">
        <v>2</v>
      </c>
      <c r="U26" s="45">
        <v>4</v>
      </c>
      <c r="V26" s="45">
        <v>8</v>
      </c>
      <c r="W26" s="45">
        <v>2</v>
      </c>
      <c r="X26" s="45">
        <v>5</v>
      </c>
      <c r="Y26" s="45">
        <v>5</v>
      </c>
      <c r="Z26" s="45">
        <v>5</v>
      </c>
      <c r="AA26" s="45">
        <v>5</v>
      </c>
      <c r="AB26" s="45">
        <v>3</v>
      </c>
      <c r="AC26" s="45">
        <v>0</v>
      </c>
      <c r="AD26" s="12"/>
      <c r="AE26" s="13">
        <f t="shared" si="0"/>
        <v>2.6315789473684212</v>
      </c>
      <c r="AF26" s="14">
        <f t="shared" si="1"/>
        <v>7.3684210526315788</v>
      </c>
      <c r="AG26" s="14">
        <f t="shared" si="2"/>
        <v>3.4</v>
      </c>
      <c r="AH26" s="14">
        <f t="shared" si="3"/>
        <v>6.6</v>
      </c>
      <c r="AI26" s="14">
        <f t="shared" si="4"/>
        <v>3.1052631578947367</v>
      </c>
      <c r="AJ26" s="14">
        <f t="shared" si="5"/>
        <v>6.8947368421052637</v>
      </c>
      <c r="AK26" s="15" t="str">
        <f t="shared" si="6"/>
        <v>Liberal:</v>
      </c>
      <c r="AL26" s="16">
        <f t="shared" si="7"/>
        <v>7.3684210526315788</v>
      </c>
      <c r="AM26" s="17" t="str">
        <f t="shared" si="8"/>
        <v>Liberal:</v>
      </c>
      <c r="AN26" s="16">
        <f t="shared" si="9"/>
        <v>6.6</v>
      </c>
      <c r="AO26" s="17" t="str">
        <f t="shared" si="10"/>
        <v>Authoritarian:</v>
      </c>
      <c r="AP26" s="16">
        <f t="shared" si="11"/>
        <v>6.8947368421052637</v>
      </c>
      <c r="AQ26" s="46" t="s">
        <v>92</v>
      </c>
      <c r="AR26" s="19">
        <f>ROUND(IF(AE26 &gt; 5, (AE26*2)-10, (-AF26*2)+10.02), 2)</f>
        <v>-4.72</v>
      </c>
      <c r="AS26" s="37" t="s">
        <v>92</v>
      </c>
      <c r="AT26" s="19">
        <f t="shared" si="20"/>
        <v>-3.2</v>
      </c>
      <c r="AU26" s="37" t="s">
        <v>92</v>
      </c>
      <c r="AV26" s="19">
        <f t="shared" si="21"/>
        <v>-3.79</v>
      </c>
      <c r="AW26" s="21"/>
      <c r="AX26" s="22">
        <f ca="1">IFERROR(__xludf.DUMMYFUNCTION("QUERY(PoliticalData!AR$3:AR$55,""select AR where AR &gt; ""&amp;AR26&amp;"" order by AR limit 1"",0)"),-4.53)</f>
        <v>-4.53</v>
      </c>
      <c r="AY26" s="22">
        <f ca="1">IFERROR(__xludf.DUMMYFUNCTION("QUERY(PoliticalData!AR$3:AR$55,""select AR where AR &lt; ""&amp;AR26&amp;"" order by AR desc limit 1"",0)"),-4.73)</f>
        <v>-4.7300000000000004</v>
      </c>
      <c r="AZ26" s="23" t="str">
        <f ca="1">IFERROR(__xludf.DUMMYFUNCTION("IF((ABS(AR26-QUERY(PoliticalData!AR$3:AR$55,""select AR where AR &gt; ""&amp;AR26&amp;"" order by AR limit 1"",0))) &gt; ABS(AR26-QUERY(PoliticalData!AR$3:AR$55,""select AR where AR &lt; ""&amp;AR26&amp;"" order by AR desc limit 1"",0)), QUERY(PoliticalData!AQ$3:AR$55,""select AQ"&amp;" where AR = ""&amp;AY26&amp;"""",0), QUERY(PoliticalData!AQ$3:AR$55,""select AQ where AR = ""&amp;AX26&amp;"""",0))"),"menachem.guttmann@tcstudents.org")</f>
        <v>menachem.guttmann@tcstudents.org</v>
      </c>
      <c r="BA26" s="24">
        <f ca="1">IFERROR(__xludf.DUMMYFUNCTION("QUERY(PoliticalData!AT$3:AT$34,""select AT where AT &gt; ""&amp;AT26&amp;"" order by AT limit 1"",0)"),-3.1)</f>
        <v>-3.1</v>
      </c>
      <c r="BB26" s="24">
        <f ca="1">IFERROR(__xludf.DUMMYFUNCTION("QUERY(PoliticalData!AT$3:AT$50,""select AT where AT &lt; ""&amp;AT26&amp;"" order by AT desc limit 1"",0)"),-3.5)</f>
        <v>-3.5</v>
      </c>
      <c r="BC26" s="25" t="str">
        <f ca="1">IFERROR(__xludf.DUMMYFUNCTION("IF((ABS(AT26-QUERY(PoliticalData!AT$3:AT$55,""select AT where AT &gt; ""&amp;AT26&amp;"" order by AT limit 1"",0))) &gt; ABS(AT26-QUERY(PoliticalData!AT$3:AT$55,""select AT where AT &lt; ""&amp;AT26&amp;"" order by AT desc limit 1"",0)), QUERY(PoliticalData!AS$3:AT$55,""select AS"&amp;" where AT = ""&amp;BB26&amp;"""",0), QUERY(PoliticalData!AS$3:AT$55,""select AS where AT = ""&amp;BA26&amp;"""",0))"),"maya.mammon@tcstudents.org")</f>
        <v>maya.mammon@tcstudents.org</v>
      </c>
      <c r="BD26" s="24">
        <f ca="1">IFERROR(__xludf.DUMMYFUNCTION("QUERY(PoliticalData!AV$3:AV$34,""select AV where AV &gt; ""&amp;AV26&amp;"" order by AV limit 1"",0)"),-3.05)</f>
        <v>-3.05</v>
      </c>
      <c r="BE26" s="24">
        <f ca="1">IFERROR(__xludf.DUMMYFUNCTION("QUERY(PoliticalData!AV$3:AV$50,""select AV where AV &lt; ""&amp;AV26&amp;"" order by AV desc limit 1"",0)"),-6.84)</f>
        <v>-6.84</v>
      </c>
      <c r="BF26" s="26" t="str">
        <f ca="1">IFERROR(__xludf.DUMMYFUNCTION("IF((ABS(AV26-QUERY(PoliticalData!AV$3:AV$55,""select AV where AV &gt; ""&amp;AV26&amp;"" order by AV limit 1"",0))) &gt; ABS(AV26-QUERY(PoliticalData!AV$3:AV$55,""select AV where AV &lt; ""&amp;AV26&amp;"" order by AV desc limit 1"",0)), QUERY(PoliticalData!AU$3:AV$55,""select AU"&amp;" where AV = ""&amp;BE26&amp;"""",0), QUERY(PoliticalData!AU$3:AV$55,""select AU where AV = ""&amp;BD26&amp;"""",0))"),"maya.mammon@tcstudents.org")</f>
        <v>maya.mammon@tcstudents.org</v>
      </c>
      <c r="BG26" s="19"/>
      <c r="BH26" s="24" t="e">
        <f t="shared" ca="1" si="14"/>
        <v>#NAME?</v>
      </c>
      <c r="BI26" s="19" t="str">
        <f t="shared" si="15"/>
        <v>No</v>
      </c>
      <c r="BJ26" s="19" t="str">
        <f t="shared" si="16"/>
        <v>Yes</v>
      </c>
      <c r="BK26" s="19" t="str">
        <f t="shared" si="17"/>
        <v>No</v>
      </c>
      <c r="BL26" s="19" t="str">
        <f t="shared" si="18"/>
        <v>No</v>
      </c>
      <c r="BM26" s="28"/>
    </row>
    <row r="27" spans="1:65" ht="14.5" x14ac:dyDescent="0.35">
      <c r="A27" s="44">
        <v>44251.001956296299</v>
      </c>
      <c r="B27" s="45">
        <v>9</v>
      </c>
      <c r="C27" s="45">
        <v>6</v>
      </c>
      <c r="D27" s="45">
        <v>7</v>
      </c>
      <c r="E27" s="45">
        <v>9</v>
      </c>
      <c r="F27" s="45">
        <v>6</v>
      </c>
      <c r="G27" s="45">
        <v>9</v>
      </c>
      <c r="H27" s="45">
        <v>7</v>
      </c>
      <c r="I27" s="45">
        <v>5</v>
      </c>
      <c r="J27" s="45">
        <v>8</v>
      </c>
      <c r="K27" s="47"/>
      <c r="L27" s="45">
        <v>5</v>
      </c>
      <c r="M27" s="45">
        <v>8</v>
      </c>
      <c r="N27" s="47"/>
      <c r="O27" s="45">
        <v>2</v>
      </c>
      <c r="P27" s="47"/>
      <c r="Q27" s="45">
        <v>10</v>
      </c>
      <c r="R27" s="45">
        <v>0</v>
      </c>
      <c r="S27" s="45">
        <v>8</v>
      </c>
      <c r="T27" s="45">
        <v>10</v>
      </c>
      <c r="U27" s="45">
        <v>10</v>
      </c>
      <c r="V27" s="45">
        <v>8</v>
      </c>
      <c r="W27" s="45">
        <v>4</v>
      </c>
      <c r="X27" s="45">
        <v>6</v>
      </c>
      <c r="Y27" s="47"/>
      <c r="Z27" s="47"/>
      <c r="AA27" s="45">
        <v>7</v>
      </c>
      <c r="AB27" s="45">
        <v>7</v>
      </c>
      <c r="AC27" s="45">
        <v>3</v>
      </c>
      <c r="AD27" s="12"/>
      <c r="AE27" s="13">
        <f t="shared" si="0"/>
        <v>6.5625</v>
      </c>
      <c r="AF27" s="14">
        <f t="shared" si="1"/>
        <v>3.4375</v>
      </c>
      <c r="AG27" s="14">
        <f t="shared" si="2"/>
        <v>7</v>
      </c>
      <c r="AH27" s="14">
        <f t="shared" si="3"/>
        <v>3</v>
      </c>
      <c r="AI27" s="14">
        <f t="shared" si="4"/>
        <v>6.882352941176471</v>
      </c>
      <c r="AJ27" s="14">
        <f t="shared" si="5"/>
        <v>3.117647058823529</v>
      </c>
      <c r="AK27" s="15" t="str">
        <f t="shared" si="6"/>
        <v>Conservative:</v>
      </c>
      <c r="AL27" s="16">
        <f t="shared" si="7"/>
        <v>6.5625</v>
      </c>
      <c r="AM27" s="17" t="str">
        <f t="shared" si="8"/>
        <v>Conservative:</v>
      </c>
      <c r="AN27" s="16">
        <f t="shared" si="9"/>
        <v>7</v>
      </c>
      <c r="AO27" s="17" t="str">
        <f t="shared" si="10"/>
        <v>Libertarian:</v>
      </c>
      <c r="AP27" s="16">
        <f t="shared" si="11"/>
        <v>6.882352941176471</v>
      </c>
      <c r="AQ27" s="46" t="s">
        <v>93</v>
      </c>
      <c r="AR27" s="19">
        <f>ROUND(IF(AE27 &gt; 5, (AE27*2)-10, (-AF27*2)+10), 2)</f>
        <v>3.13</v>
      </c>
      <c r="AS27" s="37" t="s">
        <v>93</v>
      </c>
      <c r="AT27" s="19">
        <f>ROUND(IF(AG27 &gt; 5, (AG27*2)-10-0.01, (-AH27*2)+10), 2)</f>
        <v>3.99</v>
      </c>
      <c r="AU27" s="37" t="s">
        <v>93</v>
      </c>
      <c r="AV27" s="19">
        <f t="shared" si="21"/>
        <v>3.76</v>
      </c>
      <c r="AW27" s="21"/>
      <c r="AX27" s="22">
        <f ca="1">IFERROR(__xludf.DUMMYFUNCTION("QUERY(PoliticalData!AR$3:AR$55,""select AR where AR &gt; ""&amp;AR27&amp;"" order by AR limit 1"",0)"),3.68)</f>
        <v>3.68</v>
      </c>
      <c r="AY27" s="22">
        <f ca="1">IFERROR(__xludf.DUMMYFUNCTION("QUERY(PoliticalData!AR$3:AR$55,""select AR where AR &lt; ""&amp;AR27&amp;"" order by AR desc limit 1"",0)"),3.05)</f>
        <v>3.05</v>
      </c>
      <c r="AZ27" s="23" t="str">
        <f ca="1">IFERROR(__xludf.DUMMYFUNCTION("IF((ABS(AR27-QUERY(PoliticalData!AR$3:AR$55,""select AR where AR &gt; ""&amp;AR27&amp;"" order by AR limit 1"",0))) &gt; ABS(AR27-QUERY(PoliticalData!AR$3:AR$55,""select AR where AR &lt; ""&amp;AR27&amp;"" order by AR desc limit 1"",0)), QUERY(PoliticalData!AQ$3:AR$55,""select AQ"&amp;" where AR = ""&amp;AY27&amp;"""",0), QUERY(PoliticalData!AQ$3:AR$55,""select AQ where AR = ""&amp;AX27&amp;"""",0))"),"daniel.rubinoff@tcstudents.org")</f>
        <v>daniel.rubinoff@tcstudents.org</v>
      </c>
      <c r="BA27" s="24">
        <f ca="1">IFERROR(__xludf.DUMMYFUNCTION("QUERY(PoliticalData!AT$3:AT$34,""select AT where AT &gt; ""&amp;AT27&amp;"" order by AT limit 1"",0)"),4)</f>
        <v>4</v>
      </c>
      <c r="BB27" s="24">
        <f ca="1">IFERROR(__xludf.DUMMYFUNCTION("QUERY(PoliticalData!AT$3:AT$50,""select AT where AT &lt; ""&amp;AT27&amp;"" order by AT desc limit 1"",0)"),3.7)</f>
        <v>3.7</v>
      </c>
      <c r="BC27" s="25" t="str">
        <f ca="1">IFERROR(__xludf.DUMMYFUNCTION("IF((ABS(AT27-QUERY(PoliticalData!AT$3:AT$55,""select AT where AT &gt; ""&amp;AT27&amp;"" order by AT limit 1"",0))) &gt; ABS(AT27-QUERY(PoliticalData!AT$3:AT$55,""select AT where AT &lt; ""&amp;AT27&amp;"" order by AT desc limit 1"",0)), QUERY(PoliticalData!AS$3:AT$55,""select AS"&amp;" where AT = ""&amp;BB27&amp;"""",0), QUERY(PoliticalData!AS$3:AT$55,""select AS where AT = ""&amp;BA27&amp;"""",0))"),"ori.epstien@tcstudents.org")</f>
        <v>ori.epstien@tcstudents.org</v>
      </c>
      <c r="BD27" s="24">
        <f ca="1">IFERROR(__xludf.DUMMYFUNCTION("QUERY(PoliticalData!AV$3:AV$34,""select AV where AV &gt; ""&amp;AV27&amp;"" order by AV limit 1"",0)"),4)</f>
        <v>4</v>
      </c>
      <c r="BE27" s="24">
        <f ca="1">IFERROR(__xludf.DUMMYFUNCTION("QUERY(PoliticalData!AV$3:AV$50,""select AV where AV &lt; ""&amp;AV27&amp;"" order by AV desc limit 1"",0)"),2.63)</f>
        <v>2.63</v>
      </c>
      <c r="BF27" s="26" t="str">
        <f ca="1">IFERROR(__xludf.DUMMYFUNCTION("IF((ABS(AV27-QUERY(PoliticalData!AV$3:AV$55,""select AV where AV &gt; ""&amp;AV27&amp;"" order by AV limit 1"",0))) &gt; ABS(AV27-QUERY(PoliticalData!AV$3:AV$55,""select AV where AV &lt; ""&amp;AV27&amp;"" order by AV desc limit 1"",0)), QUERY(PoliticalData!AU$3:AV$55,""select AU"&amp;" where AV = ""&amp;BE27&amp;"""",0), QUERY(PoliticalData!AU$3:AV$55,""select AU where AV = ""&amp;BD27&amp;"""",0))"),"caleb.mansell@tcstudents.org")</f>
        <v>caleb.mansell@tcstudents.org</v>
      </c>
      <c r="BG27" s="19"/>
      <c r="BH27" s="24" t="e">
        <f t="shared" ca="1" si="14"/>
        <v>#NAME?</v>
      </c>
      <c r="BI27" s="19" t="str">
        <f t="shared" si="15"/>
        <v>No</v>
      </c>
      <c r="BJ27" s="19" t="str">
        <f t="shared" si="16"/>
        <v>No</v>
      </c>
      <c r="BK27" s="19" t="str">
        <f t="shared" si="17"/>
        <v>No</v>
      </c>
      <c r="BL27" s="19" t="str">
        <f t="shared" si="18"/>
        <v>No</v>
      </c>
      <c r="BM27" s="28"/>
    </row>
    <row r="28" spans="1:65" ht="14.5" x14ac:dyDescent="0.35">
      <c r="A28" s="44">
        <v>44251.396746400467</v>
      </c>
      <c r="B28" s="45">
        <v>3</v>
      </c>
      <c r="C28" s="45">
        <v>2</v>
      </c>
      <c r="D28" s="45">
        <v>2</v>
      </c>
      <c r="E28" s="45">
        <v>2</v>
      </c>
      <c r="F28" s="45">
        <v>2</v>
      </c>
      <c r="G28" s="45">
        <v>4</v>
      </c>
      <c r="H28" s="45">
        <v>3</v>
      </c>
      <c r="I28" s="45">
        <v>5</v>
      </c>
      <c r="J28" s="45">
        <v>2</v>
      </c>
      <c r="K28" s="45">
        <v>3</v>
      </c>
      <c r="L28" s="45">
        <v>1</v>
      </c>
      <c r="M28" s="45">
        <v>9</v>
      </c>
      <c r="N28" s="45">
        <v>5</v>
      </c>
      <c r="O28" s="45">
        <v>1</v>
      </c>
      <c r="P28" s="45">
        <v>5</v>
      </c>
      <c r="Q28" s="45">
        <v>4</v>
      </c>
      <c r="R28" s="45">
        <v>1</v>
      </c>
      <c r="S28" s="45">
        <v>2</v>
      </c>
      <c r="T28" s="45">
        <v>5</v>
      </c>
      <c r="U28" s="45">
        <v>7</v>
      </c>
      <c r="V28" s="45">
        <v>0</v>
      </c>
      <c r="W28" s="45">
        <v>0</v>
      </c>
      <c r="X28" s="45">
        <v>7</v>
      </c>
      <c r="Y28" s="45">
        <v>5</v>
      </c>
      <c r="Z28" s="45">
        <v>4</v>
      </c>
      <c r="AA28" s="45">
        <v>0</v>
      </c>
      <c r="AB28" s="45">
        <v>5</v>
      </c>
      <c r="AC28" s="45">
        <v>10</v>
      </c>
      <c r="AD28" s="12"/>
      <c r="AE28" s="13">
        <f t="shared" si="0"/>
        <v>2.736842105263158</v>
      </c>
      <c r="AF28" s="14">
        <f t="shared" si="1"/>
        <v>7.2631578947368425</v>
      </c>
      <c r="AG28" s="14">
        <f t="shared" si="2"/>
        <v>3.05</v>
      </c>
      <c r="AH28" s="14">
        <f t="shared" si="3"/>
        <v>6.95</v>
      </c>
      <c r="AI28" s="14">
        <f t="shared" si="4"/>
        <v>3.4736842105263159</v>
      </c>
      <c r="AJ28" s="14">
        <f t="shared" si="5"/>
        <v>6.5263157894736841</v>
      </c>
      <c r="AK28" s="15" t="str">
        <f t="shared" si="6"/>
        <v>Liberal:</v>
      </c>
      <c r="AL28" s="16">
        <f t="shared" si="7"/>
        <v>7.2631578947368425</v>
      </c>
      <c r="AM28" s="17" t="str">
        <f t="shared" si="8"/>
        <v>Liberal:</v>
      </c>
      <c r="AN28" s="16">
        <f t="shared" si="9"/>
        <v>6.95</v>
      </c>
      <c r="AO28" s="17" t="str">
        <f t="shared" si="10"/>
        <v>Authoritarian:</v>
      </c>
      <c r="AP28" s="16">
        <f t="shared" si="11"/>
        <v>6.5263157894736841</v>
      </c>
      <c r="AQ28" s="46" t="s">
        <v>94</v>
      </c>
      <c r="AR28" s="19">
        <f>ROUND(IF(AE28 &gt; 5, (AE28*2)-10, (-AF28*2)+10.02), 2)</f>
        <v>-4.51</v>
      </c>
      <c r="AS28" s="37" t="s">
        <v>94</v>
      </c>
      <c r="AT28" s="19">
        <f t="shared" ref="AT28:AT29" si="23">ROUND(IF(AG28 &gt; 5, (AG28*2)-10, (-AH28*2)+10), 2)</f>
        <v>-3.9</v>
      </c>
      <c r="AU28" s="37" t="s">
        <v>94</v>
      </c>
      <c r="AV28" s="19">
        <f>ROUND(IF(AI28 &gt; 5, (AI28*2)-10, (-AJ28*2)+10.01), 2)</f>
        <v>-3.04</v>
      </c>
      <c r="AW28" s="21"/>
      <c r="AX28" s="22">
        <f ca="1">IFERROR(__xludf.DUMMYFUNCTION("QUERY(PoliticalData!AR$3:AR$55,""select AR where AR &gt; ""&amp;AR28&amp;"" order by AR limit 1"",0)"),-4.44)</f>
        <v>-4.4400000000000004</v>
      </c>
      <c r="AY28" s="22">
        <f ca="1">IFERROR(__xludf.DUMMYFUNCTION("QUERY(PoliticalData!AR$3:AR$55,""select AR where AR &lt; ""&amp;AR28&amp;"" order by AR desc limit 1"",0)"),-4.53)</f>
        <v>-4.53</v>
      </c>
      <c r="AZ28" s="23" t="str">
        <f ca="1">IFERROR(__xludf.DUMMYFUNCTION("IF((ABS(AR28-QUERY(PoliticalData!AR$3:AR$55,""select AR where AR &gt; ""&amp;AR28&amp;"" order by AR limit 1"",0))) &gt; ABS(AR28-QUERY(PoliticalData!AR$3:AR$55,""select AR where AR &lt; ""&amp;AR28&amp;"" order by AR desc limit 1"",0)), QUERY(PoliticalData!AQ$3:AR$55,""select AQ"&amp;" where AR = ""&amp;AY28&amp;"""",0), QUERY(PoliticalData!AQ$3:AR$55,""select AQ where AR = ""&amp;AX28&amp;"""",0))"),"maya.mammon@tcstudents.org")</f>
        <v>maya.mammon@tcstudents.org</v>
      </c>
      <c r="BA28" s="24">
        <f ca="1">IFERROR(__xludf.DUMMYFUNCTION("QUERY(PoliticalData!AT$3:AT$34,""select AT where AT &gt; ""&amp;AT28&amp;"" order by AT limit 1"",0)"),-3.5)</f>
        <v>-3.5</v>
      </c>
      <c r="BB28" s="24">
        <f ca="1">IFERROR(__xludf.DUMMYFUNCTION("QUERY(PoliticalData!AT$3:AT$50,""select AT where AT &lt; ""&amp;AT28&amp;"" order by AT desc limit 1"",0)"),-4.1)</f>
        <v>-4.0999999999999996</v>
      </c>
      <c r="BC28" s="25" t="str">
        <f ca="1">IFERROR(__xludf.DUMMYFUNCTION("IF((ABS(AT28-QUERY(PoliticalData!AT$3:AT$55,""select AT where AT &gt; ""&amp;AT28&amp;"" order by AT limit 1"",0))) &gt; ABS(AT28-QUERY(PoliticalData!AT$3:AT$55,""select AT where AT &lt; ""&amp;AT28&amp;"" order by AT desc limit 1"",0)), QUERY(PoliticalData!AS$3:AT$55,""select AS"&amp;" where AT = ""&amp;BB28&amp;"""",0), QUERY(PoliticalData!AS$3:AT$55,""select AS where AT = ""&amp;BA28&amp;"""",0))"),"noah.shaffir@tcstudents.org")</f>
        <v>noah.shaffir@tcstudents.org</v>
      </c>
      <c r="BD28" s="24">
        <f ca="1">IFERROR(__xludf.DUMMYFUNCTION("QUERY(PoliticalData!AV$3:AV$34,""select AV where AV &gt; ""&amp;AV28&amp;"" order by AV limit 1"",0)"),-2.84)</f>
        <v>-2.84</v>
      </c>
      <c r="BE28" s="24">
        <f ca="1">IFERROR(__xludf.DUMMYFUNCTION("QUERY(PoliticalData!AV$3:AV$50,""select AV where AV &lt; ""&amp;AV28&amp;"" order by AV desc limit 1"",0)"),-3.05)</f>
        <v>-3.05</v>
      </c>
      <c r="BF28" s="26" t="str">
        <f ca="1">IFERROR(__xludf.DUMMYFUNCTION("IF((ABS(AV28-QUERY(PoliticalData!AV$3:AV$55,""select AV where AV &gt; ""&amp;AV28&amp;"" order by AV limit 1"",0))) &gt; ABS(AV28-QUERY(PoliticalData!AV$3:AV$55,""select AV where AV &lt; ""&amp;AV28&amp;"" order by AV desc limit 1"",0)), QUERY(PoliticalData!AU$3:AV$55,""select AU"&amp;" where AV = ""&amp;BE28&amp;"""",0), QUERY(PoliticalData!AU$3:AV$55,""select AU where AV = ""&amp;BD28&amp;"""",0))"),"maya.mammon@tcstudents.org")</f>
        <v>maya.mammon@tcstudents.org</v>
      </c>
      <c r="BG28" s="19"/>
      <c r="BH28" s="24" t="e">
        <f t="shared" ca="1" si="14"/>
        <v>#NAME?</v>
      </c>
      <c r="BI28" s="19" t="str">
        <f t="shared" si="15"/>
        <v>Yes</v>
      </c>
      <c r="BJ28" s="19" t="str">
        <f t="shared" si="16"/>
        <v>Yes</v>
      </c>
      <c r="BK28" s="19" t="str">
        <f t="shared" si="17"/>
        <v>No</v>
      </c>
      <c r="BL28" s="19" t="str">
        <f t="shared" si="18"/>
        <v>No</v>
      </c>
      <c r="BM28" s="28"/>
    </row>
    <row r="29" spans="1:65" ht="14.5" x14ac:dyDescent="0.35">
      <c r="A29" s="44">
        <v>44251.412662743052</v>
      </c>
      <c r="B29" s="45">
        <v>5</v>
      </c>
      <c r="C29" s="45">
        <v>8</v>
      </c>
      <c r="D29" s="45">
        <v>8</v>
      </c>
      <c r="E29" s="45">
        <v>8</v>
      </c>
      <c r="F29" s="45">
        <v>9</v>
      </c>
      <c r="G29" s="45">
        <v>9</v>
      </c>
      <c r="H29" s="45">
        <v>9</v>
      </c>
      <c r="I29" s="45">
        <v>9</v>
      </c>
      <c r="J29" s="45">
        <v>9</v>
      </c>
      <c r="K29" s="45">
        <v>5</v>
      </c>
      <c r="L29" s="45">
        <v>5</v>
      </c>
      <c r="M29" s="45">
        <v>10</v>
      </c>
      <c r="N29" s="45">
        <v>7</v>
      </c>
      <c r="O29" s="45">
        <v>8</v>
      </c>
      <c r="P29" s="45">
        <v>7</v>
      </c>
      <c r="Q29" s="45">
        <v>7</v>
      </c>
      <c r="R29" s="45">
        <v>4</v>
      </c>
      <c r="S29" s="45">
        <v>8</v>
      </c>
      <c r="T29" s="45">
        <v>7</v>
      </c>
      <c r="U29" s="45">
        <v>9</v>
      </c>
      <c r="V29" s="45">
        <v>9</v>
      </c>
      <c r="W29" s="45">
        <v>6</v>
      </c>
      <c r="X29" s="45">
        <v>7</v>
      </c>
      <c r="Y29" s="45">
        <v>9</v>
      </c>
      <c r="Z29" s="45">
        <v>10</v>
      </c>
      <c r="AA29" s="45">
        <v>8</v>
      </c>
      <c r="AB29" s="45">
        <v>9</v>
      </c>
      <c r="AC29" s="45">
        <v>0</v>
      </c>
      <c r="AD29" s="12"/>
      <c r="AE29" s="13">
        <f t="shared" si="0"/>
        <v>7.6315789473684212</v>
      </c>
      <c r="AF29" s="14">
        <f t="shared" si="1"/>
        <v>2.3684210526315788</v>
      </c>
      <c r="AG29" s="14">
        <f t="shared" si="2"/>
        <v>7.4</v>
      </c>
      <c r="AH29" s="14">
        <f t="shared" si="3"/>
        <v>2.5999999999999996</v>
      </c>
      <c r="AI29" s="14">
        <f t="shared" si="4"/>
        <v>7.7368421052631575</v>
      </c>
      <c r="AJ29" s="14">
        <f t="shared" si="5"/>
        <v>2.2631578947368425</v>
      </c>
      <c r="AK29" s="15" t="str">
        <f t="shared" si="6"/>
        <v>Conservative:</v>
      </c>
      <c r="AL29" s="16">
        <f t="shared" si="7"/>
        <v>7.6315789473684212</v>
      </c>
      <c r="AM29" s="17" t="str">
        <f t="shared" si="8"/>
        <v>Conservative:</v>
      </c>
      <c r="AN29" s="16">
        <f t="shared" si="9"/>
        <v>7.4</v>
      </c>
      <c r="AO29" s="17" t="str">
        <f t="shared" si="10"/>
        <v>Libertarian:</v>
      </c>
      <c r="AP29" s="16">
        <f t="shared" si="11"/>
        <v>7.7368421052631575</v>
      </c>
      <c r="AQ29" s="46" t="s">
        <v>95</v>
      </c>
      <c r="AR29" s="19">
        <f>ROUND(IF(AE29 &gt; 5, (AE29*2)-10, (-AF29*2)+10), 2)</f>
        <v>5.26</v>
      </c>
      <c r="AS29" s="37" t="s">
        <v>95</v>
      </c>
      <c r="AT29" s="19">
        <f t="shared" si="23"/>
        <v>4.8</v>
      </c>
      <c r="AU29" s="37" t="s">
        <v>95</v>
      </c>
      <c r="AV29" s="19">
        <f>ROUND(IF(AI29 &gt; 5, (AI29*2)-10, (-AJ29*2)+10), 2)</f>
        <v>5.47</v>
      </c>
      <c r="AW29" s="21"/>
      <c r="AX29" s="22">
        <f ca="1">IFERROR(__xludf.DUMMYFUNCTION("QUERY(PoliticalData!AR$3:AR$55,""select AR where AR &gt; ""&amp;AR29&amp;"" order by AR limit 1"",0)"),5.44)</f>
        <v>5.44</v>
      </c>
      <c r="AY29" s="22">
        <f ca="1">IFERROR(__xludf.DUMMYFUNCTION("QUERY(PoliticalData!AR$3:AR$55,""select AR where AR &lt; ""&amp;AR29&amp;"" order by AR desc limit 1"",0)"),5.25)</f>
        <v>5.25</v>
      </c>
      <c r="AZ29" s="23" t="str">
        <f ca="1">IFERROR(__xludf.DUMMYFUNCTION("IF((ABS(AR29-QUERY(PoliticalData!AR$3:AR$55,""select AR where AR &gt; ""&amp;AR29&amp;"" order by AR limit 1"",0))) &gt; ABS(AR29-QUERY(PoliticalData!AR$3:AR$55,""select AR where AR &lt; ""&amp;AR29&amp;"" order by AR desc limit 1"",0)), QUERY(PoliticalData!AQ$3:AR$55,""select AQ"&amp;" where AR = ""&amp;AY29&amp;"""",0), QUERY(PoliticalData!AQ$3:AR$55,""select AQ where AR = ""&amp;AX29&amp;"""",0))"),"lev.pollock@tcstudents.org")</f>
        <v>lev.pollock@tcstudents.org</v>
      </c>
      <c r="BA29" s="24">
        <f ca="1">IFERROR(__xludf.DUMMYFUNCTION("QUERY(PoliticalData!AT$3:AT$34,""select AT where AT &gt; ""&amp;AT29&amp;"" order by AT limit 1"",0)"),5.3)</f>
        <v>5.3</v>
      </c>
      <c r="BB29" s="24">
        <f ca="1">IFERROR(__xludf.DUMMYFUNCTION("QUERY(PoliticalData!AT$3:AT$50,""select AT where AT &lt; ""&amp;AT29&amp;"" order by AT desc limit 1"",0)"),4.79)</f>
        <v>4.79</v>
      </c>
      <c r="BC29" s="25" t="str">
        <f ca="1">IFERROR(__xludf.DUMMYFUNCTION("IF((ABS(AT29-QUERY(PoliticalData!AT$3:AT$55,""select AT where AT &gt; ""&amp;AT29&amp;"" order by AT limit 1"",0))) &gt; ABS(AT29-QUERY(PoliticalData!AT$3:AT$55,""select AT where AT &lt; ""&amp;AT29&amp;"" order by AT desc limit 1"",0)), QUERY(PoliticalData!AS$3:AT$55,""select AS"&amp;" where AT = ""&amp;BB29&amp;"""",0), QUERY(PoliticalData!AS$3:AT$55,""select AS where AT = ""&amp;BA29&amp;"""",0))"),"lev.pollock@tcstudents.org")</f>
        <v>lev.pollock@tcstudents.org</v>
      </c>
      <c r="BD29" s="24">
        <f ca="1">IFERROR(__xludf.DUMMYFUNCTION("QUERY(PoliticalData!AV$3:AV$34,""select AV where AV &gt; ""&amp;AV29&amp;"" order by AV limit 1"",0)"),5.58)</f>
        <v>5.58</v>
      </c>
      <c r="BE29" s="24">
        <f ca="1">IFERROR(__xludf.DUMMYFUNCTION("QUERY(PoliticalData!AV$3:AV$50,""select AV where AV &lt; ""&amp;AV29&amp;"" order by AV desc limit 1"",0)"),5.46)</f>
        <v>5.46</v>
      </c>
      <c r="BF29" s="26" t="str">
        <f ca="1">IFERROR(__xludf.DUMMYFUNCTION("IF((ABS(AV29-QUERY(PoliticalData!AV$3:AV$55,""select AV where AV &gt; ""&amp;AV29&amp;"" order by AV limit 1"",0))) &gt; ABS(AV29-QUERY(PoliticalData!AV$3:AV$55,""select AV where AV &lt; ""&amp;AV29&amp;"" order by AV desc limit 1"",0)), QUERY(PoliticalData!AU$3:AV$55,""select AU"&amp;" where AV = ""&amp;BE29&amp;"""",0), QUERY(PoliticalData!AU$3:AV$55,""select AU where AV = ""&amp;BD29&amp;"""",0))"),"lev.pollock@tcstudents.org")</f>
        <v>lev.pollock@tcstudents.org</v>
      </c>
      <c r="BG29" s="19"/>
      <c r="BH29" s="24" t="e">
        <f t="shared" ca="1" si="14"/>
        <v>#NAME?</v>
      </c>
      <c r="BI29" s="19" t="str">
        <f t="shared" si="15"/>
        <v>No</v>
      </c>
      <c r="BJ29" s="19" t="str">
        <f t="shared" si="16"/>
        <v>No</v>
      </c>
      <c r="BK29" s="19" t="str">
        <f t="shared" si="17"/>
        <v>No</v>
      </c>
      <c r="BL29" s="19" t="str">
        <f t="shared" si="18"/>
        <v>Yes</v>
      </c>
      <c r="BM29" s="28"/>
    </row>
    <row r="30" spans="1:65" ht="14.5" x14ac:dyDescent="0.35">
      <c r="A30" s="44">
        <v>44251.413119062505</v>
      </c>
      <c r="B30" s="45">
        <v>5</v>
      </c>
      <c r="C30" s="45">
        <v>8</v>
      </c>
      <c r="D30" s="45">
        <v>8</v>
      </c>
      <c r="E30" s="45">
        <v>8</v>
      </c>
      <c r="F30" s="45">
        <v>9</v>
      </c>
      <c r="G30" s="45">
        <v>9</v>
      </c>
      <c r="H30" s="45">
        <v>9</v>
      </c>
      <c r="I30" s="45">
        <v>9</v>
      </c>
      <c r="J30" s="45">
        <v>9</v>
      </c>
      <c r="K30" s="45">
        <v>5</v>
      </c>
      <c r="L30" s="45">
        <v>5</v>
      </c>
      <c r="M30" s="45">
        <v>10</v>
      </c>
      <c r="N30" s="45">
        <v>7</v>
      </c>
      <c r="O30" s="45">
        <v>8</v>
      </c>
      <c r="P30" s="45">
        <v>7</v>
      </c>
      <c r="Q30" s="45">
        <v>7</v>
      </c>
      <c r="R30" s="45">
        <v>4</v>
      </c>
      <c r="S30" s="45">
        <v>8</v>
      </c>
      <c r="T30" s="45">
        <v>7</v>
      </c>
      <c r="U30" s="45">
        <v>9</v>
      </c>
      <c r="V30" s="45">
        <v>9</v>
      </c>
      <c r="W30" s="45">
        <v>6</v>
      </c>
      <c r="X30" s="45">
        <v>7</v>
      </c>
      <c r="Y30" s="45">
        <v>9</v>
      </c>
      <c r="Z30" s="45">
        <v>10</v>
      </c>
      <c r="AA30" s="45">
        <v>8</v>
      </c>
      <c r="AB30" s="45">
        <v>9</v>
      </c>
      <c r="AC30" s="45">
        <v>0</v>
      </c>
      <c r="AD30" s="12"/>
      <c r="AE30" s="13">
        <f t="shared" si="0"/>
        <v>7.6315789473684212</v>
      </c>
      <c r="AF30" s="14">
        <f t="shared" si="1"/>
        <v>2.3684210526315788</v>
      </c>
      <c r="AG30" s="14">
        <f t="shared" si="2"/>
        <v>7.4</v>
      </c>
      <c r="AH30" s="14">
        <f t="shared" si="3"/>
        <v>2.5999999999999996</v>
      </c>
      <c r="AI30" s="14">
        <f t="shared" si="4"/>
        <v>7.7368421052631575</v>
      </c>
      <c r="AJ30" s="14">
        <f t="shared" si="5"/>
        <v>2.2631578947368425</v>
      </c>
      <c r="AK30" s="15" t="str">
        <f t="shared" si="6"/>
        <v>Conservative:</v>
      </c>
      <c r="AL30" s="16">
        <f t="shared" si="7"/>
        <v>7.6315789473684212</v>
      </c>
      <c r="AM30" s="17" t="str">
        <f t="shared" si="8"/>
        <v>Conservative:</v>
      </c>
      <c r="AN30" s="16">
        <f t="shared" si="9"/>
        <v>7.4</v>
      </c>
      <c r="AO30" s="17" t="str">
        <f t="shared" si="10"/>
        <v>Libertarian:</v>
      </c>
      <c r="AP30" s="16">
        <f t="shared" si="11"/>
        <v>7.7368421052631575</v>
      </c>
      <c r="AQ30" s="46" t="s">
        <v>95</v>
      </c>
      <c r="AR30" s="19">
        <f>ROUND(IF(AE30 &gt; 5, (AE30*2)-10.01, (-AF30*2)+10), 2)</f>
        <v>5.25</v>
      </c>
      <c r="AS30" s="37" t="s">
        <v>95</v>
      </c>
      <c r="AT30" s="19">
        <f>ROUND(IF(AG30 &gt; 5, (AG30*2)-10.01, (-AH30*2)+10), 2)</f>
        <v>4.79</v>
      </c>
      <c r="AU30" s="37" t="s">
        <v>95</v>
      </c>
      <c r="AV30" s="19">
        <f>ROUND(IF(AI30 &gt; 5, (AI30*2)-10.01, (-AJ30*2)+10), 2)</f>
        <v>5.46</v>
      </c>
      <c r="AW30" s="21"/>
      <c r="AX30" s="22">
        <f ca="1">IFERROR(__xludf.DUMMYFUNCTION("QUERY(PoliticalData!AR$3:AR$55,""select AR where AR &gt; ""&amp;AR30&amp;"" order by AR limit 1"",0)"),5.26)</f>
        <v>5.26</v>
      </c>
      <c r="AY30" s="22">
        <f ca="1">IFERROR(__xludf.DUMMYFUNCTION("QUERY(PoliticalData!AR$3:AR$55,""select AR where AR &lt; ""&amp;AR30&amp;"" order by AR desc limit 1"",0)"),4.11)</f>
        <v>4.1100000000000003</v>
      </c>
      <c r="AZ30" s="23" t="str">
        <f ca="1">IFERROR(__xludf.DUMMYFUNCTION("IF((ABS(AR30-QUERY(PoliticalData!AR$3:AR$55,""select AR where AR &gt; ""&amp;AR30&amp;"" order by AR limit 1"",0))) &gt; ABS(AR30-QUERY(PoliticalData!AR$3:AR$55,""select AR where AR &lt; ""&amp;AR30&amp;"" order by AR desc limit 1"",0)), QUERY(PoliticalData!AQ$3:AR$55,""select AQ"&amp;" where AR = ""&amp;AY30&amp;"""",0), QUERY(PoliticalData!AQ$3:AR$55,""select AQ where AR = ""&amp;AX30&amp;"""",0))"),"lev.pollock@tcstudents.org")</f>
        <v>lev.pollock@tcstudents.org</v>
      </c>
      <c r="BA30" s="24">
        <f ca="1">IFERROR(__xludf.DUMMYFUNCTION("QUERY(PoliticalData!AT$3:AT$34,""select AT where AT &gt; ""&amp;AT30&amp;"" order by AT limit 1"",0)"),4.8)</f>
        <v>4.8</v>
      </c>
      <c r="BB30" s="24">
        <f ca="1">IFERROR(__xludf.DUMMYFUNCTION("QUERY(PoliticalData!AT$3:AT$50,""select AT where AT &lt; ""&amp;AT30&amp;"" order by AT desc limit 1"",0)"),4.7)</f>
        <v>4.7</v>
      </c>
      <c r="BC30" s="25" t="str">
        <f ca="1">IFERROR(__xludf.DUMMYFUNCTION("IF((ABS(AT30-QUERY(PoliticalData!AT$3:AT$55,""select AT where AT &gt; ""&amp;AT30&amp;"" order by AT limit 1"",0))) &gt; ABS(AT30-QUERY(PoliticalData!AT$3:AT$55,""select AT where AT &lt; ""&amp;AT30&amp;"" order by AT desc limit 1"",0)), QUERY(PoliticalData!AS$3:AT$55,""select AS"&amp;" where AT = ""&amp;BB30&amp;"""",0), QUERY(PoliticalData!AS$3:AT$55,""select AS where AT = ""&amp;BA30&amp;"""",0))"),"lev.pollock@tcstudents.org")</f>
        <v>lev.pollock@tcstudents.org</v>
      </c>
      <c r="BD30" s="24">
        <f ca="1">IFERROR(__xludf.DUMMYFUNCTION("QUERY(PoliticalData!AV$3:AV$34,""select AV where AV &gt; ""&amp;AV30&amp;"" order by AV limit 1"",0)"),5.47)</f>
        <v>5.47</v>
      </c>
      <c r="BE30" s="24">
        <f ca="1">IFERROR(__xludf.DUMMYFUNCTION("QUERY(PoliticalData!AV$3:AV$50,""select AV where AV &lt; ""&amp;AV30&amp;"" order by AV desc limit 1"",0)"),5.05)</f>
        <v>5.05</v>
      </c>
      <c r="BF30" s="26" t="str">
        <f ca="1">IFERROR(__xludf.DUMMYFUNCTION("IF((ABS(AV30-QUERY(PoliticalData!AV$3:AV$55,""select AV where AV &gt; ""&amp;AV30&amp;"" order by AV limit 1"",0))) &gt; ABS(AV30-QUERY(PoliticalData!AV$3:AV$55,""select AV where AV &lt; ""&amp;AV30&amp;"" order by AV desc limit 1"",0)), QUERY(PoliticalData!AU$3:AV$55,""select AU"&amp;" where AV = ""&amp;BE30&amp;"""",0), QUERY(PoliticalData!AU$3:AV$55,""select AU where AV = ""&amp;BD30&amp;"""",0))"),"lev.pollock@tcstudents.org")</f>
        <v>lev.pollock@tcstudents.org</v>
      </c>
      <c r="BG30" s="19"/>
      <c r="BH30" s="24" t="e">
        <f t="shared" ca="1" si="14"/>
        <v>#NAME?</v>
      </c>
      <c r="BI30" s="19" t="str">
        <f t="shared" si="15"/>
        <v>No</v>
      </c>
      <c r="BJ30" s="19" t="str">
        <f t="shared" si="16"/>
        <v>No</v>
      </c>
      <c r="BK30" s="19" t="str">
        <f t="shared" si="17"/>
        <v>No</v>
      </c>
      <c r="BL30" s="19" t="str">
        <f t="shared" si="18"/>
        <v>Yes</v>
      </c>
      <c r="BM30" s="28"/>
    </row>
    <row r="31" spans="1:65" ht="14.5" x14ac:dyDescent="0.35">
      <c r="A31" s="44">
        <v>44251.508690567134</v>
      </c>
      <c r="B31" s="45">
        <v>8</v>
      </c>
      <c r="C31" s="45">
        <v>6</v>
      </c>
      <c r="D31" s="45">
        <v>9</v>
      </c>
      <c r="E31" s="45">
        <v>2</v>
      </c>
      <c r="F31" s="45">
        <v>10</v>
      </c>
      <c r="G31" s="45">
        <v>10</v>
      </c>
      <c r="H31" s="45">
        <v>1</v>
      </c>
      <c r="I31" s="45">
        <v>8</v>
      </c>
      <c r="J31" s="45">
        <v>5</v>
      </c>
      <c r="K31" s="45">
        <v>5</v>
      </c>
      <c r="L31" s="45">
        <v>0</v>
      </c>
      <c r="M31" s="45">
        <v>0</v>
      </c>
      <c r="N31" s="45">
        <v>10</v>
      </c>
      <c r="O31" s="45">
        <v>9</v>
      </c>
      <c r="P31" s="45">
        <v>3</v>
      </c>
      <c r="Q31" s="45">
        <v>10</v>
      </c>
      <c r="R31" s="45">
        <v>0</v>
      </c>
      <c r="S31" s="45">
        <v>1</v>
      </c>
      <c r="T31" s="45">
        <v>0</v>
      </c>
      <c r="U31" s="45">
        <v>10</v>
      </c>
      <c r="V31" s="45">
        <v>0</v>
      </c>
      <c r="W31" s="45">
        <v>5</v>
      </c>
      <c r="X31" s="45">
        <v>10</v>
      </c>
      <c r="Y31" s="45">
        <v>1</v>
      </c>
      <c r="Z31" s="45">
        <v>10</v>
      </c>
      <c r="AA31" s="45">
        <v>0</v>
      </c>
      <c r="AB31" s="45">
        <v>6</v>
      </c>
      <c r="AC31" s="45">
        <v>10</v>
      </c>
      <c r="AD31" s="12"/>
      <c r="AE31" s="13">
        <f t="shared" si="0"/>
        <v>4.8947368421052628</v>
      </c>
      <c r="AF31" s="14">
        <f t="shared" si="1"/>
        <v>5.1052631578947372</v>
      </c>
      <c r="AG31" s="14">
        <f t="shared" si="2"/>
        <v>5.7</v>
      </c>
      <c r="AH31" s="14">
        <f t="shared" si="3"/>
        <v>4.3</v>
      </c>
      <c r="AI31" s="14">
        <f t="shared" si="4"/>
        <v>5.1052631578947372</v>
      </c>
      <c r="AJ31" s="14">
        <f t="shared" si="5"/>
        <v>4.8947368421052628</v>
      </c>
      <c r="AK31" s="15" t="str">
        <f t="shared" si="6"/>
        <v>Liberal:</v>
      </c>
      <c r="AL31" s="16">
        <f t="shared" si="7"/>
        <v>5.1052631578947372</v>
      </c>
      <c r="AM31" s="17" t="str">
        <f t="shared" si="8"/>
        <v>Conservative:</v>
      </c>
      <c r="AN31" s="16">
        <f t="shared" si="9"/>
        <v>5.7</v>
      </c>
      <c r="AO31" s="17" t="str">
        <f t="shared" si="10"/>
        <v>Libertarian:</v>
      </c>
      <c r="AP31" s="16">
        <f t="shared" si="11"/>
        <v>5.1052631578947372</v>
      </c>
      <c r="AQ31" s="46" t="s">
        <v>96</v>
      </c>
      <c r="AR31" s="19">
        <f t="shared" ref="AR31:AR34" si="24">ROUND(IF(AE31 &gt; 5, (AE31*2)-10, (-AF31*2)+10), 2)</f>
        <v>-0.21</v>
      </c>
      <c r="AS31" s="37" t="s">
        <v>96</v>
      </c>
      <c r="AT31" s="19">
        <f t="shared" ref="AT31:AT34" si="25">ROUND(IF(AG31 &gt; 5, (AG31*2)-10, (-AH31*2)+10), 2)</f>
        <v>1.4</v>
      </c>
      <c r="AU31" s="37" t="s">
        <v>96</v>
      </c>
      <c r="AV31" s="19">
        <f t="shared" ref="AV31:AV33" si="26">ROUND(IF(AI31 &gt; 5, (AI31*2)-10, (-AJ31*2)+10), 2)</f>
        <v>0.21</v>
      </c>
      <c r="AW31" s="21"/>
      <c r="AX31" s="22">
        <f ca="1">IFERROR(__xludf.DUMMYFUNCTION("QUERY(PoliticalData!AR$3:AR$55,""select AR where AR &gt; ""&amp;AR31&amp;"" order by AR limit 1"",0)"),0.84)</f>
        <v>0.84</v>
      </c>
      <c r="AY31" s="22">
        <f ca="1">IFERROR(__xludf.DUMMYFUNCTION("QUERY(PoliticalData!AR$3:AR$55,""select AR where AR &lt; ""&amp;AR31&amp;"" order by AR desc limit 1"",0)"),-0.44)</f>
        <v>-0.44</v>
      </c>
      <c r="AZ31" s="23" t="str">
        <f ca="1">IFERROR(__xludf.DUMMYFUNCTION("IF((ABS(AR31-QUERY(PoliticalData!AR$3:AR$55,""select AR where AR &gt; ""&amp;AR31&amp;"" order by AR limit 1"",0))) &gt; ABS(AR31-QUERY(PoliticalData!AR$3:AR$55,""select AR where AR &lt; ""&amp;AR31&amp;"" order by AR desc limit 1"",0)), QUERY(PoliticalData!AQ$3:AR$55,""select AQ"&amp;" where AR = ""&amp;AY31&amp;"""",0), QUERY(PoliticalData!AQ$3:AR$55,""select AQ where AR = ""&amp;AX31&amp;"""",0))"),"greg.schneider@tcstudents.org")</f>
        <v>greg.schneider@tcstudents.org</v>
      </c>
      <c r="BA31" s="24">
        <f ca="1">IFERROR(__xludf.DUMMYFUNCTION("QUERY(PoliticalData!AT$3:AT$34,""select AT where AT &gt; ""&amp;AT31&amp;"" order by AT limit 1"",0)"),1.7)</f>
        <v>1.7</v>
      </c>
      <c r="BB31" s="24">
        <f ca="1">IFERROR(__xludf.DUMMYFUNCTION("QUERY(PoliticalData!AT$3:AT$50,""select AT where AT &lt; ""&amp;AT31&amp;"" order by AT desc limit 1"",0)"),1.26)</f>
        <v>1.26</v>
      </c>
      <c r="BC31" s="25" t="str">
        <f ca="1">IFERROR(__xludf.DUMMYFUNCTION("IF((ABS(AT31-QUERY(PoliticalData!AT$3:AT$55,""select AT where AT &gt; ""&amp;AT31&amp;"" order by AT limit 1"",0))) &gt; ABS(AT31-QUERY(PoliticalData!AT$3:AT$55,""select AT where AT &lt; ""&amp;AT31&amp;"" order by AT desc limit 1"",0)), QUERY(PoliticalData!AS$3:AT$55,""select AS"&amp;" where AT = ""&amp;BB31&amp;"""",0), QUERY(PoliticalData!AS$3:AT$55,""select AS where AT = ""&amp;BA31&amp;"""",0))"),"greg.schneider@tcstudents.org")</f>
        <v>greg.schneider@tcstudents.org</v>
      </c>
      <c r="BD31" s="24">
        <f ca="1">IFERROR(__xludf.DUMMYFUNCTION("QUERY(PoliticalData!AV$3:AV$34,""select AV where AV &gt; ""&amp;AV31&amp;"" order by AV limit 1"",0)"),1.25)</f>
        <v>1.25</v>
      </c>
      <c r="BE31" s="24">
        <f ca="1">IFERROR(__xludf.DUMMYFUNCTION("QUERY(PoliticalData!AV$3:AV$50,""select AV where AV &lt; ""&amp;AV31&amp;"" order by AV desc limit 1"",0)"),-0.53)</f>
        <v>-0.53</v>
      </c>
      <c r="BF31" s="26" t="str">
        <f ca="1">IFERROR(__xludf.DUMMYFUNCTION("IF((ABS(AV31-QUERY(PoliticalData!AV$3:AV$55,""select AV where AV &gt; ""&amp;AV31&amp;"" order by AV limit 1"",0))) &gt; ABS(AV31-QUERY(PoliticalData!AV$3:AV$55,""select AV where AV &lt; ""&amp;AV31&amp;"" order by AV desc limit 1"",0)), QUERY(PoliticalData!AU$3:AV$55,""select AU"&amp;" where AV = ""&amp;BE31&amp;"""",0), QUERY(PoliticalData!AU$3:AV$55,""select AU where AV = ""&amp;BD31&amp;"""",0))"),"greg.schneider@tcstudents.org")</f>
        <v>greg.schneider@tcstudents.org</v>
      </c>
      <c r="BG31" s="19"/>
      <c r="BH31" s="24" t="e">
        <f t="shared" ca="1" si="14"/>
        <v>#NAME?</v>
      </c>
      <c r="BI31" s="19" t="str">
        <f t="shared" si="15"/>
        <v>Yes</v>
      </c>
      <c r="BJ31" s="19" t="str">
        <f t="shared" si="16"/>
        <v>Yes</v>
      </c>
      <c r="BK31" s="19" t="str">
        <f t="shared" si="17"/>
        <v>No</v>
      </c>
      <c r="BL31" s="19" t="str">
        <f t="shared" si="18"/>
        <v>No</v>
      </c>
      <c r="BM31" s="28"/>
    </row>
    <row r="32" spans="1:65" ht="14.5" x14ac:dyDescent="0.35">
      <c r="A32" s="44">
        <v>44251.608414097223</v>
      </c>
      <c r="B32" s="45">
        <v>6</v>
      </c>
      <c r="C32" s="45">
        <v>7</v>
      </c>
      <c r="D32" s="45">
        <v>8</v>
      </c>
      <c r="E32" s="45">
        <v>9</v>
      </c>
      <c r="F32" s="45">
        <v>9</v>
      </c>
      <c r="G32" s="45">
        <v>7</v>
      </c>
      <c r="H32" s="45">
        <v>4</v>
      </c>
      <c r="I32" s="45">
        <v>8</v>
      </c>
      <c r="J32" s="45">
        <v>4</v>
      </c>
      <c r="K32" s="45">
        <v>9</v>
      </c>
      <c r="L32" s="45">
        <v>3</v>
      </c>
      <c r="M32" s="45">
        <v>8</v>
      </c>
      <c r="N32" s="45">
        <v>9</v>
      </c>
      <c r="O32" s="45">
        <v>9</v>
      </c>
      <c r="P32" s="45">
        <v>7</v>
      </c>
      <c r="Q32" s="45">
        <v>10</v>
      </c>
      <c r="R32" s="45">
        <v>2</v>
      </c>
      <c r="S32" s="45">
        <v>8</v>
      </c>
      <c r="T32" s="45">
        <v>7</v>
      </c>
      <c r="U32" s="45">
        <v>9</v>
      </c>
      <c r="V32" s="45">
        <v>5</v>
      </c>
      <c r="W32" s="45">
        <v>7</v>
      </c>
      <c r="X32" s="45">
        <v>7</v>
      </c>
      <c r="Y32" s="45">
        <v>10</v>
      </c>
      <c r="Z32" s="45">
        <v>7</v>
      </c>
      <c r="AA32" s="45">
        <v>7</v>
      </c>
      <c r="AB32" s="45">
        <v>9</v>
      </c>
      <c r="AC32" s="45">
        <v>5</v>
      </c>
      <c r="AD32" s="12"/>
      <c r="AE32" s="13">
        <f t="shared" si="0"/>
        <v>6.8421052631578947</v>
      </c>
      <c r="AF32" s="14">
        <f t="shared" si="1"/>
        <v>3.1578947368421053</v>
      </c>
      <c r="AG32" s="14">
        <f t="shared" si="2"/>
        <v>7.25</v>
      </c>
      <c r="AH32" s="14">
        <f t="shared" si="3"/>
        <v>2.75</v>
      </c>
      <c r="AI32" s="14">
        <f t="shared" si="4"/>
        <v>7</v>
      </c>
      <c r="AJ32" s="14">
        <f t="shared" si="5"/>
        <v>3</v>
      </c>
      <c r="AK32" s="15" t="str">
        <f t="shared" si="6"/>
        <v>Conservative:</v>
      </c>
      <c r="AL32" s="16">
        <f t="shared" si="7"/>
        <v>6.8421052631578947</v>
      </c>
      <c r="AM32" s="17" t="str">
        <f t="shared" si="8"/>
        <v>Conservative:</v>
      </c>
      <c r="AN32" s="16">
        <f t="shared" si="9"/>
        <v>7.25</v>
      </c>
      <c r="AO32" s="17" t="str">
        <f t="shared" si="10"/>
        <v>Libertarian:</v>
      </c>
      <c r="AP32" s="16">
        <f t="shared" si="11"/>
        <v>7</v>
      </c>
      <c r="AQ32" s="46" t="s">
        <v>97</v>
      </c>
      <c r="AR32" s="19">
        <f t="shared" si="24"/>
        <v>3.68</v>
      </c>
      <c r="AS32" s="37" t="s">
        <v>97</v>
      </c>
      <c r="AT32" s="19">
        <f t="shared" si="25"/>
        <v>4.5</v>
      </c>
      <c r="AU32" s="37" t="s">
        <v>97</v>
      </c>
      <c r="AV32" s="19">
        <f t="shared" si="26"/>
        <v>4</v>
      </c>
      <c r="AW32" s="21"/>
      <c r="AX32" s="22">
        <f ca="1">IFERROR(__xludf.DUMMYFUNCTION("QUERY(PoliticalData!AR$3:AR$55,""select AR where AR &gt; ""&amp;AR32&amp;"" order by AR limit 1"",0)"),3.89)</f>
        <v>3.89</v>
      </c>
      <c r="AY32" s="22">
        <f ca="1">IFERROR(__xludf.DUMMYFUNCTION("QUERY(PoliticalData!AR$3:AR$55,""select AR where AR &lt; ""&amp;AR32&amp;"" order by AR desc limit 1"",0)"),3.13)</f>
        <v>3.13</v>
      </c>
      <c r="AZ32" s="23" t="str">
        <f ca="1">IFERROR(__xludf.DUMMYFUNCTION("IF((ABS(AR32-QUERY(PoliticalData!AR$3:AR$55,""select AR where AR &gt; ""&amp;AR32&amp;"" order by AR limit 1"",0))) &gt; ABS(AR32-QUERY(PoliticalData!AR$3:AR$55,""select AR where AR &lt; ""&amp;AR32&amp;"" order by AR desc limit 1"",0)), QUERY(PoliticalData!AQ$3:AR$55,""select AQ"&amp;" where AR = ""&amp;AY32&amp;"""",0), QUERY(PoliticalData!AQ$3:AR$55,""select AQ where AR = ""&amp;AX32&amp;"""",0))"),"kyle.zaldin@tcstudents.org")</f>
        <v>kyle.zaldin@tcstudents.org</v>
      </c>
      <c r="BA32" s="24">
        <f ca="1">IFERROR(__xludf.DUMMYFUNCTION("QUERY(PoliticalData!AT$3:AT$34,""select AT where AT &gt; ""&amp;AT32&amp;"" order by AT limit 1"",0)"),4.7)</f>
        <v>4.7</v>
      </c>
      <c r="BB32" s="24">
        <f ca="1">IFERROR(__xludf.DUMMYFUNCTION("QUERY(PoliticalData!AT$3:AT$50,""select AT where AT &lt; ""&amp;AT32&amp;"" order by AT desc limit 1"",0)"),4.3)</f>
        <v>4.3</v>
      </c>
      <c r="BC32" s="25" t="str">
        <f ca="1">IFERROR(__xludf.DUMMYFUNCTION("IF((ABS(AT32-QUERY(PoliticalData!AT$3:AT$55,""select AT where AT &gt; ""&amp;AT32&amp;"" order by AT limit 1"",0))) &gt; ABS(AT32-QUERY(PoliticalData!AT$3:AT$55,""select AT where AT &lt; ""&amp;AT32&amp;"" order by AT desc limit 1"",0)), QUERY(PoliticalData!AS$3:AT$55,""select AS"&amp;" where AT = ""&amp;BB32&amp;"""",0), QUERY(PoliticalData!AS$3:AT$55,""select AS where AT = ""&amp;BA32&amp;"""",0))"),"joshua.benbassat@tcstudents.org")</f>
        <v>joshua.benbassat@tcstudents.org</v>
      </c>
      <c r="BD32" s="24">
        <f ca="1">IFERROR(__xludf.DUMMYFUNCTION("QUERY(PoliticalData!AV$3:AV$34,""select AV where AV &gt; ""&amp;AV32&amp;"" order by AV limit 1"",0)"),4.4)</f>
        <v>4.4000000000000004</v>
      </c>
      <c r="BE32" s="24">
        <f ca="1">IFERROR(__xludf.DUMMYFUNCTION("QUERY(PoliticalData!AV$3:AV$50,""select AV where AV &lt; ""&amp;AV32&amp;"" order by AV desc limit 1"",0)"),3.76)</f>
        <v>3.76</v>
      </c>
      <c r="BF32" s="26" t="str">
        <f ca="1">IFERROR(__xludf.DUMMYFUNCTION("IF((ABS(AV32-QUERY(PoliticalData!AV$3:AV$55,""select AV where AV &gt; ""&amp;AV32&amp;"" order by AV limit 1"",0))) &gt; ABS(AV32-QUERY(PoliticalData!AV$3:AV$55,""select AV where AV &lt; ""&amp;AV32&amp;"" order by AV desc limit 1"",0)), QUERY(PoliticalData!AU$3:AV$55,""select AU"&amp;" where AV = ""&amp;BE32&amp;"""",0), QUERY(PoliticalData!AU$3:AV$55,""select AU where AV = ""&amp;BD32&amp;"""",0))"),"zachary.muraven@tcstudents.org")</f>
        <v>zachary.muraven@tcstudents.org</v>
      </c>
      <c r="BG32" s="19"/>
      <c r="BH32" s="24" t="e">
        <f t="shared" ca="1" si="14"/>
        <v>#NAME?</v>
      </c>
      <c r="BI32" s="19" t="str">
        <f t="shared" si="15"/>
        <v>No</v>
      </c>
      <c r="BJ32" s="19" t="str">
        <f t="shared" si="16"/>
        <v>No</v>
      </c>
      <c r="BK32" s="19" t="str">
        <f t="shared" si="17"/>
        <v>Yes</v>
      </c>
      <c r="BL32" s="19" t="str">
        <f t="shared" si="18"/>
        <v>No</v>
      </c>
      <c r="BM32" s="28"/>
    </row>
    <row r="33" spans="1:65" ht="14.5" x14ac:dyDescent="0.35">
      <c r="A33" s="44">
        <v>44251.633545034725</v>
      </c>
      <c r="B33" s="45">
        <v>4</v>
      </c>
      <c r="C33" s="45">
        <v>2</v>
      </c>
      <c r="D33" s="45">
        <v>4</v>
      </c>
      <c r="E33" s="45">
        <v>3</v>
      </c>
      <c r="F33" s="45">
        <v>4</v>
      </c>
      <c r="G33" s="45">
        <v>4</v>
      </c>
      <c r="H33" s="45">
        <v>3</v>
      </c>
      <c r="I33" s="45">
        <v>3</v>
      </c>
      <c r="J33" s="45">
        <v>3</v>
      </c>
      <c r="K33" s="45">
        <v>6</v>
      </c>
      <c r="L33" s="45">
        <v>1</v>
      </c>
      <c r="M33" s="45">
        <v>6</v>
      </c>
      <c r="N33" s="45">
        <v>6</v>
      </c>
      <c r="O33" s="45">
        <v>3</v>
      </c>
      <c r="P33" s="45">
        <v>5</v>
      </c>
      <c r="Q33" s="45">
        <v>6</v>
      </c>
      <c r="R33" s="45">
        <v>6</v>
      </c>
      <c r="S33" s="45">
        <v>3</v>
      </c>
      <c r="T33" s="45">
        <v>3</v>
      </c>
      <c r="U33" s="45">
        <v>7</v>
      </c>
      <c r="V33" s="45">
        <v>7</v>
      </c>
      <c r="W33" s="45">
        <v>3</v>
      </c>
      <c r="X33" s="45">
        <v>4</v>
      </c>
      <c r="Y33" s="45">
        <v>7</v>
      </c>
      <c r="Z33" s="45">
        <v>4</v>
      </c>
      <c r="AA33" s="45">
        <v>3</v>
      </c>
      <c r="AB33" s="45">
        <v>5</v>
      </c>
      <c r="AC33" s="45">
        <v>0</v>
      </c>
      <c r="AD33" s="12"/>
      <c r="AE33" s="13">
        <f t="shared" si="0"/>
        <v>3.6315789473684212</v>
      </c>
      <c r="AF33" s="14">
        <f t="shared" si="1"/>
        <v>6.3684210526315788</v>
      </c>
      <c r="AG33" s="14">
        <f t="shared" si="2"/>
        <v>4.3</v>
      </c>
      <c r="AH33" s="14">
        <f t="shared" si="3"/>
        <v>5.7</v>
      </c>
      <c r="AI33" s="14">
        <f t="shared" si="4"/>
        <v>4.0526315789473681</v>
      </c>
      <c r="AJ33" s="14">
        <f t="shared" si="5"/>
        <v>5.9473684210526319</v>
      </c>
      <c r="AK33" s="15" t="str">
        <f t="shared" si="6"/>
        <v>Liberal:</v>
      </c>
      <c r="AL33" s="16">
        <f t="shared" si="7"/>
        <v>6.3684210526315788</v>
      </c>
      <c r="AM33" s="17" t="str">
        <f t="shared" si="8"/>
        <v>Liberal:</v>
      </c>
      <c r="AN33" s="16">
        <f t="shared" si="9"/>
        <v>5.7</v>
      </c>
      <c r="AO33" s="17" t="str">
        <f t="shared" si="10"/>
        <v>Authoritarian:</v>
      </c>
      <c r="AP33" s="16">
        <f t="shared" si="11"/>
        <v>5.9473684210526319</v>
      </c>
      <c r="AQ33" s="46" t="s">
        <v>98</v>
      </c>
      <c r="AR33" s="19">
        <f t="shared" si="24"/>
        <v>-2.74</v>
      </c>
      <c r="AS33" s="37" t="s">
        <v>98</v>
      </c>
      <c r="AT33" s="19">
        <f t="shared" si="25"/>
        <v>-1.4</v>
      </c>
      <c r="AU33" s="37" t="s">
        <v>98</v>
      </c>
      <c r="AV33" s="19">
        <f t="shared" si="26"/>
        <v>-1.89</v>
      </c>
      <c r="AW33" s="21"/>
      <c r="AX33" s="22">
        <f ca="1">IFERROR(__xludf.DUMMYFUNCTION("QUERY(PoliticalData!AR$3:AR$55,""select AR where AR &gt; ""&amp;AR33&amp;"" order by AR limit 1"",0)"),-2.53)</f>
        <v>-2.5299999999999998</v>
      </c>
      <c r="AY33" s="22">
        <f ca="1">IFERROR(__xludf.DUMMYFUNCTION("QUERY(PoliticalData!AR$3:AR$55,""select AR where AR &lt; ""&amp;AR33&amp;"" order by AR desc limit 1"",0)"),-3.05)</f>
        <v>-3.05</v>
      </c>
      <c r="AZ33" s="23" t="str">
        <f ca="1">IFERROR(__xludf.DUMMYFUNCTION("IF((ABS(AR33-QUERY(PoliticalData!AR$3:AR$55,""select AR where AR &gt; ""&amp;AR33&amp;"" order by AR limit 1"",0))) &gt; ABS(AR33-QUERY(PoliticalData!AR$3:AR$55,""select AR where AR &lt; ""&amp;AR33&amp;"" order by AR desc limit 1"",0)), QUERY(PoliticalData!AQ$3:AR$55,""select AQ"&amp;" where AR = ""&amp;AY33&amp;"""",0), QUERY(PoliticalData!AQ$3:AR$55,""select AQ where AR = ""&amp;AX33&amp;"""",0))"),"dylan.yagod-ramm@tcstudents.org")</f>
        <v>dylan.yagod-ramm@tcstudents.org</v>
      </c>
      <c r="BA33" s="24">
        <f ca="1">IFERROR(__xludf.DUMMYFUNCTION("QUERY(PoliticalData!AT$3:AT$34,""select AT where AT &gt; ""&amp;AT33&amp;"" order by AT limit 1"",0)"),-1.39)</f>
        <v>-1.39</v>
      </c>
      <c r="BB33" s="24">
        <f ca="1">IFERROR(__xludf.DUMMYFUNCTION("QUERY(PoliticalData!AT$3:AT$50,""select AT where AT &lt; ""&amp;AT33&amp;"" order by AT desc limit 1"",0)"),-2.2)</f>
        <v>-2.2000000000000002</v>
      </c>
      <c r="BC33" s="25" t="str">
        <f ca="1">IFERROR(__xludf.DUMMYFUNCTION("IF((ABS(AT33-QUERY(PoliticalData!AT$3:AT$55,""select AT where AT &gt; ""&amp;AT33&amp;"" order by AT limit 1"",0))) &gt; ABS(AT33-QUERY(PoliticalData!AT$3:AT$55,""select AT where AT &lt; ""&amp;AT33&amp;"" order by AT desc limit 1"",0)), QUERY(PoliticalData!AS$3:AT$55,""select AS"&amp;" where AT = ""&amp;BB33&amp;"""",0), QUERY(PoliticalData!AS$3:AT$55,""select AS where AT = ""&amp;BA33&amp;"""",0))"),"avi.tabibian@tcstudents.org")</f>
        <v>avi.tabibian@tcstudents.org</v>
      </c>
      <c r="BD33" s="24">
        <f ca="1">IFERROR(__xludf.DUMMYFUNCTION("QUERY(PoliticalData!AV$3:AV$34,""select AV where AV &gt; ""&amp;AV33&amp;"" order by AV limit 1"",0)"),-1.88)</f>
        <v>-1.88</v>
      </c>
      <c r="BE33" s="24">
        <f ca="1">IFERROR(__xludf.DUMMYFUNCTION("QUERY(PoliticalData!AV$3:AV$50,""select AV where AV &lt; ""&amp;AV33&amp;"" order by AV desc limit 1"",0)"),-2.84)</f>
        <v>-2.84</v>
      </c>
      <c r="BF33" s="26" t="str">
        <f ca="1">IFERROR(__xludf.DUMMYFUNCTION("IF((ABS(AV33-QUERY(PoliticalData!AV$3:AV$55,""select AV where AV &gt; ""&amp;AV33&amp;"" order by AV limit 1"",0))) &gt; ABS(AV33-QUERY(PoliticalData!AV$3:AV$55,""select AV where AV &lt; ""&amp;AV33&amp;"" order by AV desc limit 1"",0)), QUERY(PoliticalData!AU$3:AV$55,""select AU"&amp;" where AV = ""&amp;BE33&amp;"""",0), QUERY(PoliticalData!AU$3:AV$55,""select AU where AV = ""&amp;BD33&amp;"""",0))"),"noah.shaffir@tcstudents.org")</f>
        <v>noah.shaffir@tcstudents.org</v>
      </c>
      <c r="BG33" s="47"/>
      <c r="BH33" s="24" t="e">
        <f t="shared" ca="1" si="14"/>
        <v>#NAME?</v>
      </c>
      <c r="BI33" s="19" t="str">
        <f t="shared" si="15"/>
        <v>No</v>
      </c>
      <c r="BJ33" s="19" t="str">
        <f t="shared" si="16"/>
        <v>No</v>
      </c>
      <c r="BK33" s="19" t="str">
        <f t="shared" si="17"/>
        <v>No</v>
      </c>
      <c r="BL33" s="19" t="str">
        <f t="shared" si="18"/>
        <v>No</v>
      </c>
      <c r="BM33" s="28"/>
    </row>
    <row r="34" spans="1:65" ht="14.5" x14ac:dyDescent="0.35">
      <c r="A34" s="44">
        <v>44251.634054641203</v>
      </c>
      <c r="B34" s="45">
        <v>7</v>
      </c>
      <c r="C34" s="45">
        <v>6</v>
      </c>
      <c r="D34" s="45">
        <v>3</v>
      </c>
      <c r="E34" s="45">
        <v>4</v>
      </c>
      <c r="F34" s="45">
        <v>4</v>
      </c>
      <c r="G34" s="45">
        <v>8</v>
      </c>
      <c r="H34" s="45">
        <v>6</v>
      </c>
      <c r="I34" s="45">
        <v>8</v>
      </c>
      <c r="J34" s="45">
        <v>5</v>
      </c>
      <c r="K34" s="45">
        <v>5</v>
      </c>
      <c r="L34" s="45">
        <v>4</v>
      </c>
      <c r="M34" s="45">
        <v>4</v>
      </c>
      <c r="N34" s="45">
        <v>8</v>
      </c>
      <c r="O34" s="45">
        <v>7</v>
      </c>
      <c r="P34" s="45">
        <v>5</v>
      </c>
      <c r="Q34" s="45">
        <v>6</v>
      </c>
      <c r="R34" s="45">
        <v>1</v>
      </c>
      <c r="S34" s="45">
        <v>8</v>
      </c>
      <c r="T34" s="45">
        <v>5</v>
      </c>
      <c r="U34" s="45">
        <v>4</v>
      </c>
      <c r="V34" s="45">
        <v>9</v>
      </c>
      <c r="W34" s="45">
        <v>4</v>
      </c>
      <c r="X34" s="45">
        <v>5</v>
      </c>
      <c r="Y34" s="45">
        <v>5</v>
      </c>
      <c r="Z34" s="45">
        <v>6</v>
      </c>
      <c r="AA34" s="45">
        <v>6</v>
      </c>
      <c r="AB34" s="45">
        <v>5</v>
      </c>
      <c r="AC34" s="45">
        <v>1</v>
      </c>
      <c r="AD34" s="12"/>
      <c r="AE34" s="13">
        <f t="shared" si="0"/>
        <v>5.4210526315789478</v>
      </c>
      <c r="AF34" s="14">
        <f t="shared" si="1"/>
        <v>4.5789473684210522</v>
      </c>
      <c r="AG34" s="14">
        <f t="shared" si="2"/>
        <v>5.85</v>
      </c>
      <c r="AH34" s="14">
        <f t="shared" si="3"/>
        <v>4.1500000000000004</v>
      </c>
      <c r="AI34" s="14">
        <f t="shared" si="4"/>
        <v>5.6315789473684212</v>
      </c>
      <c r="AJ34" s="14">
        <f t="shared" si="5"/>
        <v>4.3684210526315788</v>
      </c>
      <c r="AK34" s="15" t="str">
        <f t="shared" si="6"/>
        <v>Conservative:</v>
      </c>
      <c r="AL34" s="16">
        <f t="shared" si="7"/>
        <v>5.4210526315789478</v>
      </c>
      <c r="AM34" s="17" t="str">
        <f t="shared" si="8"/>
        <v>Conservative:</v>
      </c>
      <c r="AN34" s="16">
        <f t="shared" si="9"/>
        <v>5.85</v>
      </c>
      <c r="AO34" s="17" t="str">
        <f t="shared" si="10"/>
        <v>Libertarian:</v>
      </c>
      <c r="AP34" s="16">
        <f t="shared" si="11"/>
        <v>5.6315789473684212</v>
      </c>
      <c r="AQ34" s="46" t="s">
        <v>99</v>
      </c>
      <c r="AR34" s="19">
        <f t="shared" si="24"/>
        <v>0.84</v>
      </c>
      <c r="AS34" s="37" t="s">
        <v>99</v>
      </c>
      <c r="AT34" s="19">
        <f t="shared" si="25"/>
        <v>1.7</v>
      </c>
      <c r="AU34" s="37" t="s">
        <v>99</v>
      </c>
      <c r="AV34" s="19">
        <f>ROUND(IF(AI34 &gt; 5, (AI34*2)-10.01, (-AJ34*2)+10.01), 2)</f>
        <v>1.25</v>
      </c>
      <c r="AW34" s="21"/>
      <c r="AX34" s="22">
        <f ca="1">IFERROR(__xludf.DUMMYFUNCTION("QUERY(PoliticalData!AR$3:AR$55,""select AR where AR &gt; ""&amp;AR34&amp;"" order by AR limit 1"",0)"),1.47)</f>
        <v>1.47</v>
      </c>
      <c r="AY34" s="22">
        <f ca="1">IFERROR(__xludf.DUMMYFUNCTION("QUERY(PoliticalData!AR$3:AR$55,""select AR where AR &lt; ""&amp;AR34&amp;"" order by AR desc limit 1"",0)"),-0.21)</f>
        <v>-0.21</v>
      </c>
      <c r="AZ34" s="23" t="str">
        <f ca="1">IFERROR(__xludf.DUMMYFUNCTION("IF((ABS(AR34-QUERY(PoliticalData!AR$3:AR$55,""select AR where AR &gt; ""&amp;AR34&amp;"" order by AR limit 1"",0))) &gt; ABS(AR34-QUERY(PoliticalData!AR$3:AR$55,""select AR where AR &lt; ""&amp;AR34&amp;"" order by AR desc limit 1"",0)), QUERY(PoliticalData!AQ$3:AR$55,""select AQ"&amp;" where AR = ""&amp;AY34&amp;"""",0), QUERY(PoliticalData!AQ$3:AR$55,""select AQ where AR = ""&amp;AX34&amp;"""",0))"),"jonathan.kagal@tcstudents.org")</f>
        <v>jonathan.kagal@tcstudents.org</v>
      </c>
      <c r="BA34" s="24">
        <f ca="1">IFERROR(__xludf.DUMMYFUNCTION("QUERY(PoliticalData!AT$3:AT$34,""select AT where AT &gt; ""&amp;AT34&amp;"" order by AT limit 1"",0)"),1.8)</f>
        <v>1.8</v>
      </c>
      <c r="BB34" s="24">
        <f ca="1">IFERROR(__xludf.DUMMYFUNCTION("QUERY(PoliticalData!AT$3:AT$50,""select AT where AT &lt; ""&amp;AT34&amp;"" order by AT desc limit 1"",0)"),1.4)</f>
        <v>1.4</v>
      </c>
      <c r="BC34" s="25" t="str">
        <f ca="1">IFERROR(__xludf.DUMMYFUNCTION("IF((ABS(AT34-QUERY(PoliticalData!AT$3:AT$55,""select AT where AT &gt; ""&amp;AT34&amp;"" order by AT limit 1"",0))) &gt; ABS(AT34-QUERY(PoliticalData!AT$3:AT$55,""select AT where AT &lt; ""&amp;AT34&amp;"" order by AT desc limit 1"",0)), QUERY(PoliticalData!AS$3:AT$55,""select AS"&amp;" where AT = ""&amp;BB34&amp;"""",0), QUERY(PoliticalData!AS$3:AT$55,""select AS where AT = ""&amp;BA34&amp;"""",0))"),"kyle.goldenberg@tcstudents.org")</f>
        <v>kyle.goldenberg@tcstudents.org</v>
      </c>
      <c r="BD34" s="24">
        <f ca="1">IFERROR(__xludf.DUMMYFUNCTION("QUERY(PoliticalData!AV$3:AV$34,""select AV where AV &gt; ""&amp;AV34&amp;"" order by AV limit 1"",0)"),1.26)</f>
        <v>1.26</v>
      </c>
      <c r="BE34" s="24">
        <f ca="1">IFERROR(__xludf.DUMMYFUNCTION("QUERY(PoliticalData!AV$3:AV$50,""select AV where AV &lt; ""&amp;AV34&amp;"" order by AV desc limit 1"",0)"),0.21)</f>
        <v>0.21</v>
      </c>
      <c r="BF34" s="26" t="str">
        <f ca="1">IFERROR(__xludf.DUMMYFUNCTION("IF((ABS(AV34-QUERY(PoliticalData!AV$3:AV$55,""select AV where AV &gt; ""&amp;AV34&amp;"" order by AV limit 1"",0))) &gt; ABS(AV34-QUERY(PoliticalData!AV$3:AV$55,""select AV where AV &lt; ""&amp;AV34&amp;"" order by AV desc limit 1"",0)), QUERY(PoliticalData!AU$3:AV$55,""select AU"&amp;" where AV = ""&amp;BE34&amp;"""",0), QUERY(PoliticalData!AU$3:AV$55,""select AU where AV = ""&amp;BD34&amp;"""",0))"),"kyle.goldenberg@tcstudents.org")</f>
        <v>kyle.goldenberg@tcstudents.org</v>
      </c>
      <c r="BG34" s="47"/>
      <c r="BH34" s="24" t="e">
        <f t="shared" ca="1" si="14"/>
        <v>#NAME?</v>
      </c>
      <c r="BI34" s="19" t="str">
        <f t="shared" si="15"/>
        <v>No</v>
      </c>
      <c r="BJ34" s="19" t="str">
        <f t="shared" si="16"/>
        <v>No</v>
      </c>
      <c r="BK34" s="19" t="str">
        <f t="shared" si="17"/>
        <v>No</v>
      </c>
      <c r="BL34" s="19" t="str">
        <f t="shared" si="18"/>
        <v>No</v>
      </c>
      <c r="BM34" s="28"/>
    </row>
    <row r="35" spans="1:65" ht="14.5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48"/>
      <c r="AR35" s="31"/>
      <c r="AS35" s="49"/>
      <c r="AT35" s="31"/>
      <c r="AU35" s="49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28"/>
      <c r="BI35" s="31"/>
      <c r="BJ35" s="31"/>
      <c r="BK35" s="31"/>
      <c r="BL35" s="31"/>
      <c r="BM35" s="31"/>
    </row>
    <row r="36" spans="1:65" ht="14.5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48"/>
      <c r="AR36" s="31"/>
      <c r="AS36" s="49"/>
      <c r="AT36" s="31"/>
      <c r="AU36" s="49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28"/>
      <c r="BI36" s="31"/>
      <c r="BJ36" s="31"/>
      <c r="BK36" s="31"/>
      <c r="BL36" s="31"/>
      <c r="BM36" s="31"/>
    </row>
    <row r="37" spans="1:65" ht="14.5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48"/>
      <c r="AR37" s="31"/>
      <c r="AS37" s="49"/>
      <c r="AT37" s="31"/>
      <c r="AU37" s="49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28"/>
      <c r="BI37" s="31"/>
      <c r="BJ37" s="31"/>
      <c r="BK37" s="31"/>
      <c r="BL37" s="31"/>
      <c r="BM37" s="31"/>
    </row>
    <row r="38" spans="1:65" ht="14.5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48"/>
      <c r="AR38" s="31"/>
      <c r="AS38" s="49"/>
      <c r="AT38" s="31"/>
      <c r="AU38" s="49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28"/>
      <c r="BI38" s="31"/>
      <c r="BJ38" s="31"/>
      <c r="BK38" s="31"/>
      <c r="BL38" s="31"/>
      <c r="BM38" s="31"/>
    </row>
    <row r="39" spans="1:65" ht="14.5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48"/>
      <c r="AR39" s="31"/>
      <c r="AS39" s="49"/>
      <c r="AT39" s="31"/>
      <c r="AU39" s="49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28"/>
      <c r="BI39" s="31"/>
      <c r="BJ39" s="31"/>
      <c r="BK39" s="31"/>
      <c r="BL39" s="31"/>
      <c r="BM39" s="31"/>
    </row>
    <row r="40" spans="1:65" ht="14.5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48"/>
      <c r="AR40" s="31"/>
      <c r="AS40" s="49"/>
      <c r="AT40" s="31"/>
      <c r="AU40" s="49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28"/>
      <c r="BI40" s="31"/>
      <c r="BJ40" s="31"/>
      <c r="BK40" s="31"/>
      <c r="BL40" s="31"/>
      <c r="BM40" s="31"/>
    </row>
    <row r="41" spans="1:65" ht="14.5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49"/>
      <c r="AT41" s="31"/>
      <c r="AU41" s="49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28"/>
      <c r="BI41" s="31"/>
      <c r="BJ41" s="31"/>
      <c r="BK41" s="31"/>
      <c r="BL41" s="31"/>
      <c r="BM41" s="31"/>
    </row>
    <row r="42" spans="1:65" ht="14.5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49"/>
      <c r="AT42" s="31"/>
      <c r="AU42" s="49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28"/>
      <c r="BI42" s="31"/>
      <c r="BJ42" s="31"/>
      <c r="BK42" s="31"/>
      <c r="BL42" s="31"/>
      <c r="BM42" s="31"/>
    </row>
    <row r="43" spans="1:65" ht="13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49"/>
      <c r="AT43" s="31"/>
      <c r="AU43" s="49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</row>
    <row r="44" spans="1:65" ht="13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49"/>
      <c r="AT44" s="31"/>
      <c r="AU44" s="49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</row>
    <row r="45" spans="1:65" ht="13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49"/>
      <c r="AT45" s="31"/>
      <c r="AU45" s="49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</row>
    <row r="46" spans="1:65" ht="13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49"/>
      <c r="AT46" s="31"/>
      <c r="AU46" s="49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ht="13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49"/>
      <c r="AT47" s="31"/>
      <c r="AU47" s="49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ht="13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49"/>
      <c r="AT48" s="31"/>
      <c r="AU48" s="49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ht="13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49"/>
      <c r="AT49" s="31"/>
      <c r="AU49" s="49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ht="13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49"/>
      <c r="AT50" s="31"/>
      <c r="AU50" s="49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</row>
    <row r="51" spans="1:65" ht="13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49"/>
      <c r="AT51" s="31"/>
      <c r="AU51" s="49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</row>
    <row r="52" spans="1:65" ht="13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49"/>
      <c r="AT52" s="31"/>
      <c r="AU52" s="49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</row>
    <row r="53" spans="1:65" ht="13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49"/>
      <c r="AT53" s="31"/>
      <c r="AU53" s="49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</row>
    <row r="54" spans="1:65" ht="13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49"/>
      <c r="AT54" s="31"/>
      <c r="AU54" s="49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</row>
    <row r="55" spans="1:65" ht="13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49"/>
      <c r="AT55" s="31"/>
      <c r="AU55" s="49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</row>
    <row r="56" spans="1:65" ht="13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49"/>
      <c r="AT56" s="31"/>
      <c r="AU56" s="49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</row>
    <row r="57" spans="1:65" ht="13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49"/>
      <c r="AT57" s="31"/>
      <c r="AU57" s="49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</row>
    <row r="58" spans="1:65" ht="13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31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31"/>
      <c r="AR58" s="50"/>
      <c r="AS58" s="49"/>
      <c r="AT58" s="50"/>
      <c r="AU58" s="49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</row>
    <row r="59" spans="1:65" ht="13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31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31"/>
      <c r="AR59" s="50"/>
      <c r="AS59" s="49"/>
      <c r="AT59" s="50"/>
      <c r="AU59" s="49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</row>
    <row r="60" spans="1:65" ht="13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31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31"/>
      <c r="AR60" s="50"/>
      <c r="AS60" s="49"/>
      <c r="AT60" s="50"/>
      <c r="AU60" s="49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</row>
    <row r="61" spans="1:65" ht="13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31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31"/>
      <c r="AR61" s="50"/>
      <c r="AS61" s="49"/>
      <c r="AT61" s="50"/>
      <c r="AU61" s="49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</row>
    <row r="62" spans="1:65" ht="13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31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31"/>
      <c r="AR62" s="50"/>
      <c r="AS62" s="49"/>
      <c r="AT62" s="50"/>
      <c r="AU62" s="49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</row>
    <row r="63" spans="1:65" ht="12.5" x14ac:dyDescent="0.25">
      <c r="AD63" s="49"/>
      <c r="AQ63" s="49"/>
      <c r="AS63" s="51"/>
      <c r="AU63" s="51"/>
    </row>
    <row r="64" spans="1:65" ht="12.5" x14ac:dyDescent="0.25">
      <c r="AD64" s="49"/>
      <c r="AQ64" s="49"/>
      <c r="AS64" s="51"/>
      <c r="AU64" s="51"/>
    </row>
    <row r="65" spans="30:47" ht="12.5" x14ac:dyDescent="0.25">
      <c r="AD65" s="49"/>
      <c r="AQ65" s="49"/>
      <c r="AS65" s="51"/>
      <c r="AU65" s="51"/>
    </row>
    <row r="66" spans="30:47" ht="12.5" x14ac:dyDescent="0.25">
      <c r="AD66" s="49"/>
      <c r="AQ66" s="49"/>
      <c r="AS66" s="51"/>
      <c r="AU66" s="51"/>
    </row>
    <row r="67" spans="30:47" ht="12.5" x14ac:dyDescent="0.25">
      <c r="AS67" s="52"/>
      <c r="AU67" s="52"/>
    </row>
    <row r="68" spans="30:47" ht="12.5" x14ac:dyDescent="0.25">
      <c r="AS68" s="52"/>
      <c r="AU68" s="52"/>
    </row>
    <row r="69" spans="30:47" ht="12.5" x14ac:dyDescent="0.25">
      <c r="AS69" s="52"/>
      <c r="AU69" s="52"/>
    </row>
    <row r="70" spans="30:47" ht="12.5" x14ac:dyDescent="0.25">
      <c r="AS70" s="52"/>
      <c r="AU70" s="52"/>
    </row>
    <row r="71" spans="30:47" ht="12.5" x14ac:dyDescent="0.25">
      <c r="AS71" s="52"/>
      <c r="AU71" s="52"/>
    </row>
    <row r="72" spans="30:47" ht="12.5" x14ac:dyDescent="0.25">
      <c r="AS72" s="52"/>
      <c r="AU72" s="52"/>
    </row>
    <row r="73" spans="30:47" ht="12.5" x14ac:dyDescent="0.25">
      <c r="AS73" s="52"/>
      <c r="AU73" s="52"/>
    </row>
    <row r="74" spans="30:47" ht="12.5" x14ac:dyDescent="0.25">
      <c r="AS74" s="52"/>
      <c r="AU74" s="52"/>
    </row>
    <row r="75" spans="30:47" ht="12.5" x14ac:dyDescent="0.25">
      <c r="AS75" s="52"/>
      <c r="AU75" s="52"/>
    </row>
    <row r="76" spans="30:47" ht="12.5" x14ac:dyDescent="0.25">
      <c r="AS76" s="52"/>
      <c r="AU76" s="52"/>
    </row>
    <row r="77" spans="30:47" ht="12.5" x14ac:dyDescent="0.25">
      <c r="AS77" s="52"/>
      <c r="AU77" s="52"/>
    </row>
    <row r="78" spans="30:47" ht="12.5" x14ac:dyDescent="0.25">
      <c r="AS78" s="52"/>
      <c r="AU78" s="52"/>
    </row>
    <row r="79" spans="30:47" ht="12.5" x14ac:dyDescent="0.25">
      <c r="AS79" s="52"/>
      <c r="AU79" s="52"/>
    </row>
    <row r="80" spans="30:47" ht="12.5" x14ac:dyDescent="0.25">
      <c r="AS80" s="52"/>
      <c r="AU80" s="52"/>
    </row>
    <row r="81" spans="45:47" ht="12.5" x14ac:dyDescent="0.25">
      <c r="AS81" s="52"/>
      <c r="AU81" s="52"/>
    </row>
    <row r="82" spans="45:47" ht="12.5" x14ac:dyDescent="0.25">
      <c r="AS82" s="52"/>
      <c r="AU82" s="52"/>
    </row>
    <row r="83" spans="45:47" ht="12.5" x14ac:dyDescent="0.25">
      <c r="AS83" s="52"/>
      <c r="AU83" s="52"/>
    </row>
    <row r="84" spans="45:47" ht="12.5" x14ac:dyDescent="0.25">
      <c r="AS84" s="52"/>
      <c r="AU84" s="52"/>
    </row>
    <row r="85" spans="45:47" ht="12.5" x14ac:dyDescent="0.25">
      <c r="AS85" s="52"/>
      <c r="AU85" s="52"/>
    </row>
    <row r="86" spans="45:47" ht="12.5" x14ac:dyDescent="0.25">
      <c r="AS86" s="52"/>
      <c r="AU86" s="52"/>
    </row>
    <row r="87" spans="45:47" ht="12.5" x14ac:dyDescent="0.25">
      <c r="AS87" s="52"/>
      <c r="AU87" s="52"/>
    </row>
    <row r="88" spans="45:47" ht="12.5" x14ac:dyDescent="0.25">
      <c r="AS88" s="52"/>
      <c r="AU88" s="52"/>
    </row>
    <row r="89" spans="45:47" ht="12.5" x14ac:dyDescent="0.25">
      <c r="AS89" s="52"/>
      <c r="AU89" s="52"/>
    </row>
    <row r="90" spans="45:47" ht="12.5" x14ac:dyDescent="0.25">
      <c r="AS90" s="52"/>
      <c r="AU90" s="52"/>
    </row>
    <row r="91" spans="45:47" ht="12.5" x14ac:dyDescent="0.25">
      <c r="AS91" s="52"/>
      <c r="AU91" s="52"/>
    </row>
    <row r="92" spans="45:47" ht="12.5" x14ac:dyDescent="0.25">
      <c r="AS92" s="52"/>
      <c r="AU92" s="52"/>
    </row>
    <row r="93" spans="45:47" ht="12.5" x14ac:dyDescent="0.25">
      <c r="AS93" s="52"/>
      <c r="AU93" s="52"/>
    </row>
    <row r="94" spans="45:47" ht="12.5" x14ac:dyDescent="0.25">
      <c r="AS94" s="52"/>
      <c r="AU94" s="52"/>
    </row>
    <row r="95" spans="45:47" ht="12.5" x14ac:dyDescent="0.25">
      <c r="AS95" s="52"/>
      <c r="AU95" s="52"/>
    </row>
    <row r="96" spans="45:47" ht="12.5" x14ac:dyDescent="0.25">
      <c r="AS96" s="52"/>
      <c r="AU96" s="52"/>
    </row>
    <row r="97" spans="45:47" ht="12.5" x14ac:dyDescent="0.25">
      <c r="AS97" s="52"/>
      <c r="AU97" s="52"/>
    </row>
    <row r="98" spans="45:47" ht="12.5" x14ac:dyDescent="0.25">
      <c r="AS98" s="52"/>
      <c r="AU98" s="52"/>
    </row>
    <row r="99" spans="45:47" ht="12.5" x14ac:dyDescent="0.25">
      <c r="AS99" s="52"/>
      <c r="AU99" s="52"/>
    </row>
    <row r="100" spans="45:47" ht="12.5" x14ac:dyDescent="0.25">
      <c r="AS100" s="52"/>
      <c r="AU100" s="52"/>
    </row>
    <row r="101" spans="45:47" ht="12.5" x14ac:dyDescent="0.25">
      <c r="AS101" s="52"/>
      <c r="AU101" s="52"/>
    </row>
    <row r="102" spans="45:47" ht="12.5" x14ac:dyDescent="0.25">
      <c r="AS102" s="52"/>
      <c r="AU102" s="52"/>
    </row>
    <row r="103" spans="45:47" ht="12.5" x14ac:dyDescent="0.25">
      <c r="AS103" s="52"/>
      <c r="AU103" s="52"/>
    </row>
    <row r="104" spans="45:47" ht="12.5" x14ac:dyDescent="0.25">
      <c r="AS104" s="52"/>
      <c r="AU104" s="52"/>
    </row>
    <row r="105" spans="45:47" ht="12.5" x14ac:dyDescent="0.25">
      <c r="AS105" s="52"/>
      <c r="AU105" s="52"/>
    </row>
    <row r="106" spans="45:47" ht="12.5" x14ac:dyDescent="0.25">
      <c r="AS106" s="52"/>
      <c r="AU106" s="52"/>
    </row>
    <row r="107" spans="45:47" ht="12.5" x14ac:dyDescent="0.25">
      <c r="AS107" s="52"/>
      <c r="AU107" s="52"/>
    </row>
    <row r="108" spans="45:47" ht="12.5" x14ac:dyDescent="0.25">
      <c r="AS108" s="52"/>
      <c r="AU108" s="52"/>
    </row>
    <row r="109" spans="45:47" ht="12.5" x14ac:dyDescent="0.25">
      <c r="AS109" s="52"/>
      <c r="AU109" s="52"/>
    </row>
    <row r="110" spans="45:47" ht="12.5" x14ac:dyDescent="0.25">
      <c r="AS110" s="52"/>
      <c r="AU110" s="52"/>
    </row>
    <row r="111" spans="45:47" ht="12.5" x14ac:dyDescent="0.25">
      <c r="AS111" s="52"/>
      <c r="AU111" s="52"/>
    </row>
    <row r="112" spans="45:47" ht="12.5" x14ac:dyDescent="0.25">
      <c r="AS112" s="52"/>
      <c r="AU112" s="52"/>
    </row>
    <row r="113" spans="45:47" ht="12.5" x14ac:dyDescent="0.25">
      <c r="AS113" s="52"/>
      <c r="AU113" s="52"/>
    </row>
    <row r="114" spans="45:47" ht="12.5" x14ac:dyDescent="0.25">
      <c r="AS114" s="52"/>
      <c r="AU114" s="52"/>
    </row>
    <row r="115" spans="45:47" ht="12.5" x14ac:dyDescent="0.25">
      <c r="AS115" s="52"/>
      <c r="AU115" s="52"/>
    </row>
    <row r="116" spans="45:47" ht="12.5" x14ac:dyDescent="0.25">
      <c r="AS116" s="52"/>
      <c r="AU116" s="52"/>
    </row>
    <row r="117" spans="45:47" ht="12.5" x14ac:dyDescent="0.25">
      <c r="AS117" s="52"/>
      <c r="AU117" s="52"/>
    </row>
    <row r="118" spans="45:47" ht="12.5" x14ac:dyDescent="0.25">
      <c r="AS118" s="52"/>
      <c r="AU118" s="52"/>
    </row>
    <row r="119" spans="45:47" ht="12.5" x14ac:dyDescent="0.25">
      <c r="AS119" s="52"/>
      <c r="AU119" s="52"/>
    </row>
    <row r="120" spans="45:47" ht="12.5" x14ac:dyDescent="0.25">
      <c r="AS120" s="52"/>
      <c r="AU120" s="52"/>
    </row>
    <row r="121" spans="45:47" ht="12.5" x14ac:dyDescent="0.25">
      <c r="AS121" s="52"/>
      <c r="AU121" s="52"/>
    </row>
    <row r="122" spans="45:47" ht="12.5" x14ac:dyDescent="0.25">
      <c r="AS122" s="52"/>
      <c r="AU122" s="52"/>
    </row>
    <row r="123" spans="45:47" ht="12.5" x14ac:dyDescent="0.25">
      <c r="AS123" s="52"/>
      <c r="AU123" s="52"/>
    </row>
    <row r="124" spans="45:47" ht="12.5" x14ac:dyDescent="0.25">
      <c r="AS124" s="52"/>
      <c r="AU124" s="52"/>
    </row>
    <row r="125" spans="45:47" ht="12.5" x14ac:dyDescent="0.25">
      <c r="AS125" s="52"/>
      <c r="AU125" s="52"/>
    </row>
    <row r="126" spans="45:47" ht="12.5" x14ac:dyDescent="0.25">
      <c r="AS126" s="52"/>
      <c r="AU126" s="52"/>
    </row>
    <row r="127" spans="45:47" ht="12.5" x14ac:dyDescent="0.25">
      <c r="AS127" s="52"/>
      <c r="AU127" s="52"/>
    </row>
    <row r="128" spans="45:47" ht="12.5" x14ac:dyDescent="0.25">
      <c r="AS128" s="52"/>
      <c r="AU128" s="52"/>
    </row>
    <row r="129" spans="45:47" ht="12.5" x14ac:dyDescent="0.25">
      <c r="AS129" s="52"/>
      <c r="AU129" s="52"/>
    </row>
    <row r="130" spans="45:47" ht="12.5" x14ac:dyDescent="0.25">
      <c r="AS130" s="52"/>
      <c r="AU130" s="52"/>
    </row>
    <row r="131" spans="45:47" ht="12.5" x14ac:dyDescent="0.25">
      <c r="AS131" s="52"/>
      <c r="AU131" s="52"/>
    </row>
    <row r="132" spans="45:47" ht="12.5" x14ac:dyDescent="0.25">
      <c r="AS132" s="52"/>
      <c r="AU132" s="52"/>
    </row>
    <row r="133" spans="45:47" ht="12.5" x14ac:dyDescent="0.25">
      <c r="AS133" s="52"/>
      <c r="AU133" s="52"/>
    </row>
    <row r="134" spans="45:47" ht="12.5" x14ac:dyDescent="0.25">
      <c r="AS134" s="52"/>
      <c r="AU134" s="52"/>
    </row>
  </sheetData>
  <mergeCells count="3">
    <mergeCell ref="AK2:AL2"/>
    <mergeCell ref="AM2:AN2"/>
    <mergeCell ref="AO2:AP2"/>
  </mergeCells>
  <conditionalFormatting sqref="AE3:AE60">
    <cfRule type="colorScale" priority="1">
      <colorScale>
        <cfvo type="min"/>
        <cfvo type="max"/>
        <color rgb="FFFFFFFF"/>
        <color rgb="FF674EA7"/>
      </colorScale>
    </cfRule>
  </conditionalFormatting>
  <conditionalFormatting sqref="AF3:AF60">
    <cfRule type="colorScale" priority="2">
      <colorScale>
        <cfvo type="min"/>
        <cfvo type="max"/>
        <color rgb="FFFFFFFF"/>
        <color rgb="FFFF6D01"/>
      </colorScale>
    </cfRule>
  </conditionalFormatting>
  <conditionalFormatting sqref="AG3:AG60">
    <cfRule type="colorScale" priority="3">
      <colorScale>
        <cfvo type="min"/>
        <cfvo type="max"/>
        <color rgb="FFFFFFFF"/>
        <color rgb="FF674EA7"/>
      </colorScale>
    </cfRule>
  </conditionalFormatting>
  <conditionalFormatting sqref="AH3:AH60">
    <cfRule type="colorScale" priority="4">
      <colorScale>
        <cfvo type="min"/>
        <cfvo type="max"/>
        <color rgb="FFFFFFFF"/>
        <color rgb="FFFF6D01"/>
      </colorScale>
    </cfRule>
  </conditionalFormatting>
  <conditionalFormatting sqref="AI3:AI60 AJ15">
    <cfRule type="colorScale" priority="5">
      <colorScale>
        <cfvo type="min"/>
        <cfvo type="max"/>
        <color rgb="FFFFFFFF"/>
        <color rgb="FF674EA7"/>
      </colorScale>
    </cfRule>
  </conditionalFormatting>
  <conditionalFormatting sqref="AJ3:AJ60">
    <cfRule type="colorScale" priority="6">
      <colorScale>
        <cfvo type="min"/>
        <cfvo type="max"/>
        <color rgb="FFFFFFFF"/>
        <color rgb="FFFF6D01"/>
      </colorScale>
    </cfRule>
  </conditionalFormatting>
  <conditionalFormatting sqref="AK3:AP60">
    <cfRule type="containsText" dxfId="97" priority="7" operator="containsText" text="conservative">
      <formula>NOT(ISERROR(SEARCH(("conservative"),(AK3))))</formula>
    </cfRule>
  </conditionalFormatting>
  <conditionalFormatting sqref="AK3:AP60">
    <cfRule type="containsText" dxfId="96" priority="8" operator="containsText" text="liberal">
      <formula>NOT(ISERROR(SEARCH(("liberal"),(AK3))))</formula>
    </cfRule>
  </conditionalFormatting>
  <conditionalFormatting sqref="AO3:AP60">
    <cfRule type="containsText" dxfId="95" priority="9" operator="containsText" text="libertarian">
      <formula>NOT(ISERROR(SEARCH(("libertarian"),(AO3))))</formula>
    </cfRule>
  </conditionalFormatting>
  <conditionalFormatting sqref="AO3:AP60">
    <cfRule type="containsText" dxfId="94" priority="10" operator="containsText" text="authoritarian">
      <formula>NOT(ISERROR(SEARCH(("authoritarian"),(AO3))))</formula>
    </cfRule>
  </conditionalFormatting>
  <conditionalFormatting sqref="A3:A60">
    <cfRule type="notContainsBlanks" dxfId="93" priority="11">
      <formula>LEN(TRIM(A3))&gt;0</formula>
    </cfRule>
  </conditionalFormatting>
  <conditionalFormatting sqref="B3:B60">
    <cfRule type="notContainsBlanks" dxfId="92" priority="12">
      <formula>LEN(TRIM(B3))&gt;0</formula>
    </cfRule>
  </conditionalFormatting>
  <conditionalFormatting sqref="C3:C60">
    <cfRule type="notContainsBlanks" dxfId="91" priority="13">
      <formula>LEN(TRIM(C3))&gt;0</formula>
    </cfRule>
  </conditionalFormatting>
  <conditionalFormatting sqref="D3:D60">
    <cfRule type="notContainsBlanks" dxfId="90" priority="14">
      <formula>LEN(TRIM(D3))&gt;0</formula>
    </cfRule>
  </conditionalFormatting>
  <conditionalFormatting sqref="E3:E56">
    <cfRule type="notContainsBlanks" dxfId="89" priority="15">
      <formula>LEN(TRIM(E3))&gt;0</formula>
    </cfRule>
  </conditionalFormatting>
  <conditionalFormatting sqref="F3:F60">
    <cfRule type="notContainsBlanks" dxfId="88" priority="16">
      <formula>LEN(TRIM(F3))&gt;0</formula>
    </cfRule>
  </conditionalFormatting>
  <conditionalFormatting sqref="G3:G69">
    <cfRule type="notContainsBlanks" dxfId="87" priority="17">
      <formula>LEN(TRIM(G3))&gt;0</formula>
    </cfRule>
  </conditionalFormatting>
  <conditionalFormatting sqref="H3:H61">
    <cfRule type="notContainsBlanks" dxfId="86" priority="18">
      <formula>LEN(TRIM(H3))&gt;0</formula>
    </cfRule>
  </conditionalFormatting>
  <conditionalFormatting sqref="I3:I81">
    <cfRule type="notContainsBlanks" dxfId="85" priority="19">
      <formula>LEN(TRIM(I3))&gt;0</formula>
    </cfRule>
  </conditionalFormatting>
  <conditionalFormatting sqref="J3:J58">
    <cfRule type="notContainsBlanks" dxfId="84" priority="20">
      <formula>LEN(TRIM(J3))&gt;0</formula>
    </cfRule>
  </conditionalFormatting>
  <conditionalFormatting sqref="K3:K58">
    <cfRule type="notContainsBlanks" dxfId="83" priority="21">
      <formula>LEN(TRIM(K3))&gt;0</formula>
    </cfRule>
  </conditionalFormatting>
  <conditionalFormatting sqref="M3:M63">
    <cfRule type="notContainsBlanks" dxfId="82" priority="22">
      <formula>LEN(TRIM(M3))&gt;0</formula>
    </cfRule>
  </conditionalFormatting>
  <conditionalFormatting sqref="N3:N54">
    <cfRule type="notContainsBlanks" dxfId="81" priority="23">
      <formula>LEN(TRIM(N3))&gt;0</formula>
    </cfRule>
  </conditionalFormatting>
  <conditionalFormatting sqref="L3:L63">
    <cfRule type="notContainsBlanks" dxfId="80" priority="24">
      <formula>LEN(TRIM(L3))&gt;0</formula>
    </cfRule>
  </conditionalFormatting>
  <conditionalFormatting sqref="O3:O60">
    <cfRule type="notContainsBlanks" dxfId="79" priority="25">
      <formula>LEN(TRIM(O3))&gt;0</formula>
    </cfRule>
  </conditionalFormatting>
  <conditionalFormatting sqref="P3:P62">
    <cfRule type="notContainsBlanks" dxfId="78" priority="26">
      <formula>LEN(TRIM(P3))&gt;0</formula>
    </cfRule>
  </conditionalFormatting>
  <conditionalFormatting sqref="Q3:Q63">
    <cfRule type="notContainsBlanks" dxfId="77" priority="27">
      <formula>LEN(TRIM(Q3))&gt;0</formula>
    </cfRule>
  </conditionalFormatting>
  <conditionalFormatting sqref="R3:R60">
    <cfRule type="notContainsBlanks" dxfId="76" priority="28">
      <formula>LEN(TRIM(R3))&gt;0</formula>
    </cfRule>
  </conditionalFormatting>
  <conditionalFormatting sqref="S3:S63">
    <cfRule type="notContainsBlanks" dxfId="75" priority="29">
      <formula>LEN(TRIM(S3))&gt;0</formula>
    </cfRule>
  </conditionalFormatting>
  <conditionalFormatting sqref="T3:T73">
    <cfRule type="notContainsBlanks" dxfId="74" priority="30">
      <formula>LEN(TRIM(T3))&gt;0</formula>
    </cfRule>
  </conditionalFormatting>
  <conditionalFormatting sqref="U3:U68">
    <cfRule type="notContainsBlanks" dxfId="73" priority="31">
      <formula>LEN(TRIM(U3))&gt;0</formula>
    </cfRule>
  </conditionalFormatting>
  <conditionalFormatting sqref="V3:V60">
    <cfRule type="notContainsBlanks" dxfId="72" priority="32">
      <formula>LEN(TRIM(V3))&gt;0</formula>
    </cfRule>
  </conditionalFormatting>
  <conditionalFormatting sqref="W3:W62">
    <cfRule type="notContainsBlanks" dxfId="71" priority="33">
      <formula>LEN(TRIM(W3))&gt;0</formula>
    </cfRule>
  </conditionalFormatting>
  <conditionalFormatting sqref="X3:X68">
    <cfRule type="notContainsBlanks" dxfId="70" priority="34">
      <formula>LEN(TRIM(X3))&gt;0</formula>
    </cfRule>
  </conditionalFormatting>
  <conditionalFormatting sqref="Y3:Y74">
    <cfRule type="notContainsBlanks" dxfId="69" priority="35">
      <formula>LEN(TRIM(Y3))&gt;0</formula>
    </cfRule>
  </conditionalFormatting>
  <conditionalFormatting sqref="Z3:Z65">
    <cfRule type="notContainsBlanks" dxfId="68" priority="36">
      <formula>LEN(TRIM(Z3))&gt;0</formula>
    </cfRule>
  </conditionalFormatting>
  <conditionalFormatting sqref="AA3:AA64">
    <cfRule type="notContainsBlanks" dxfId="67" priority="37">
      <formula>LEN(TRIM(AA3))&gt;0</formula>
    </cfRule>
  </conditionalFormatting>
  <conditionalFormatting sqref="AB3:AB65">
    <cfRule type="notContainsBlanks" dxfId="66" priority="38">
      <formula>LEN(TRIM(AB3))&gt;0</formula>
    </cfRule>
  </conditionalFormatting>
  <conditionalFormatting sqref="AC3:AC64">
    <cfRule type="notContainsBlanks" dxfId="65" priority="39">
      <formula>LEN(TRIM(AC3))&gt;0</formula>
    </cfRule>
  </conditionalFormatting>
  <conditionalFormatting sqref="AQ3:AQ62 AS3:AS62 AU3:AU62">
    <cfRule type="notContainsBlanks" dxfId="64" priority="40">
      <formula>LEN(TRIM(AQ3))&gt;0</formula>
    </cfRule>
  </conditionalFormatting>
  <conditionalFormatting sqref="AD3:AD63">
    <cfRule type="notContainsBlanks" dxfId="63" priority="41">
      <formula>LEN(TRIM(AD3))&gt;0</formula>
    </cfRule>
  </conditionalFormatting>
  <conditionalFormatting sqref="AR3:AR78 AT3:AT78 AV3:AV78">
    <cfRule type="cellIs" dxfId="62" priority="42" operator="greaterThan">
      <formula>0</formula>
    </cfRule>
  </conditionalFormatting>
  <conditionalFormatting sqref="AR3:AR78 AT3:AT78 AV3:AV78">
    <cfRule type="cellIs" dxfId="61" priority="43" operator="lessThanOrEqual">
      <formula>0</formula>
    </cfRule>
  </conditionalFormatting>
  <conditionalFormatting sqref="BH3:BH57">
    <cfRule type="containsText" dxfId="60" priority="44" operator="containsText" text="Conservative">
      <formula>NOT(ISERROR(SEARCH(("Conservative"),(BH3))))</formula>
    </cfRule>
  </conditionalFormatting>
  <conditionalFormatting sqref="BH3:BH57">
    <cfRule type="containsText" dxfId="59" priority="45" operator="containsText" text="Liberal">
      <formula>NOT(ISERROR(SEARCH(("Liberal"),(BH3))))</formula>
    </cfRule>
  </conditionalFormatting>
  <conditionalFormatting sqref="BH3:BH57">
    <cfRule type="containsText" dxfId="58" priority="46" operator="containsText" text="NDP">
      <formula>NOT(ISERROR(SEARCH(("NDP"),(BH3))))</formula>
    </cfRule>
  </conditionalFormatting>
  <conditionalFormatting sqref="BI3:BI57">
    <cfRule type="containsText" dxfId="57" priority="47" operator="containsText" text="Yes">
      <formula>NOT(ISERROR(SEARCH(("Yes"),(BI3))))</formula>
    </cfRule>
  </conditionalFormatting>
  <conditionalFormatting sqref="BJ3:BJ52">
    <cfRule type="containsText" dxfId="56" priority="48" operator="containsText" text="Yes">
      <formula>NOT(ISERROR(SEARCH(("Yes"),(BJ3))))</formula>
    </cfRule>
  </conditionalFormatting>
  <conditionalFormatting sqref="BK3:BK50">
    <cfRule type="containsText" dxfId="55" priority="49" operator="containsText" text="Yes">
      <formula>NOT(ISERROR(SEARCH(("Yes"),(BK3))))</formula>
    </cfRule>
  </conditionalFormatting>
  <conditionalFormatting sqref="BL3:BM53">
    <cfRule type="containsText" dxfId="54" priority="50" operator="containsText" text="Yes">
      <formula>NOT(ISERROR(SEARCH(("Yes"),(BL3))))</formula>
    </cfRule>
  </conditionalFormatting>
  <conditionalFormatting sqref="BI3:BM56">
    <cfRule type="containsText" dxfId="53" priority="51" operator="containsText" text="No">
      <formula>NOT(ISERROR(SEARCH(("No"),(BI3))))</formula>
    </cfRule>
  </conditionalFormatting>
  <conditionalFormatting sqref="AW3:AW61">
    <cfRule type="notContainsBlanks" dxfId="52" priority="52">
      <formula>LEN(TRIM(AW3))&gt;0</formula>
    </cfRule>
  </conditionalFormatting>
  <conditionalFormatting sqref="AL3:AP64">
    <cfRule type="colorScale" priority="53">
      <colorScale>
        <cfvo type="formula" val="5"/>
        <cfvo type="formula" val="10"/>
        <color rgb="FFFFFFFF"/>
        <color rgb="FF57BB8A"/>
      </colorScale>
    </cfRule>
  </conditionalFormatting>
  <conditionalFormatting sqref="AW3:BF73">
    <cfRule type="notContainsBlanks" dxfId="51" priority="54">
      <formula>LEN(TRIM(AW3))&gt;0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negative="1" displayXAxis="1" xr2:uid="{00000000-0003-0000-0000-00003F000000}">
          <x14:colorSeries rgb="FF800080"/>
          <x14:colorNegative rgb="FFFFA500"/>
          <x14:colorHigh rgb="FFFF0000"/>
          <x14:colorLow rgb="FF0000FF"/>
          <x14:sparklines>
            <x14:sparkline>
              <xm:f>PoliticalData!AR34:AV34</xm:f>
              <xm:sqref>AW34</xm:sqref>
            </x14:sparkline>
          </x14:sparklines>
        </x14:sparklineGroup>
        <x14:sparklineGroup displayEmptyCellsAs="gap" xr2:uid="{00000000-0003-0000-0000-00003E000000}">
          <x14:colorSeries rgb="FF000000"/>
          <x14:sparklines>
            <x14:sparkline>
              <xm:f>PoliticalData!B34:AB34</xm:f>
              <xm:sqref>AD34</xm:sqref>
            </x14:sparkline>
          </x14:sparklines>
        </x14:sparklineGroup>
        <x14:sparklineGroup type="stacked" displayEmptyCellsAs="gap" high="1" low="1" negative="1" displayXAxis="1" xr2:uid="{00000000-0003-0000-0000-00003D000000}">
          <x14:colorSeries rgb="FF800080"/>
          <x14:colorNegative rgb="FFFFA500"/>
          <x14:colorHigh rgb="FFFF0000"/>
          <x14:colorLow rgb="FF0000FF"/>
          <x14:sparklines>
            <x14:sparkline>
              <xm:f>PoliticalData!AR33:AV33</xm:f>
              <xm:sqref>AW33</xm:sqref>
            </x14:sparkline>
          </x14:sparklines>
        </x14:sparklineGroup>
        <x14:sparklineGroup displayEmptyCellsAs="gap" xr2:uid="{00000000-0003-0000-0000-00003C000000}">
          <x14:colorSeries rgb="FF000000"/>
          <x14:sparklines>
            <x14:sparkline>
              <xm:f>PoliticalData!B33:AB33</xm:f>
              <xm:sqref>AD33</xm:sqref>
            </x14:sparkline>
          </x14:sparklines>
        </x14:sparklineGroup>
        <x14:sparklineGroup type="stacked" displayEmptyCellsAs="gap" high="1" low="1" negative="1" displayXAxis="1" xr2:uid="{00000000-0003-0000-0000-00003B000000}">
          <x14:colorSeries rgb="FF800080"/>
          <x14:colorNegative rgb="FFFFA500"/>
          <x14:colorHigh rgb="FFFF0000"/>
          <x14:colorLow rgb="FF0000FF"/>
          <x14:sparklines>
            <x14:sparkline>
              <xm:f>PoliticalData!AR32:AV32</xm:f>
              <xm:sqref>AW32</xm:sqref>
            </x14:sparkline>
          </x14:sparklines>
        </x14:sparklineGroup>
        <x14:sparklineGroup displayEmptyCellsAs="gap" xr2:uid="{00000000-0003-0000-0000-00003A000000}">
          <x14:colorSeries rgb="FF000000"/>
          <x14:sparklines>
            <x14:sparkline>
              <xm:f>PoliticalData!B32:AB32</xm:f>
              <xm:sqref>AD32</xm:sqref>
            </x14:sparkline>
          </x14:sparklines>
        </x14:sparklineGroup>
        <x14:sparklineGroup type="stacked" displayEmptyCellsAs="gap" high="1" low="1" negative="1" displayXAxis="1" xr2:uid="{00000000-0003-0000-0000-000039000000}">
          <x14:colorSeries rgb="FF800080"/>
          <x14:colorNegative rgb="FFFFA500"/>
          <x14:colorHigh rgb="FFFF0000"/>
          <x14:colorLow rgb="FF0000FF"/>
          <x14:sparklines>
            <x14:sparkline>
              <xm:f>PoliticalData!AR31:AV31</xm:f>
              <xm:sqref>AW31</xm:sqref>
            </x14:sparkline>
          </x14:sparklines>
        </x14:sparklineGroup>
        <x14:sparklineGroup displayEmptyCellsAs="gap" xr2:uid="{00000000-0003-0000-0000-000038000000}">
          <x14:colorSeries rgb="FF000000"/>
          <x14:sparklines>
            <x14:sparkline>
              <xm:f>PoliticalData!B31:AB31</xm:f>
              <xm:sqref>AD31</xm:sqref>
            </x14:sparkline>
          </x14:sparklines>
        </x14:sparklineGroup>
        <x14:sparklineGroup type="stacked" displayEmptyCellsAs="gap" high="1" low="1" negative="1" displayXAxis="1" xr2:uid="{00000000-0003-0000-0000-000037000000}">
          <x14:colorSeries rgb="FF800080"/>
          <x14:colorNegative rgb="FFFFA500"/>
          <x14:colorHigh rgb="FFFF0000"/>
          <x14:colorLow rgb="FF0000FF"/>
          <x14:sparklines>
            <x14:sparkline>
              <xm:f>PoliticalData!AR30:AV30</xm:f>
              <xm:sqref>AW30</xm:sqref>
            </x14:sparkline>
          </x14:sparklines>
        </x14:sparklineGroup>
        <x14:sparklineGroup displayEmptyCellsAs="gap" xr2:uid="{00000000-0003-0000-0000-000036000000}">
          <x14:colorSeries rgb="FF000000"/>
          <x14:sparklines>
            <x14:sparkline>
              <xm:f>PoliticalData!B30:AB30</xm:f>
              <xm:sqref>AD30</xm:sqref>
            </x14:sparkline>
          </x14:sparklines>
        </x14:sparklineGroup>
        <x14:sparklineGroup type="stacked" displayEmptyCellsAs="gap" high="1" low="1" negative="1" displayXAxis="1" xr2:uid="{00000000-0003-0000-0000-000035000000}">
          <x14:colorSeries rgb="FF800080"/>
          <x14:colorNegative rgb="FFFFA500"/>
          <x14:colorHigh rgb="FFFF0000"/>
          <x14:colorLow rgb="FF0000FF"/>
          <x14:sparklines>
            <x14:sparkline>
              <xm:f>PoliticalData!AR29:AV29</xm:f>
              <xm:sqref>AW29</xm:sqref>
            </x14:sparkline>
          </x14:sparklines>
        </x14:sparklineGroup>
        <x14:sparklineGroup displayEmptyCellsAs="gap" xr2:uid="{00000000-0003-0000-0000-000034000000}">
          <x14:colorSeries rgb="FF000000"/>
          <x14:sparklines>
            <x14:sparkline>
              <xm:f>PoliticalData!B29:AB29</xm:f>
              <xm:sqref>AD29</xm:sqref>
            </x14:sparkline>
          </x14:sparklines>
        </x14:sparklineGroup>
        <x14:sparklineGroup type="stacked" displayEmptyCellsAs="gap" high="1" low="1" negative="1" displayXAxis="1" xr2:uid="{00000000-0003-0000-0000-000033000000}">
          <x14:colorSeries rgb="FF800080"/>
          <x14:colorNegative rgb="FFFFA500"/>
          <x14:colorHigh rgb="FFFF0000"/>
          <x14:colorLow rgb="FF0000FF"/>
          <x14:sparklines>
            <x14:sparkline>
              <xm:f>PoliticalData!AR28:AV28</xm:f>
              <xm:sqref>AW28</xm:sqref>
            </x14:sparkline>
          </x14:sparklines>
        </x14:sparklineGroup>
        <x14:sparklineGroup displayEmptyCellsAs="gap" xr2:uid="{00000000-0003-0000-0000-000032000000}">
          <x14:colorSeries rgb="FF000000"/>
          <x14:sparklines>
            <x14:sparkline>
              <xm:f>PoliticalData!B28:AB28</xm:f>
              <xm:sqref>AD28</xm:sqref>
            </x14:sparkline>
          </x14:sparklines>
        </x14:sparklineGroup>
        <x14:sparklineGroup type="stacked" displayEmptyCellsAs="gap" high="1" low="1" negative="1" displayXAxis="1" xr2:uid="{00000000-0003-0000-0000-000031000000}">
          <x14:colorSeries rgb="FF800080"/>
          <x14:colorNegative rgb="FFFFA500"/>
          <x14:colorHigh rgb="FFFF0000"/>
          <x14:colorLow rgb="FF0000FF"/>
          <x14:sparklines>
            <x14:sparkline>
              <xm:f>PoliticalData!AR27:AV27</xm:f>
              <xm:sqref>AW27</xm:sqref>
            </x14:sparkline>
          </x14:sparklines>
        </x14:sparklineGroup>
        <x14:sparklineGroup displayEmptyCellsAs="gap" xr2:uid="{00000000-0003-0000-0000-000030000000}">
          <x14:colorSeries rgb="FF000000"/>
          <x14:sparklines>
            <x14:sparkline>
              <xm:f>PoliticalData!B27:AB27</xm:f>
              <xm:sqref>AD27</xm:sqref>
            </x14:sparkline>
          </x14:sparklines>
        </x14:sparklineGroup>
        <x14:sparklineGroup type="stacked" displayEmptyCellsAs="gap" high="1" low="1" negative="1" displayXAxis="1" xr2:uid="{00000000-0003-0000-0000-00002F000000}">
          <x14:colorSeries rgb="FF800080"/>
          <x14:colorNegative rgb="FFFFA500"/>
          <x14:colorHigh rgb="FFFF0000"/>
          <x14:colorLow rgb="FF0000FF"/>
          <x14:sparklines>
            <x14:sparkline>
              <xm:f>PoliticalData!AR26:AV26</xm:f>
              <xm:sqref>AW26</xm:sqref>
            </x14:sparkline>
          </x14:sparklines>
        </x14:sparklineGroup>
        <x14:sparklineGroup displayEmptyCellsAs="gap" xr2:uid="{00000000-0003-0000-0000-00002E000000}">
          <x14:colorSeries rgb="FF000000"/>
          <x14:sparklines>
            <x14:sparkline>
              <xm:f>PoliticalData!B26:AB26</xm:f>
              <xm:sqref>AD26</xm:sqref>
            </x14:sparkline>
          </x14:sparklines>
        </x14:sparklineGroup>
        <x14:sparklineGroup type="stacked" displayEmptyCellsAs="gap" high="1" low="1" negative="1" displayXAxis="1" xr2:uid="{00000000-0003-0000-0000-00002D000000}">
          <x14:colorSeries rgb="FF800080"/>
          <x14:colorNegative rgb="FFFFA500"/>
          <x14:colorHigh rgb="FFFF0000"/>
          <x14:colorLow rgb="FF0000FF"/>
          <x14:sparklines>
            <x14:sparkline>
              <xm:f>PoliticalData!AR25:AV25</xm:f>
              <xm:sqref>AW25</xm:sqref>
            </x14:sparkline>
          </x14:sparklines>
        </x14:sparklineGroup>
        <x14:sparklineGroup displayEmptyCellsAs="gap" xr2:uid="{00000000-0003-0000-0000-00002C000000}">
          <x14:colorSeries rgb="FF000000"/>
          <x14:sparklines>
            <x14:sparkline>
              <xm:f>PoliticalData!B25:AB25</xm:f>
              <xm:sqref>AD25</xm:sqref>
            </x14:sparkline>
          </x14:sparklines>
        </x14:sparklineGroup>
        <x14:sparklineGroup type="stacked" displayEmptyCellsAs="gap" high="1" low="1" negative="1" displayXAxis="1" xr2:uid="{00000000-0003-0000-0000-00002B000000}">
          <x14:colorSeries rgb="FF800080"/>
          <x14:colorNegative rgb="FFFFA500"/>
          <x14:colorHigh rgb="FFFF0000"/>
          <x14:colorLow rgb="FF0000FF"/>
          <x14:sparklines>
            <x14:sparkline>
              <xm:f>PoliticalData!AR24:AV24</xm:f>
              <xm:sqref>AW24</xm:sqref>
            </x14:sparkline>
          </x14:sparklines>
        </x14:sparklineGroup>
        <x14:sparklineGroup displayEmptyCellsAs="gap" xr2:uid="{00000000-0003-0000-0000-00002A000000}">
          <x14:colorSeries rgb="FF000000"/>
          <x14:sparklines>
            <x14:sparkline>
              <xm:f>PoliticalData!B24:AB24</xm:f>
              <xm:sqref>AD24</xm:sqref>
            </x14:sparkline>
          </x14:sparklines>
        </x14:sparklineGroup>
        <x14:sparklineGroup type="stacked" displayEmptyCellsAs="gap" high="1" low="1" negative="1" displayXAxis="1" xr2:uid="{00000000-0003-0000-0000-000029000000}">
          <x14:colorSeries rgb="FF800080"/>
          <x14:colorNegative rgb="FFFFA500"/>
          <x14:colorHigh rgb="FFFF0000"/>
          <x14:colorLow rgb="FF0000FF"/>
          <x14:sparklines>
            <x14:sparkline>
              <xm:f>PoliticalData!AR23:AV23</xm:f>
              <xm:sqref>AW23</xm:sqref>
            </x14:sparkline>
          </x14:sparklines>
        </x14:sparklineGroup>
        <x14:sparklineGroup displayEmptyCellsAs="gap" xr2:uid="{00000000-0003-0000-0000-000028000000}">
          <x14:colorSeries rgb="FF000000"/>
          <x14:sparklines>
            <x14:sparkline>
              <xm:f>PoliticalData!B23:AB23</xm:f>
              <xm:sqref>AD23</xm:sqref>
            </x14:sparkline>
          </x14:sparklines>
        </x14:sparklineGroup>
        <x14:sparklineGroup type="stacked" displayEmptyCellsAs="gap" high="1" low="1" negative="1" displayXAxis="1" xr2:uid="{00000000-0003-0000-0000-000027000000}">
          <x14:colorSeries rgb="FF800080"/>
          <x14:colorNegative rgb="FFFFA500"/>
          <x14:colorHigh rgb="FFFF0000"/>
          <x14:colorLow rgb="FF0000FF"/>
          <x14:sparklines>
            <x14:sparkline>
              <xm:f>PoliticalData!AR22:AV22</xm:f>
              <xm:sqref>AW22</xm:sqref>
            </x14:sparkline>
          </x14:sparklines>
        </x14:sparklineGroup>
        <x14:sparklineGroup displayEmptyCellsAs="gap" xr2:uid="{00000000-0003-0000-0000-000026000000}">
          <x14:colorSeries rgb="FF000000"/>
          <x14:sparklines>
            <x14:sparkline>
              <xm:f>PoliticalData!B22:AB22</xm:f>
              <xm:sqref>AD22</xm:sqref>
            </x14:sparkline>
          </x14:sparklines>
        </x14:sparklineGroup>
        <x14:sparklineGroup type="stacked" displayEmptyCellsAs="gap" high="1" low="1" negative="1" displayXAxis="1" xr2:uid="{00000000-0003-0000-0000-000025000000}">
          <x14:colorSeries rgb="FF800080"/>
          <x14:colorNegative rgb="FFFFA500"/>
          <x14:colorHigh rgb="FFFF0000"/>
          <x14:colorLow rgb="FF0000FF"/>
          <x14:sparklines>
            <x14:sparkline>
              <xm:f>PoliticalData!AR21:AV21</xm:f>
              <xm:sqref>AW21</xm:sqref>
            </x14:sparkline>
          </x14:sparklines>
        </x14:sparklineGroup>
        <x14:sparklineGroup displayEmptyCellsAs="gap" xr2:uid="{00000000-0003-0000-0000-000024000000}">
          <x14:colorSeries rgb="FF000000"/>
          <x14:sparklines>
            <x14:sparkline>
              <xm:f>PoliticalData!B21:AB21</xm:f>
              <xm:sqref>AD21</xm:sqref>
            </x14:sparkline>
          </x14:sparklines>
        </x14:sparklineGroup>
        <x14:sparklineGroup type="stacked" displayEmptyCellsAs="gap" high="1" low="1" negative="1" displayXAxis="1" xr2:uid="{00000000-0003-0000-0000-000023000000}">
          <x14:colorSeries rgb="FF800080"/>
          <x14:colorNegative rgb="FFFFA500"/>
          <x14:colorHigh rgb="FFFF0000"/>
          <x14:colorLow rgb="FF0000FF"/>
          <x14:sparklines>
            <x14:sparkline>
              <xm:f>PoliticalData!AR20:AV20</xm:f>
              <xm:sqref>AW20</xm:sqref>
            </x14:sparkline>
          </x14:sparklines>
        </x14:sparklineGroup>
        <x14:sparklineGroup displayEmptyCellsAs="gap" xr2:uid="{00000000-0003-0000-0000-000022000000}">
          <x14:colorSeries rgb="FF000000"/>
          <x14:sparklines>
            <x14:sparkline>
              <xm:f>PoliticalData!B20:AB20</xm:f>
              <xm:sqref>AD20</xm:sqref>
            </x14:sparkline>
          </x14:sparklines>
        </x14:sparklineGroup>
        <x14:sparklineGroup type="stacked" displayEmptyCellsAs="gap" high="1" low="1" negative="1" displayXAxis="1" xr2:uid="{00000000-0003-0000-0000-000021000000}">
          <x14:colorSeries rgb="FF800080"/>
          <x14:colorNegative rgb="FFFFA500"/>
          <x14:colorHigh rgb="FFFF0000"/>
          <x14:colorLow rgb="FF0000FF"/>
          <x14:sparklines>
            <x14:sparkline>
              <xm:f>PoliticalData!AR19:AV19</xm:f>
              <xm:sqref>AW19</xm:sqref>
            </x14:sparkline>
          </x14:sparklines>
        </x14:sparklineGroup>
        <x14:sparklineGroup displayEmptyCellsAs="gap" xr2:uid="{00000000-0003-0000-0000-000020000000}">
          <x14:colorSeries rgb="FF000000"/>
          <x14:sparklines>
            <x14:sparkline>
              <xm:f>PoliticalData!B19:AB19</xm:f>
              <xm:sqref>AD19</xm:sqref>
            </x14:sparkline>
          </x14:sparklines>
        </x14:sparklineGroup>
        <x14:sparklineGroup type="stacked" displayEmptyCellsAs="gap" high="1" low="1" negative="1" displayXAxis="1" xr2:uid="{00000000-0003-0000-0000-00001F000000}">
          <x14:colorSeries rgb="FF800080"/>
          <x14:colorNegative rgb="FFFFA500"/>
          <x14:colorHigh rgb="FFFF0000"/>
          <x14:colorLow rgb="FF0000FF"/>
          <x14:sparklines>
            <x14:sparkline>
              <xm:f>PoliticalData!AR18:AV18</xm:f>
              <xm:sqref>AW18</xm:sqref>
            </x14:sparkline>
          </x14:sparklines>
        </x14:sparklineGroup>
        <x14:sparklineGroup displayEmptyCellsAs="gap" xr2:uid="{00000000-0003-0000-0000-00001E000000}">
          <x14:colorSeries rgb="FF000000"/>
          <x14:sparklines>
            <x14:sparkline>
              <xm:f>PoliticalData!B18:AB18</xm:f>
              <xm:sqref>AD18</xm:sqref>
            </x14:sparkline>
          </x14:sparklines>
        </x14:sparklineGroup>
        <x14:sparklineGroup type="stacked" displayEmptyCellsAs="gap" high="1" low="1" negative="1" displayXAxis="1" xr2:uid="{00000000-0003-0000-0000-00001D000000}">
          <x14:colorSeries rgb="FF800080"/>
          <x14:colorNegative rgb="FFFFA500"/>
          <x14:colorHigh rgb="FFFF0000"/>
          <x14:colorLow rgb="FF0000FF"/>
          <x14:sparklines>
            <x14:sparkline>
              <xm:f>PoliticalData!AR17:AV17</xm:f>
              <xm:sqref>AW17</xm:sqref>
            </x14:sparkline>
          </x14:sparklines>
        </x14:sparklineGroup>
        <x14:sparklineGroup displayEmptyCellsAs="gap" xr2:uid="{00000000-0003-0000-0000-00001C000000}">
          <x14:colorSeries rgb="FF000000"/>
          <x14:sparklines>
            <x14:sparkline>
              <xm:f>PoliticalData!B17:AB17</xm:f>
              <xm:sqref>AD17</xm:sqref>
            </x14:sparkline>
          </x14:sparklines>
        </x14:sparklineGroup>
        <x14:sparklineGroup type="stacked" displayEmptyCellsAs="gap" high="1" low="1" negative="1" displayXAxis="1" xr2:uid="{00000000-0003-0000-0000-00001B000000}">
          <x14:colorSeries rgb="FF800080"/>
          <x14:colorNegative rgb="FFFFA500"/>
          <x14:colorHigh rgb="FFFF0000"/>
          <x14:colorLow rgb="FF0000FF"/>
          <x14:sparklines>
            <x14:sparkline>
              <xm:f>PoliticalData!AR16:AV16</xm:f>
              <xm:sqref>AW16</xm:sqref>
            </x14:sparkline>
          </x14:sparklines>
        </x14:sparklineGroup>
        <x14:sparklineGroup displayEmptyCellsAs="gap" xr2:uid="{00000000-0003-0000-0000-00001A000000}">
          <x14:colorSeries rgb="FF000000"/>
          <x14:sparklines>
            <x14:sparkline>
              <xm:f>PoliticalData!B16:AB16</xm:f>
              <xm:sqref>AD16</xm:sqref>
            </x14:sparkline>
          </x14:sparklines>
        </x14:sparklineGroup>
        <x14:sparklineGroup type="stacked" displayEmptyCellsAs="gap" high="1" low="1" negative="1" displayXAxis="1" xr2:uid="{00000000-0003-0000-0000-000019000000}">
          <x14:colorSeries rgb="FF800080"/>
          <x14:colorNegative rgb="FFFFA500"/>
          <x14:colorHigh rgb="FFFF0000"/>
          <x14:colorLow rgb="FF0000FF"/>
          <x14:sparklines>
            <x14:sparkline>
              <xm:f>PoliticalData!AR15:AV15</xm:f>
              <xm:sqref>AW15</xm:sqref>
            </x14:sparkline>
          </x14:sparklines>
        </x14:sparklineGroup>
        <x14:sparklineGroup displayEmptyCellsAs="gap" xr2:uid="{00000000-0003-0000-0000-000018000000}">
          <x14:colorSeries rgb="FF000000"/>
          <x14:sparklines>
            <x14:sparkline>
              <xm:f>PoliticalData!B15:AB15</xm:f>
              <xm:sqref>AD15</xm:sqref>
            </x14:sparkline>
          </x14:sparklines>
        </x14:sparklineGroup>
        <x14:sparklineGroup type="stacked" displayEmptyCellsAs="gap" high="1" low="1" negative="1" displayXAxis="1" xr2:uid="{00000000-0003-0000-0000-000017000000}">
          <x14:colorSeries rgb="FF800080"/>
          <x14:colorNegative rgb="FFFFA500"/>
          <x14:colorHigh rgb="FFFF0000"/>
          <x14:colorLow rgb="FF0000FF"/>
          <x14:sparklines>
            <x14:sparkline>
              <xm:f>PoliticalData!AR14:AV14</xm:f>
              <xm:sqref>AW14</xm:sqref>
            </x14:sparkline>
          </x14:sparklines>
        </x14:sparklineGroup>
        <x14:sparklineGroup displayEmptyCellsAs="gap" xr2:uid="{00000000-0003-0000-0000-000016000000}">
          <x14:colorSeries rgb="FF000000"/>
          <x14:sparklines>
            <x14:sparkline>
              <xm:f>PoliticalData!B14:AB14</xm:f>
              <xm:sqref>AD14</xm:sqref>
            </x14:sparkline>
          </x14:sparklines>
        </x14:sparklineGroup>
        <x14:sparklineGroup type="stacked" displayEmptyCellsAs="gap" high="1" low="1" negative="1" displayXAxis="1" xr2:uid="{00000000-0003-0000-0000-000015000000}">
          <x14:colorSeries rgb="FF800080"/>
          <x14:colorNegative rgb="FFFFA500"/>
          <x14:colorHigh rgb="FFFF0000"/>
          <x14:colorLow rgb="FF0000FF"/>
          <x14:sparklines>
            <x14:sparkline>
              <xm:f>PoliticalData!AR13:AV13</xm:f>
              <xm:sqref>AW13</xm:sqref>
            </x14:sparkline>
          </x14:sparklines>
        </x14:sparklineGroup>
        <x14:sparklineGroup displayEmptyCellsAs="gap" xr2:uid="{00000000-0003-0000-0000-000014000000}">
          <x14:colorSeries rgb="FF000000"/>
          <x14:sparklines>
            <x14:sparkline>
              <xm:f>PoliticalData!B13:AB13</xm:f>
              <xm:sqref>AD13</xm:sqref>
            </x14:sparkline>
          </x14:sparklines>
        </x14:sparklineGroup>
        <x14:sparklineGroup type="stacked" displayEmptyCellsAs="gap" high="1" low="1" negative="1" displayXAxis="1" xr2:uid="{00000000-0003-0000-0000-000013000000}">
          <x14:colorSeries rgb="FF800080"/>
          <x14:colorNegative rgb="FFFFA500"/>
          <x14:colorHigh rgb="FFFF0000"/>
          <x14:colorLow rgb="FF0000FF"/>
          <x14:sparklines>
            <x14:sparkline>
              <xm:f>PoliticalData!AR12:AV12</xm:f>
              <xm:sqref>AW12</xm:sqref>
            </x14:sparkline>
          </x14:sparklines>
        </x14:sparklineGroup>
        <x14:sparklineGroup displayEmptyCellsAs="gap" xr2:uid="{00000000-0003-0000-0000-000012000000}">
          <x14:colorSeries rgb="FF000000"/>
          <x14:sparklines>
            <x14:sparkline>
              <xm:f>PoliticalData!B12:AB12</xm:f>
              <xm:sqref>AD12</xm:sqref>
            </x14:sparkline>
          </x14:sparklines>
        </x14:sparklineGroup>
        <x14:sparklineGroup type="stacked" displayEmptyCellsAs="gap" high="1" low="1" negative="1" displayXAxis="1" xr2:uid="{00000000-0003-0000-0000-000011000000}">
          <x14:colorSeries rgb="FF800080"/>
          <x14:colorNegative rgb="FFFFA500"/>
          <x14:colorHigh rgb="FFFF0000"/>
          <x14:colorLow rgb="FF0000FF"/>
          <x14:sparklines>
            <x14:sparkline>
              <xm:f>PoliticalData!AR11:AV11</xm:f>
              <xm:sqref>AW11</xm:sqref>
            </x14:sparkline>
          </x14:sparklines>
        </x14:sparklineGroup>
        <x14:sparklineGroup displayEmptyCellsAs="gap" xr2:uid="{00000000-0003-0000-0000-000010000000}">
          <x14:colorSeries rgb="FF000000"/>
          <x14:sparklines>
            <x14:sparkline>
              <xm:f>PoliticalData!B11:AB11</xm:f>
              <xm:sqref>AD11</xm:sqref>
            </x14:sparkline>
          </x14:sparklines>
        </x14:sparklineGroup>
        <x14:sparklineGroup type="stacked" displayEmptyCellsAs="gap" high="1" low="1" negative="1" displayXAxis="1" xr2:uid="{00000000-0003-0000-0000-00000F000000}">
          <x14:colorSeries rgb="FF800080"/>
          <x14:colorNegative rgb="FFFFA500"/>
          <x14:colorHigh rgb="FFFF0000"/>
          <x14:colorLow rgb="FF0000FF"/>
          <x14:sparklines>
            <x14:sparkline>
              <xm:f>PoliticalData!AR10:AV10</xm:f>
              <xm:sqref>AW10</xm:sqref>
            </x14:sparkline>
          </x14:sparklines>
        </x14:sparklineGroup>
        <x14:sparklineGroup displayEmptyCellsAs="gap" xr2:uid="{00000000-0003-0000-0000-00000E000000}">
          <x14:colorSeries rgb="FF000000"/>
          <x14:sparklines>
            <x14:sparkline>
              <xm:f>PoliticalData!B10:AB10</xm:f>
              <xm:sqref>AD10</xm:sqref>
            </x14:sparkline>
          </x14:sparklines>
        </x14:sparklineGroup>
        <x14:sparklineGroup type="stacked" displayEmptyCellsAs="gap" high="1" low="1" negative="1" displayXAxis="1" xr2:uid="{00000000-0003-0000-0000-00000D000000}">
          <x14:colorSeries rgb="FF800080"/>
          <x14:colorNegative rgb="FFFFA500"/>
          <x14:colorHigh rgb="FFFF0000"/>
          <x14:colorLow rgb="FF0000FF"/>
          <x14:sparklines>
            <x14:sparkline>
              <xm:f>PoliticalData!AR9:AV9</xm:f>
              <xm:sqref>AW9</xm:sqref>
            </x14:sparkline>
          </x14:sparklines>
        </x14:sparklineGroup>
        <x14:sparklineGroup displayEmptyCellsAs="gap" xr2:uid="{00000000-0003-0000-0000-00000C000000}">
          <x14:colorSeries rgb="FF000000"/>
          <x14:sparklines>
            <x14:sparkline>
              <xm:f>PoliticalData!B9:AB9</xm:f>
              <xm:sqref>AD9</xm:sqref>
            </x14:sparkline>
          </x14:sparklines>
        </x14:sparklineGroup>
        <x14:sparklineGroup type="stacked" displayEmptyCellsAs="gap" high="1" low="1" negative="1" displayXAxis="1" xr2:uid="{00000000-0003-0000-0000-00000B000000}">
          <x14:colorSeries rgb="FF800080"/>
          <x14:colorNegative rgb="FFFFA500"/>
          <x14:colorHigh rgb="FFFF0000"/>
          <x14:colorLow rgb="FF0000FF"/>
          <x14:sparklines>
            <x14:sparkline>
              <xm:f>PoliticalData!AR8:AV8</xm:f>
              <xm:sqref>AW8</xm:sqref>
            </x14:sparkline>
          </x14:sparklines>
        </x14:sparklineGroup>
        <x14:sparklineGroup displayEmptyCellsAs="gap" xr2:uid="{00000000-0003-0000-0000-00000A000000}">
          <x14:colorSeries rgb="FF000000"/>
          <x14:sparklines>
            <x14:sparkline>
              <xm:f>PoliticalData!B8:AB8</xm:f>
              <xm:sqref>AD8</xm:sqref>
            </x14:sparkline>
          </x14:sparklines>
        </x14:sparklineGroup>
        <x14:sparklineGroup type="stacked" displayEmptyCellsAs="gap" high="1" low="1" negative="1" displayXAxis="1" xr2:uid="{00000000-0003-0000-0000-000009000000}">
          <x14:colorSeries rgb="FF800080"/>
          <x14:colorNegative rgb="FFFFA500"/>
          <x14:colorHigh rgb="FFFF0000"/>
          <x14:colorLow rgb="FF0000FF"/>
          <x14:sparklines>
            <x14:sparkline>
              <xm:f>PoliticalData!AR7:AV7</xm:f>
              <xm:sqref>AW7</xm:sqref>
            </x14:sparkline>
          </x14:sparklines>
        </x14:sparklineGroup>
        <x14:sparklineGroup displayEmptyCellsAs="gap" xr2:uid="{00000000-0003-0000-0000-000008000000}">
          <x14:colorSeries rgb="FF000000"/>
          <x14:sparklines>
            <x14:sparkline>
              <xm:f>PoliticalData!B7:AB7</xm:f>
              <xm:sqref>AD7</xm:sqref>
            </x14:sparkline>
          </x14:sparklines>
        </x14:sparklineGroup>
        <x14:sparklineGroup type="stacked" displayEmptyCellsAs="gap" high="1" low="1" negative="1" displayXAxis="1" xr2:uid="{00000000-0003-0000-0000-000007000000}">
          <x14:colorSeries rgb="FF800080"/>
          <x14:colorNegative rgb="FFFFA500"/>
          <x14:colorHigh rgb="FFFF0000"/>
          <x14:colorLow rgb="FF0000FF"/>
          <x14:sparklines>
            <x14:sparkline>
              <xm:f>PoliticalData!AR6:AV6</xm:f>
              <xm:sqref>AW6</xm:sqref>
            </x14:sparkline>
          </x14:sparklines>
        </x14:sparklineGroup>
        <x14:sparklineGroup displayEmptyCellsAs="gap" xr2:uid="{00000000-0003-0000-0000-000006000000}">
          <x14:colorSeries rgb="FF000000"/>
          <x14:sparklines>
            <x14:sparkline>
              <xm:f>PoliticalData!B6:AB6</xm:f>
              <xm:sqref>AD6</xm:sqref>
            </x14:sparkline>
          </x14:sparklines>
        </x14:sparklineGroup>
        <x14:sparklineGroup type="stacked" displayEmptyCellsAs="gap" high="1" low="1" negative="1" displayXAxis="1" xr2:uid="{00000000-0003-0000-0000-000005000000}">
          <x14:colorSeries rgb="FF800080"/>
          <x14:colorNegative rgb="FFFFA500"/>
          <x14:colorHigh rgb="FFFF0000"/>
          <x14:colorLow rgb="FF0000FF"/>
          <x14:sparklines>
            <x14:sparkline>
              <xm:f>PoliticalData!AR5:AV5</xm:f>
              <xm:sqref>AW5</xm:sqref>
            </x14:sparkline>
          </x14:sparklines>
        </x14:sparklineGroup>
        <x14:sparklineGroup displayEmptyCellsAs="gap" xr2:uid="{00000000-0003-0000-0000-000004000000}">
          <x14:colorSeries rgb="FF000000"/>
          <x14:sparklines>
            <x14:sparkline>
              <xm:f>PoliticalData!B5:AB5</xm:f>
              <xm:sqref>AD5</xm:sqref>
            </x14:sparkline>
          </x14:sparklines>
        </x14:sparklineGroup>
        <x14:sparklineGroup type="stacked" displayEmptyCellsAs="gap" high="1" low="1" negative="1" displayXAxis="1" xr2:uid="{00000000-0003-0000-0000-000003000000}">
          <x14:colorSeries rgb="FF800080"/>
          <x14:colorNegative rgb="FFFFA500"/>
          <x14:colorHigh rgb="FFFF0000"/>
          <x14:colorLow rgb="FF0000FF"/>
          <x14:sparklines>
            <x14:sparkline>
              <xm:f>PoliticalData!AR4:AV4</xm:f>
              <xm:sqref>AW4</xm:sqref>
            </x14:sparkline>
          </x14:sparklines>
        </x14:sparklineGroup>
        <x14:sparklineGroup displayEmptyCellsAs="gap" xr2:uid="{00000000-0003-0000-0000-000002000000}">
          <x14:colorSeries rgb="FF000000"/>
          <x14:sparklines>
            <x14:sparkline>
              <xm:f>PoliticalData!B4:AB4</xm:f>
              <xm:sqref>AD4</xm:sqref>
            </x14:sparkline>
          </x14:sparklines>
        </x14:sparklineGroup>
        <x14:sparklineGroup type="stacked" displayEmptyCellsAs="gap" high="1" low="1" negative="1" displayXAxis="1" xr2:uid="{00000000-0003-0000-0000-000001000000}">
          <x14:colorSeries rgb="FF800080"/>
          <x14:colorNegative rgb="FFFFA500"/>
          <x14:colorHigh rgb="FFFF0000"/>
          <x14:colorLow rgb="FF0000FF"/>
          <x14:sparklines>
            <x14:sparkline>
              <xm:f>PoliticalData!AR3:AV3</xm:f>
              <xm:sqref>AW3</xm:sqref>
            </x14:sparkline>
          </x14:sparklines>
        </x14:sparklineGroup>
        <x14:sparklineGroup displayEmptyCellsAs="gap" xr2:uid="{00000000-0003-0000-0000-000000000000}">
          <x14:colorSeries rgb="FF000000"/>
          <x14:sparklines>
            <x14:sparkline>
              <xm:f>PoliticalData!B3:AB3</xm:f>
              <xm:sqref>AD3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134"/>
  <sheetViews>
    <sheetView topLeftCell="AB1" workbookViewId="0">
      <pane ySplit="2" topLeftCell="A12" activePane="bottomLeft" state="frozen"/>
      <selection pane="bottomLeft" activeCell="B4" sqref="B4"/>
    </sheetView>
  </sheetViews>
  <sheetFormatPr defaultColWidth="14.453125" defaultRowHeight="15.75" customHeight="1" x14ac:dyDescent="0.25"/>
  <cols>
    <col min="1" max="29" width="21.54296875" customWidth="1"/>
    <col min="30" max="30" width="31.453125" customWidth="1"/>
    <col min="31" max="37" width="21.54296875" customWidth="1"/>
    <col min="38" max="38" width="7.26953125" customWidth="1"/>
    <col min="39" max="39" width="21.54296875" customWidth="1"/>
    <col min="40" max="40" width="7.26953125" customWidth="1"/>
    <col min="41" max="41" width="21.54296875" customWidth="1"/>
    <col min="42" max="42" width="7.26953125" customWidth="1"/>
    <col min="43" max="43" width="17.08984375" customWidth="1"/>
    <col min="44" max="44" width="21.54296875" customWidth="1"/>
    <col min="45" max="45" width="10.08984375" customWidth="1"/>
    <col min="46" max="46" width="21.54296875" customWidth="1"/>
    <col min="47" max="47" width="10.453125" customWidth="1"/>
    <col min="48" max="48" width="21.54296875" customWidth="1"/>
    <col min="49" max="49" width="15.453125" customWidth="1"/>
    <col min="50" max="50" width="8.81640625" customWidth="1"/>
    <col min="51" max="51" width="7.26953125" customWidth="1"/>
    <col min="52" max="52" width="21.54296875" customWidth="1"/>
    <col min="53" max="53" width="7.08984375" hidden="1" customWidth="1"/>
    <col min="54" max="54" width="6.08984375" hidden="1" customWidth="1"/>
    <col min="55" max="55" width="21.54296875" customWidth="1"/>
    <col min="56" max="56" width="5.7265625" hidden="1" customWidth="1"/>
    <col min="57" max="57" width="6.81640625" hidden="1" customWidth="1"/>
    <col min="58" max="58" width="21.54296875" customWidth="1"/>
    <col min="59" max="59" width="21.54296875" hidden="1" customWidth="1"/>
    <col min="60" max="64" width="21.54296875" customWidth="1"/>
    <col min="65" max="65" width="19.453125" customWidth="1"/>
  </cols>
  <sheetData>
    <row r="1" spans="1:6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2</v>
      </c>
      <c r="G1" s="2" t="s">
        <v>2</v>
      </c>
      <c r="H1" s="2" t="s">
        <v>4</v>
      </c>
      <c r="I1" s="2" t="s">
        <v>4</v>
      </c>
      <c r="J1" s="2" t="s">
        <v>4</v>
      </c>
      <c r="K1" s="2" t="s">
        <v>3</v>
      </c>
      <c r="L1" s="2" t="s">
        <v>2</v>
      </c>
      <c r="M1" s="2" t="s">
        <v>5</v>
      </c>
      <c r="N1" s="2" t="s">
        <v>5</v>
      </c>
      <c r="O1" s="2" t="s">
        <v>4</v>
      </c>
      <c r="P1" s="2" t="s">
        <v>2</v>
      </c>
      <c r="Q1" s="2" t="s">
        <v>5</v>
      </c>
      <c r="R1" s="2" t="s">
        <v>2</v>
      </c>
      <c r="S1" s="2" t="s">
        <v>4</v>
      </c>
      <c r="T1" s="2" t="s">
        <v>4</v>
      </c>
      <c r="U1" s="2" t="s">
        <v>5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3</v>
      </c>
      <c r="AA1" s="2" t="s">
        <v>4</v>
      </c>
      <c r="AB1" s="2" t="s">
        <v>2</v>
      </c>
      <c r="AC1" s="3" t="s">
        <v>7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  <c r="AT1" s="4"/>
      <c r="AU1" s="5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6" t="s">
        <v>8</v>
      </c>
    </row>
    <row r="2" spans="1:65" ht="15.75" customHeight="1" x14ac:dyDescent="0.25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7" t="s">
        <v>38</v>
      </c>
      <c r="AE2" s="7" t="s">
        <v>39</v>
      </c>
      <c r="AF2" s="7" t="s">
        <v>40</v>
      </c>
      <c r="AG2" s="7" t="s">
        <v>41</v>
      </c>
      <c r="AH2" s="7" t="s">
        <v>42</v>
      </c>
      <c r="AI2" s="7" t="s">
        <v>43</v>
      </c>
      <c r="AJ2" s="7" t="s">
        <v>44</v>
      </c>
      <c r="AK2" s="56" t="s">
        <v>45</v>
      </c>
      <c r="AL2" s="57"/>
      <c r="AM2" s="56" t="s">
        <v>46</v>
      </c>
      <c r="AN2" s="57"/>
      <c r="AO2" s="56" t="s">
        <v>47</v>
      </c>
      <c r="AP2" s="57"/>
      <c r="AQ2" s="7" t="s">
        <v>48</v>
      </c>
      <c r="AR2" s="7" t="s">
        <v>49</v>
      </c>
      <c r="AS2" s="9" t="s">
        <v>48</v>
      </c>
      <c r="AT2" s="7" t="s">
        <v>50</v>
      </c>
      <c r="AU2" s="9" t="s">
        <v>48</v>
      </c>
      <c r="AV2" s="7" t="s">
        <v>51</v>
      </c>
      <c r="AW2" s="7" t="s">
        <v>52</v>
      </c>
      <c r="AX2" s="7"/>
      <c r="AY2" s="7"/>
      <c r="AZ2" s="7" t="s">
        <v>53</v>
      </c>
      <c r="BA2" s="7"/>
      <c r="BB2" s="7"/>
      <c r="BC2" s="7" t="s">
        <v>54</v>
      </c>
      <c r="BD2" s="7"/>
      <c r="BE2" s="7"/>
      <c r="BF2" s="7" t="s">
        <v>55</v>
      </c>
      <c r="BG2" s="7" t="s">
        <v>56</v>
      </c>
      <c r="BH2" s="7" t="s">
        <v>57</v>
      </c>
      <c r="BI2" s="7" t="s">
        <v>58</v>
      </c>
      <c r="BJ2" s="7" t="s">
        <v>59</v>
      </c>
      <c r="BK2" s="7" t="s">
        <v>60</v>
      </c>
      <c r="BL2" s="7" t="s">
        <v>61</v>
      </c>
      <c r="BM2" s="7"/>
    </row>
    <row r="3" spans="1:65" ht="15.75" customHeight="1" x14ac:dyDescent="0.35">
      <c r="A3" s="10">
        <v>44250.711139918982</v>
      </c>
      <c r="B3" s="11">
        <v>8</v>
      </c>
      <c r="C3" s="11">
        <v>7</v>
      </c>
      <c r="D3" s="11">
        <v>9</v>
      </c>
      <c r="E3" s="11">
        <v>7</v>
      </c>
      <c r="F3" s="11">
        <v>7</v>
      </c>
      <c r="G3" s="11">
        <v>9</v>
      </c>
      <c r="H3" s="11">
        <v>7</v>
      </c>
      <c r="I3" s="11">
        <v>9</v>
      </c>
      <c r="J3" s="11">
        <v>7</v>
      </c>
      <c r="K3" s="11">
        <v>5</v>
      </c>
      <c r="L3" s="11">
        <v>4</v>
      </c>
      <c r="M3" s="11">
        <v>8</v>
      </c>
      <c r="N3" s="11">
        <v>9</v>
      </c>
      <c r="O3" s="11">
        <v>8</v>
      </c>
      <c r="P3" s="11">
        <v>10</v>
      </c>
      <c r="Q3" s="11">
        <v>9</v>
      </c>
      <c r="R3" s="11">
        <v>6</v>
      </c>
      <c r="S3" s="11">
        <v>9</v>
      </c>
      <c r="T3" s="11">
        <v>10</v>
      </c>
      <c r="U3" s="11">
        <v>10</v>
      </c>
      <c r="V3" s="11">
        <v>8</v>
      </c>
      <c r="W3" s="11">
        <v>3</v>
      </c>
      <c r="X3" s="11">
        <v>6</v>
      </c>
      <c r="Y3" s="11">
        <v>8</v>
      </c>
      <c r="Z3" s="11">
        <v>10</v>
      </c>
      <c r="AA3" s="11">
        <v>9</v>
      </c>
      <c r="AB3" s="11">
        <v>10</v>
      </c>
      <c r="AC3" s="11">
        <v>10</v>
      </c>
      <c r="AD3" s="12"/>
      <c r="AE3" s="13">
        <f t="shared" ref="AE3:AE34" si="0">AVERAGE(B3:L3, O3:P3, R3:T3, Z3:AB3)</f>
        <v>7.9473684210526319</v>
      </c>
      <c r="AF3" s="14">
        <f t="shared" ref="AF3:AF34" si="1">10-AE3</f>
        <v>2.0526315789473681</v>
      </c>
      <c r="AG3" s="14">
        <f t="shared" ref="AG3:AG34" si="2">AVERAGE(B3, D3:E3, H3:K3, (10-M3), N3:O3, Q3, S3:AA3)</f>
        <v>7.65</v>
      </c>
      <c r="AH3" s="14">
        <f t="shared" ref="AH3:AH34" si="3">10-AG3</f>
        <v>2.3499999999999996</v>
      </c>
      <c r="AI3" s="14">
        <f t="shared" ref="AI3:AI34" si="4">AVERAGE(B3:C3, F3:J3, L3:U3, AA3:AB3)</f>
        <v>8.2105263157894743</v>
      </c>
      <c r="AJ3" s="14">
        <f t="shared" ref="AJ3:AJ34" si="5">10-AI3</f>
        <v>1.7894736842105257</v>
      </c>
      <c r="AK3" s="15" t="str">
        <f t="shared" ref="AK3:AK34" si="6">IF(AE3 &gt; 5, "Conservative:", "Liberal:")</f>
        <v>Conservative:</v>
      </c>
      <c r="AL3" s="16">
        <f t="shared" ref="AL3:AL34" si="7">IF(MAX(AE3:AF3)=AE3, AE3, AF3)</f>
        <v>7.9473684210526319</v>
      </c>
      <c r="AM3" s="17" t="str">
        <f t="shared" ref="AM3:AM34" si="8">IF(AG3 &gt; 5, "Conservative:", "Liberal:")</f>
        <v>Conservative:</v>
      </c>
      <c r="AN3" s="16">
        <f t="shared" ref="AN3:AN34" si="9">IF(MAX(AG3:AH3)=AG3, AG3, AH3)</f>
        <v>7.65</v>
      </c>
      <c r="AO3" s="17" t="str">
        <f t="shared" ref="AO3:AO34" si="10">IF(AI3 &gt; 5, "Libertarian:", "Authoritarian:")</f>
        <v>Libertarian:</v>
      </c>
      <c r="AP3" s="16">
        <f t="shared" ref="AP3:AP34" si="11">IF(MAX(AI3:AJ3)=AI3, AI3, AJ3)</f>
        <v>8.2105263157894743</v>
      </c>
      <c r="AQ3" s="18" t="s">
        <v>62</v>
      </c>
      <c r="AR3" s="19">
        <f t="shared" ref="AR3:AR17" si="12">ROUND(IF(AE3 &gt; 5, (AE3*2)-10, (-AF3*2)+10), 2)</f>
        <v>5.89</v>
      </c>
      <c r="AS3" s="20" t="s">
        <v>62</v>
      </c>
      <c r="AT3" s="19">
        <f t="shared" ref="AT3:AT13" si="13">ROUND(IF(AG3 &gt; 5, (AG3*2)-10, (-AH3*2)+10), 2)</f>
        <v>5.3</v>
      </c>
      <c r="AU3" s="20" t="s">
        <v>62</v>
      </c>
      <c r="AV3" s="19">
        <f>ROUND(IF(AI3 &gt; 5, (AI3*2)-10, (-AJ3*2)+10), 2)</f>
        <v>6.42</v>
      </c>
      <c r="AW3" s="21"/>
      <c r="AX3" s="22">
        <f ca="1">IFERROR(__xludf.DUMMYFUNCTION("QUERY('Copy of PoliticalData'!AR$3:AR$55,""select AR where AR &gt; ""&amp;AR3&amp;"" order by AR limit 1"",0)"),6.32)</f>
        <v>6.32</v>
      </c>
      <c r="AY3" s="22">
        <f ca="1">IFERROR(__xludf.DUMMYFUNCTION("QUERY('Copy of PoliticalData'!AR$3:AR$55,""select AR where AR &lt; ""&amp;AR3&amp;"" order by AR desc limit 1"",0)"),5.44)</f>
        <v>5.44</v>
      </c>
      <c r="AZ3" s="23" t="str">
        <f ca="1">IFERROR(__xludf.DUMMYFUNCTION("IF((ABS(AR3-QUERY('Copy of PoliticalData'!AR$3:AR$55,""select AR where AR &gt; ""&amp;AR3&amp;"" order by AR limit 1"",0))) &gt; ABS(AR3-QUERY('Copy of PoliticalData'!AR$3:AR$55,""select AR where AR &lt; ""&amp;AR3&amp;"" order by AR desc limit 1"",0)), QUERY('Copy of PoliticalDa"&amp;"ta'!AQ$3:AR$55,""select AQ where AR = ""&amp;AY3&amp;"""",0), QUERY('Copy of PoliticalData'!AQ$3:AR$55,""select AQ where AR = ""&amp;AX3&amp;"""",0))"),"ethan.gasee@tcstudents.org")</f>
        <v>ethan.gasee@tcstudents.org</v>
      </c>
      <c r="BA3" s="24">
        <f ca="1">IFERROR(__xludf.DUMMYFUNCTION("QUERY('Copy of PoliticalData'!AT$3:AT$34,""select AT where AT &gt; ""&amp;AT3&amp;"" order by AT limit 1"",0)"),5.9)</f>
        <v>5.9</v>
      </c>
      <c r="BB3" s="24">
        <f ca="1">IFERROR(__xludf.DUMMYFUNCTION("QUERY('Copy of PoliticalData'!AT$3:AT$50,""select AT where AT &lt; ""&amp;AT3&amp;"" order by AT desc limit 1"",0)"),4.8)</f>
        <v>4.8</v>
      </c>
      <c r="BC3" s="25" t="str">
        <f ca="1">IFERROR(__xludf.DUMMYFUNCTION("IF((ABS(AT3-QUERY('Copy of PoliticalData'!AT$3:AT$55,""select AT where AT &gt; ""&amp;AT3&amp;"" order by AT limit 1"",0))) &gt; ABS(AT3-QUERY('Copy of PoliticalData'!AT$3:AT$55,""select AT where AT &lt; ""&amp;AT3&amp;"" order by AT desc limit 1"",0)), QUERY('Copy of PoliticalDa"&amp;"ta'!AS$3:AT$55,""select AS where AT = ""&amp;BB3&amp;"""",0), QUERY('Copy of PoliticalData'!AS$3:AT$55,""select AS where AT = ""&amp;BA3&amp;"""",0))"),"lev.pollock@tcstudents.org")</f>
        <v>lev.pollock@tcstudents.org</v>
      </c>
      <c r="BD3" s="24">
        <f ca="1">IFERROR(__xludf.DUMMYFUNCTION("QUERY('Copy of PoliticalData'!AV$3:AV$34,""select AV where AV &gt; ""&amp;AV3&amp;"" order by AV limit 1"",0)"),10)</f>
        <v>10</v>
      </c>
      <c r="BE3" s="24">
        <f ca="1">IFERROR(__xludf.DUMMYFUNCTION("QUERY('Copy of PoliticalData'!AV$3:AV$50,""select AV where AV &lt; ""&amp;AV3&amp;"" order by AV desc limit 1"",0)"),6.11)</f>
        <v>6.11</v>
      </c>
      <c r="BF3" s="26" t="str">
        <f ca="1">IFERROR(__xludf.DUMMYFUNCTION("IF((ABS(AV3-QUERY('Copy of PoliticalData'!AV$3:AV$55,""select AV where AV &gt; ""&amp;AV3&amp;"" order by AV limit 1"",0))) &gt; ABS(AV3-QUERY('Copy of PoliticalData'!AV$3:AV$55,""select AV where AV &lt; ""&amp;AV3&amp;"" order by AV desc limit 1"",0)), QUERY('Copy of PoliticalDa"&amp;"ta'!AU$3:AV$55,""select AU where AV = ""&amp;BE3&amp;"""",0), QUERY('Copy of PoliticalData'!AU$3:AV$55,""select AU where AV = ""&amp;BD3&amp;"""",0))"),"koby.gottlieb@tcstudents.org")</f>
        <v>koby.gottlieb@tcstudents.org</v>
      </c>
      <c r="BG3" s="27" t="s">
        <v>63</v>
      </c>
      <c r="BH3" s="24" t="e">
        <f t="shared" ref="BH3:BH34" ca="1" si="14">_xludf.IFS((AR3+AT3)/2 &lt; -4, "NDP", (AR3+AT3)/2 &lt; 0, "Liberal", (AR3+AT3)/2 &gt; 0, "Conservative")</f>
        <v>#NAME?</v>
      </c>
      <c r="BI3" s="19" t="str">
        <f t="shared" ref="BI3:BI34" si="15">IF(AC3 &gt; 7, "Yes", "No")</f>
        <v>Yes</v>
      </c>
      <c r="BJ3" s="19" t="str">
        <f t="shared" ref="BJ3:BJ34" si="16">IF(((10-AB3)+(10-Y3)+(10-L3))/3 &gt; 6, "Yes", "No")</f>
        <v>No</v>
      </c>
      <c r="BK3" s="19" t="str">
        <f t="shared" ref="BK3:BK34" si="17">IF(W3 &gt; 6, "Yes", "No")</f>
        <v>No</v>
      </c>
      <c r="BL3" s="19" t="str">
        <f t="shared" ref="BL3:BL34" si="18">IF(AI3 &gt; 7.5, "Yes", "No")</f>
        <v>Yes</v>
      </c>
      <c r="BM3" s="28"/>
    </row>
    <row r="4" spans="1:65" ht="15.75" customHeight="1" x14ac:dyDescent="0.35">
      <c r="A4" s="10">
        <v>44250.827766840273</v>
      </c>
      <c r="B4" s="11">
        <v>0</v>
      </c>
      <c r="C4" s="11">
        <v>8</v>
      </c>
      <c r="D4" s="11">
        <v>0</v>
      </c>
      <c r="E4" s="11">
        <v>0</v>
      </c>
      <c r="F4" s="11">
        <v>0</v>
      </c>
      <c r="G4" s="11">
        <v>0</v>
      </c>
      <c r="H4" s="11">
        <v>4</v>
      </c>
      <c r="I4" s="11">
        <v>4</v>
      </c>
      <c r="J4" s="11">
        <v>0</v>
      </c>
      <c r="K4" s="11">
        <v>0</v>
      </c>
      <c r="L4" s="11">
        <v>0</v>
      </c>
      <c r="M4" s="11">
        <v>10</v>
      </c>
      <c r="N4" s="11">
        <v>4</v>
      </c>
      <c r="O4" s="11">
        <v>0</v>
      </c>
      <c r="P4" s="11">
        <v>10</v>
      </c>
      <c r="Q4" s="11">
        <v>10</v>
      </c>
      <c r="R4" s="11">
        <v>10</v>
      </c>
      <c r="S4" s="11">
        <v>5</v>
      </c>
      <c r="T4" s="11">
        <v>2</v>
      </c>
      <c r="U4" s="11">
        <v>10</v>
      </c>
      <c r="V4" s="11">
        <v>10</v>
      </c>
      <c r="W4" s="11">
        <v>0</v>
      </c>
      <c r="X4" s="11">
        <v>10</v>
      </c>
      <c r="Y4" s="11">
        <v>0</v>
      </c>
      <c r="Z4" s="11">
        <v>0</v>
      </c>
      <c r="AA4" s="11">
        <v>0</v>
      </c>
      <c r="AB4" s="11">
        <v>0</v>
      </c>
      <c r="AC4" s="11">
        <v>5</v>
      </c>
      <c r="AD4" s="12"/>
      <c r="AE4" s="13">
        <f t="shared" si="0"/>
        <v>2.263157894736842</v>
      </c>
      <c r="AF4" s="14">
        <f t="shared" si="1"/>
        <v>7.7368421052631575</v>
      </c>
      <c r="AG4" s="14">
        <f t="shared" si="2"/>
        <v>2.95</v>
      </c>
      <c r="AH4" s="14">
        <f t="shared" si="3"/>
        <v>7.05</v>
      </c>
      <c r="AI4" s="14">
        <f t="shared" si="4"/>
        <v>4.0526315789473681</v>
      </c>
      <c r="AJ4" s="14">
        <f t="shared" si="5"/>
        <v>5.9473684210526319</v>
      </c>
      <c r="AK4" s="15" t="str">
        <f t="shared" si="6"/>
        <v>Liberal:</v>
      </c>
      <c r="AL4" s="16">
        <f t="shared" si="7"/>
        <v>7.7368421052631575</v>
      </c>
      <c r="AM4" s="17" t="str">
        <f t="shared" si="8"/>
        <v>Liberal:</v>
      </c>
      <c r="AN4" s="16">
        <f t="shared" si="9"/>
        <v>7.05</v>
      </c>
      <c r="AO4" s="17" t="str">
        <f t="shared" si="10"/>
        <v>Authoritarian:</v>
      </c>
      <c r="AP4" s="16">
        <f t="shared" si="11"/>
        <v>5.9473684210526319</v>
      </c>
      <c r="AQ4" s="18" t="s">
        <v>64</v>
      </c>
      <c r="AR4" s="19">
        <f t="shared" si="12"/>
        <v>-5.47</v>
      </c>
      <c r="AS4" s="20" t="s">
        <v>64</v>
      </c>
      <c r="AT4" s="19">
        <f t="shared" si="13"/>
        <v>-4.0999999999999996</v>
      </c>
      <c r="AU4" s="20" t="s">
        <v>64</v>
      </c>
      <c r="AV4" s="19">
        <f>ROUND(IF(AI4 &gt; 5, (AI4*2)-10, (-AJ4*2)+10.01), 2)</f>
        <v>-1.88</v>
      </c>
      <c r="AW4" s="21"/>
      <c r="AX4" s="22">
        <f ca="1">IFERROR(__xludf.DUMMYFUNCTION("QUERY('Copy of PoliticalData'!AR$3:AR$55,""select AR where AR &gt; ""&amp;AR4&amp;"" order by AR limit 1"",0)"),-4.73)</f>
        <v>-4.7300000000000004</v>
      </c>
      <c r="AY4" s="22" t="str">
        <f ca="1">IFERROR(__xludf.DUMMYFUNCTION("QUERY('Copy of PoliticalData'!AR$3:AR$55,""select AR where AR &lt; ""&amp;AR4&amp;"" order by AR desc limit 1"",0)"),"")</f>
        <v/>
      </c>
      <c r="AZ4" s="23" t="str">
        <f ca="1">IFERROR(__xludf.DUMMYFUNCTION("IF((ABS(AR4-QUERY('Copy of PoliticalData'!AR$3:AR$55,""select AR where AR &gt; ""&amp;AR4&amp;"" order by AR limit 1"",0))) &gt; ABS(AR4-QUERY('Copy of PoliticalData'!AR$3:AR$55,""select AR where AR &lt; ""&amp;AR4&amp;"" order by AR desc limit 1"",0)), QUERY('Copy of PoliticalDa"&amp;"ta'!AQ$3:AR$55,""select AQ where AR = ""&amp;AY4&amp;"""",0), QUERY('Copy of PoliticalData'!AQ$3:AR$55,""select AQ where AR = ""&amp;AX4&amp;"""",0))"),"menachem.guttmann@tcstudents.org")</f>
        <v>menachem.guttmann@tcstudents.org</v>
      </c>
      <c r="BA4" s="24">
        <f ca="1">IFERROR(__xludf.DUMMYFUNCTION("QUERY('Copy of PoliticalData'!AT$3:AT$34,""select AT where AT &gt; ""&amp;AT4&amp;"" order by AT limit 1"",0)"),-3.9)</f>
        <v>-3.9</v>
      </c>
      <c r="BB4" s="24">
        <f ca="1">IFERROR(__xludf.DUMMYFUNCTION("QUERY('Copy of PoliticalData'!AT$3:AT$50,""select AT where AT &lt; ""&amp;AT4&amp;"" order by AT desc limit 1"",0)"),-6)</f>
        <v>-6</v>
      </c>
      <c r="BC4" s="25" t="str">
        <f ca="1">IFERROR(__xludf.DUMMYFUNCTION("IF((ABS(AT4-QUERY('Copy of PoliticalData'!AT$3:AT$55,""select AT where AT &gt; ""&amp;AT4&amp;"" order by AT limit 1"",0))) &gt; ABS(AT4-QUERY('Copy of PoliticalData'!AT$3:AT$55,""select AT where AT &lt; ""&amp;AT4&amp;"" order by AT desc limit 1"",0)), QUERY('Copy of PoliticalDa"&amp;"ta'!AS$3:AT$55,""select AS where AT = ""&amp;BB4&amp;"""",0), QUERY('Copy of PoliticalData'!AS$3:AT$55,""select AS where AT = ""&amp;BA4&amp;"""",0))"),"zimri.prutschi@tcstudents.org")</f>
        <v>zimri.prutschi@tcstudents.org</v>
      </c>
      <c r="BD4" s="24">
        <f ca="1">IFERROR(__xludf.DUMMYFUNCTION("QUERY('Copy of PoliticalData'!AV$3:AV$34,""select AV where AV &gt; ""&amp;AV4&amp;"" order by AV limit 1"",0)"),-1.79)</f>
        <v>-1.79</v>
      </c>
      <c r="BE4" s="24">
        <f ca="1">IFERROR(__xludf.DUMMYFUNCTION("QUERY('Copy of PoliticalData'!AV$3:AV$50,""select AV where AV &lt; ""&amp;AV4&amp;"" order by AV desc limit 1"",0)"),-1.89)</f>
        <v>-1.89</v>
      </c>
      <c r="BF4" s="26" t="str">
        <f ca="1">IFERROR(__xludf.DUMMYFUNCTION("IF((ABS(AV4-QUERY('Copy of PoliticalData'!AV$3:AV$55,""select AV where AV &gt; ""&amp;AV4&amp;"" order by AV limit 1"",0))) &gt; ABS(AV4-QUERY('Copy of PoliticalData'!AV$3:AV$55,""select AV where AV &lt; ""&amp;AV4&amp;"" order by AV desc limit 1"",0)), QUERY('Copy of PoliticalDa"&amp;"ta'!AU$3:AV$55,""select AU where AV = ""&amp;BE4&amp;"""",0), QUERY('Copy of PoliticalData'!AU$3:AV$55,""select AU where AV = ""&amp;BD4&amp;"""",0))"),"azaria.kelman@tcstudents.org")</f>
        <v>azaria.kelman@tcstudents.org</v>
      </c>
      <c r="BG4" s="27">
        <f>AVERAGE(AR3:AR70)</f>
        <v>0.84281250000000008</v>
      </c>
      <c r="BH4" s="24" t="e">
        <f t="shared" ca="1" si="14"/>
        <v>#NAME?</v>
      </c>
      <c r="BI4" s="19" t="str">
        <f t="shared" si="15"/>
        <v>No</v>
      </c>
      <c r="BJ4" s="19" t="str">
        <f t="shared" si="16"/>
        <v>Yes</v>
      </c>
      <c r="BK4" s="19" t="str">
        <f t="shared" si="17"/>
        <v>No</v>
      </c>
      <c r="BL4" s="19" t="str">
        <f t="shared" si="18"/>
        <v>No</v>
      </c>
      <c r="BM4" s="28"/>
    </row>
    <row r="5" spans="1:65" ht="15.75" customHeight="1" x14ac:dyDescent="0.35">
      <c r="A5" s="10">
        <v>44250.827922962962</v>
      </c>
      <c r="B5" s="11">
        <v>6</v>
      </c>
      <c r="C5" s="11">
        <v>5</v>
      </c>
      <c r="D5" s="11">
        <v>4</v>
      </c>
      <c r="E5" s="11">
        <v>6</v>
      </c>
      <c r="F5" s="11">
        <v>4</v>
      </c>
      <c r="G5" s="11">
        <v>8</v>
      </c>
      <c r="H5" s="11">
        <v>8</v>
      </c>
      <c r="I5" s="11">
        <v>7</v>
      </c>
      <c r="J5" s="11">
        <v>6</v>
      </c>
      <c r="K5" s="11">
        <v>10</v>
      </c>
      <c r="L5" s="11">
        <v>2</v>
      </c>
      <c r="M5" s="11">
        <v>1</v>
      </c>
      <c r="N5" s="11">
        <v>7</v>
      </c>
      <c r="O5" s="11">
        <v>5</v>
      </c>
      <c r="P5" s="11">
        <v>4</v>
      </c>
      <c r="Q5" s="11">
        <v>8</v>
      </c>
      <c r="R5" s="11">
        <v>7</v>
      </c>
      <c r="S5" s="11">
        <v>7</v>
      </c>
      <c r="T5" s="11">
        <v>8</v>
      </c>
      <c r="U5" s="11">
        <v>7</v>
      </c>
      <c r="V5" s="11">
        <v>10</v>
      </c>
      <c r="W5" s="11">
        <v>3</v>
      </c>
      <c r="X5" s="11">
        <v>7</v>
      </c>
      <c r="Y5" s="11">
        <v>7</v>
      </c>
      <c r="Z5" s="11">
        <v>8</v>
      </c>
      <c r="AA5" s="11">
        <v>7</v>
      </c>
      <c r="AB5" s="11">
        <v>9</v>
      </c>
      <c r="AC5" s="11">
        <v>0</v>
      </c>
      <c r="AD5" s="12"/>
      <c r="AE5" s="13">
        <f t="shared" si="0"/>
        <v>6.3684210526315788</v>
      </c>
      <c r="AF5" s="14">
        <f t="shared" si="1"/>
        <v>3.6315789473684212</v>
      </c>
      <c r="AG5" s="14">
        <f t="shared" si="2"/>
        <v>7</v>
      </c>
      <c r="AH5" s="14">
        <f t="shared" si="3"/>
        <v>3</v>
      </c>
      <c r="AI5" s="14">
        <f t="shared" si="4"/>
        <v>6.1052631578947372</v>
      </c>
      <c r="AJ5" s="14">
        <f t="shared" si="5"/>
        <v>3.8947368421052628</v>
      </c>
      <c r="AK5" s="15" t="str">
        <f t="shared" si="6"/>
        <v>Conservative:</v>
      </c>
      <c r="AL5" s="16">
        <f t="shared" si="7"/>
        <v>6.3684210526315788</v>
      </c>
      <c r="AM5" s="17" t="str">
        <f t="shared" si="8"/>
        <v>Conservative:</v>
      </c>
      <c r="AN5" s="16">
        <f t="shared" si="9"/>
        <v>7</v>
      </c>
      <c r="AO5" s="17" t="str">
        <f t="shared" si="10"/>
        <v>Libertarian:</v>
      </c>
      <c r="AP5" s="16">
        <f t="shared" si="11"/>
        <v>6.1052631578947372</v>
      </c>
      <c r="AQ5" s="18" t="s">
        <v>65</v>
      </c>
      <c r="AR5" s="19">
        <f t="shared" si="12"/>
        <v>2.74</v>
      </c>
      <c r="AS5" s="20" t="s">
        <v>65</v>
      </c>
      <c r="AT5" s="19">
        <f t="shared" si="13"/>
        <v>4</v>
      </c>
      <c r="AU5" s="20" t="s">
        <v>65</v>
      </c>
      <c r="AV5" s="19">
        <f>ROUND(IF(AI5 &gt; 5, (AI5*2)-10.01, (-AJ5*2)+10), 2)</f>
        <v>2.2000000000000002</v>
      </c>
      <c r="AW5" s="21"/>
      <c r="AX5" s="22">
        <f ca="1">IFERROR(__xludf.DUMMYFUNCTION("QUERY('Copy of PoliticalData'!AR$3:AR$55,""select AR where AR &gt; ""&amp;AR5&amp;"" order by AR limit 1"",0)"),3.05)</f>
        <v>3.05</v>
      </c>
      <c r="AY5" s="22">
        <f ca="1">IFERROR(__xludf.DUMMYFUNCTION("QUERY('Copy of PoliticalData'!AR$3:AR$55,""select AR where AR &lt; ""&amp;AR5&amp;"" order by AR desc limit 1"",0)"),1.89)</f>
        <v>1.89</v>
      </c>
      <c r="AZ5" s="23" t="str">
        <f ca="1">IFERROR(__xludf.DUMMYFUNCTION("IF((ABS(AR5-QUERY('Copy of PoliticalData'!AR$3:AR$55,""select AR where AR &gt; ""&amp;AR5&amp;"" order by AR limit 1"",0))) &gt; ABS(AR5-QUERY('Copy of PoliticalData'!AR$3:AR$55,""select AR where AR &lt; ""&amp;AR5&amp;"" order by AR desc limit 1"",0)), QUERY('Copy of PoliticalDa"&amp;"ta'!AQ$3:AR$55,""select AQ where AR = ""&amp;AY5&amp;"""",0), QUERY('Copy of PoliticalData'!AQ$3:AR$55,""select AQ where AR = ""&amp;AX5&amp;"""",0))"),"daniel.rubinoff@tcstudents.org")</f>
        <v>daniel.rubinoff@tcstudents.org</v>
      </c>
      <c r="BA5" s="24">
        <f ca="1">IFERROR(__xludf.DUMMYFUNCTION("QUERY('Copy of PoliticalData'!AT$3:AT$34,""select AT where AT &gt; ""&amp;AT5&amp;"" order by AT limit 1"",0)"),4.1)</f>
        <v>4.0999999999999996</v>
      </c>
      <c r="BB5" s="24">
        <f ca="1">IFERROR(__xludf.DUMMYFUNCTION("QUERY('Copy of PoliticalData'!AT$3:AT$50,""select AT where AT &lt; ""&amp;AT5&amp;"" order by AT desc limit 1"",0)"),3.99)</f>
        <v>3.99</v>
      </c>
      <c r="BC5" s="25" t="str">
        <f ca="1">IFERROR(__xludf.DUMMYFUNCTION("IF((ABS(AT5-QUERY('Copy of PoliticalData'!AT$3:AT$55,""select AT where AT &gt; ""&amp;AT5&amp;"" order by AT limit 1"",0))) &gt; ABS(AT5-QUERY('Copy of PoliticalData'!AT$3:AT$55,""select AT where AT &lt; ""&amp;AT5&amp;"" order by AT desc limit 1"",0)), QUERY('Copy of PoliticalDa"&amp;"ta'!AS$3:AT$55,""select AS where AT = ""&amp;BB5&amp;"""",0), QUERY('Copy of PoliticalData'!AS$3:AT$55,""select AS where AT = ""&amp;BA5&amp;"""",0))"),"zachary.muraven@tcstudents.org")</f>
        <v>zachary.muraven@tcstudents.org</v>
      </c>
      <c r="BD5" s="24">
        <f ca="1">IFERROR(__xludf.DUMMYFUNCTION("QUERY('Copy of PoliticalData'!AV$3:AV$34,""select AV where AV &gt; ""&amp;AV5&amp;"" order by AV limit 1"",0)"),2.21)</f>
        <v>2.21</v>
      </c>
      <c r="BE5" s="24">
        <f ca="1">IFERROR(__xludf.DUMMYFUNCTION("QUERY('Copy of PoliticalData'!AV$3:AV$50,""select AV where AV &lt; ""&amp;AV5&amp;"" order by AV desc limit 1"",0)"),1.89)</f>
        <v>1.89</v>
      </c>
      <c r="BF5" s="26" t="str">
        <f ca="1">IFERROR(__xludf.DUMMYFUNCTION("IF((ABS(AV5-QUERY('Copy of PoliticalData'!AV$3:AV$55,""select AV where AV &gt; ""&amp;AV5&amp;"" order by AV limit 1"",0))) &gt; ABS(AV5-QUERY('Copy of PoliticalData'!AV$3:AV$55,""select AV where AV &lt; ""&amp;AV5&amp;"" order by AV desc limit 1"",0)), QUERY('Copy of PoliticalDa"&amp;"ta'!AU$3:AV$55,""select AU where AV = ""&amp;BE5&amp;"""",0), QUERY('Copy of PoliticalData'!AU$3:AV$55,""select AU where AV = ""&amp;BD5&amp;"""",0))"),"joshua.benbassat@tcstudents.org")</f>
        <v>joshua.benbassat@tcstudents.org</v>
      </c>
      <c r="BG5" s="27" t="s">
        <v>66</v>
      </c>
      <c r="BH5" s="24" t="e">
        <f t="shared" ca="1" si="14"/>
        <v>#NAME?</v>
      </c>
      <c r="BI5" s="19" t="str">
        <f t="shared" si="15"/>
        <v>No</v>
      </c>
      <c r="BJ5" s="19" t="str">
        <f t="shared" si="16"/>
        <v>No</v>
      </c>
      <c r="BK5" s="19" t="str">
        <f t="shared" si="17"/>
        <v>No</v>
      </c>
      <c r="BL5" s="19" t="str">
        <f t="shared" si="18"/>
        <v>No</v>
      </c>
      <c r="BM5" s="28"/>
    </row>
    <row r="6" spans="1:65" ht="15.75" customHeight="1" x14ac:dyDescent="0.35">
      <c r="A6" s="10">
        <v>44250.839095138886</v>
      </c>
      <c r="B6" s="11">
        <v>6</v>
      </c>
      <c r="C6" s="11">
        <v>3</v>
      </c>
      <c r="D6" s="11">
        <v>2</v>
      </c>
      <c r="E6" s="11">
        <v>2</v>
      </c>
      <c r="F6" s="11">
        <v>2</v>
      </c>
      <c r="G6" s="11">
        <v>7</v>
      </c>
      <c r="H6" s="11">
        <v>8</v>
      </c>
      <c r="I6" s="11">
        <v>1</v>
      </c>
      <c r="J6" s="11">
        <v>5</v>
      </c>
      <c r="K6" s="11">
        <v>4</v>
      </c>
      <c r="L6" s="11">
        <v>2</v>
      </c>
      <c r="M6" s="11">
        <v>4</v>
      </c>
      <c r="N6" s="11">
        <v>7</v>
      </c>
      <c r="O6" s="11">
        <v>3</v>
      </c>
      <c r="P6" s="11">
        <v>7</v>
      </c>
      <c r="Q6" s="11">
        <v>4</v>
      </c>
      <c r="R6" s="11">
        <v>5</v>
      </c>
      <c r="S6" s="11">
        <v>3</v>
      </c>
      <c r="T6" s="11">
        <v>4</v>
      </c>
      <c r="U6" s="11">
        <v>7</v>
      </c>
      <c r="V6" s="11">
        <v>10</v>
      </c>
      <c r="W6" s="11">
        <v>2</v>
      </c>
      <c r="X6" s="11">
        <v>3</v>
      </c>
      <c r="Y6" s="11">
        <v>5</v>
      </c>
      <c r="Z6" s="11">
        <v>7</v>
      </c>
      <c r="AA6" s="11">
        <v>4</v>
      </c>
      <c r="AB6" s="11">
        <v>6</v>
      </c>
      <c r="AC6" s="11">
        <v>0</v>
      </c>
      <c r="AD6" s="12"/>
      <c r="AE6" s="13">
        <f t="shared" si="0"/>
        <v>4.2631578947368425</v>
      </c>
      <c r="AF6" s="14">
        <f t="shared" si="1"/>
        <v>5.7368421052631575</v>
      </c>
      <c r="AG6" s="14">
        <f t="shared" si="2"/>
        <v>4.6500000000000004</v>
      </c>
      <c r="AH6" s="14">
        <f t="shared" si="3"/>
        <v>5.35</v>
      </c>
      <c r="AI6" s="14">
        <f t="shared" si="4"/>
        <v>4.6315789473684212</v>
      </c>
      <c r="AJ6" s="14">
        <f t="shared" si="5"/>
        <v>5.3684210526315788</v>
      </c>
      <c r="AK6" s="15" t="str">
        <f t="shared" si="6"/>
        <v>Liberal:</v>
      </c>
      <c r="AL6" s="16">
        <f t="shared" si="7"/>
        <v>5.7368421052631575</v>
      </c>
      <c r="AM6" s="17" t="str">
        <f t="shared" si="8"/>
        <v>Liberal:</v>
      </c>
      <c r="AN6" s="16">
        <f t="shared" si="9"/>
        <v>5.35</v>
      </c>
      <c r="AO6" s="17" t="str">
        <f t="shared" si="10"/>
        <v>Authoritarian:</v>
      </c>
      <c r="AP6" s="16">
        <f t="shared" si="11"/>
        <v>5.3684210526315788</v>
      </c>
      <c r="AQ6" s="18" t="s">
        <v>67</v>
      </c>
      <c r="AR6" s="19">
        <f t="shared" si="12"/>
        <v>-1.47</v>
      </c>
      <c r="AS6" s="20" t="s">
        <v>67</v>
      </c>
      <c r="AT6" s="19">
        <f t="shared" si="13"/>
        <v>-0.7</v>
      </c>
      <c r="AU6" s="20" t="s">
        <v>67</v>
      </c>
      <c r="AV6" s="19">
        <f t="shared" ref="AV6:AV14" si="19">ROUND(IF(AI6 &gt; 5, (AI6*2)-10, (-AJ6*2)+10), 2)</f>
        <v>-0.74</v>
      </c>
      <c r="AW6" s="21"/>
      <c r="AX6" s="22">
        <f ca="1">IFERROR(__xludf.DUMMYFUNCTION("QUERY('Copy of PoliticalData'!AR$3:AR$55,""select AR where AR &gt; ""&amp;AR6&amp;"" order by AR limit 1"",0)"),-0.44)</f>
        <v>-0.44</v>
      </c>
      <c r="AY6" s="22">
        <f ca="1">IFERROR(__xludf.DUMMYFUNCTION("QUERY('Copy of PoliticalData'!AR$3:AR$55,""select AR where AR &lt; ""&amp;AR6&amp;"" order by AR desc limit 1"",0)"),-2.53)</f>
        <v>-2.5299999999999998</v>
      </c>
      <c r="AZ6" s="23" t="str">
        <f ca="1">IFERROR(__xludf.DUMMYFUNCTION("IF((ABS(AR6-QUERY('Copy of PoliticalData'!AR$3:AR$55,""select AR where AR &gt; ""&amp;AR6&amp;"" order by AR limit 1"",0))) &gt; ABS(AR6-QUERY('Copy of PoliticalData'!AR$3:AR$55,""select AR where AR &lt; ""&amp;AR6&amp;"" order by AR desc limit 1"",0)), QUERY('Copy of PoliticalDa"&amp;"ta'!AQ$3:AR$55,""select AQ where AR = ""&amp;AY6&amp;"""",0), QUERY('Copy of PoliticalData'!AQ$3:AR$55,""select AQ where AR = ""&amp;AX6&amp;"""",0))"),"greg.schneider@tcstudents.org")</f>
        <v>greg.schneider@tcstudents.org</v>
      </c>
      <c r="BA6" s="24">
        <f ca="1">IFERROR(__xludf.DUMMYFUNCTION("QUERY('Copy of PoliticalData'!AT$3:AT$34,""select AT where AT &gt; ""&amp;AT6&amp;"" order by AT limit 1"",0)"),-0.5)</f>
        <v>-0.5</v>
      </c>
      <c r="BB6" s="24">
        <f ca="1">IFERROR(__xludf.DUMMYFUNCTION("QUERY('Copy of PoliticalData'!AT$3:AT$50,""select AT where AT &lt; ""&amp;AT6&amp;"" order by AT desc limit 1"",0)"),-1.39)</f>
        <v>-1.39</v>
      </c>
      <c r="BC6" s="25" t="str">
        <f ca="1">IFERROR(__xludf.DUMMYFUNCTION("IF((ABS(AT6-QUERY('Copy of PoliticalData'!AT$3:AT$55,""select AT where AT &gt; ""&amp;AT6&amp;"" order by AT limit 1"",0))) &gt; ABS(AT6-QUERY('Copy of PoliticalData'!AT$3:AT$55,""select AT where AT &lt; ""&amp;AT6&amp;"" order by AT desc limit 1"",0)), QUERY('Copy of PoliticalDa"&amp;"ta'!AS$3:AT$55,""select AS where AT = ""&amp;BB6&amp;"""",0), QUERY('Copy of PoliticalData'!AS$3:AT$55,""select AS where AT = ""&amp;BA6&amp;"""",0))"),"dylan.yagod-ramm@tcstudents.org")</f>
        <v>dylan.yagod-ramm@tcstudents.org</v>
      </c>
      <c r="BD6" s="24">
        <f ca="1">IFERROR(__xludf.DUMMYFUNCTION("QUERY('Copy of PoliticalData'!AV$3:AV$34,""select AV where AV &gt; ""&amp;AV6&amp;"" order by AV limit 1"",0)"),-0.53)</f>
        <v>-0.53</v>
      </c>
      <c r="BE6" s="24">
        <f ca="1">IFERROR(__xludf.DUMMYFUNCTION("QUERY('Copy of PoliticalData'!AV$3:AV$50,""select AV where AV &lt; ""&amp;AV6&amp;"" order by AV desc limit 1"",0)"),-0.84)</f>
        <v>-0.84</v>
      </c>
      <c r="BF6" s="26" t="str">
        <f ca="1">IFERROR(__xludf.DUMMYFUNCTION("IF((ABS(AV6-QUERY('Copy of PoliticalData'!AV$3:AV$55,""select AV where AV &gt; ""&amp;AV6&amp;"" order by AV limit 1"",0))) &gt; ABS(AV6-QUERY('Copy of PoliticalData'!AV$3:AV$55,""select AV where AV &lt; ""&amp;AV6&amp;"" order by AV desc limit 1"",0)), QUERY('Copy of PoliticalDa"&amp;"ta'!AU$3:AV$55,""select AU where AV = ""&amp;BE6&amp;"""",0), QUERY('Copy of PoliticalData'!AU$3:AV$55,""select AU where AV = ""&amp;BD6&amp;"""",0))"),"dylan.yagod-ramm@tcstudents.org")</f>
        <v>dylan.yagod-ramm@tcstudents.org</v>
      </c>
      <c r="BG6" s="19">
        <f>AVERAGE(AT3:AT77)</f>
        <v>1.5096875000000001</v>
      </c>
      <c r="BH6" s="24" t="e">
        <f t="shared" ca="1" si="14"/>
        <v>#NAME?</v>
      </c>
      <c r="BI6" s="19" t="str">
        <f t="shared" si="15"/>
        <v>No</v>
      </c>
      <c r="BJ6" s="19" t="str">
        <f t="shared" si="16"/>
        <v>No</v>
      </c>
      <c r="BK6" s="19" t="str">
        <f t="shared" si="17"/>
        <v>No</v>
      </c>
      <c r="BL6" s="19" t="str">
        <f t="shared" si="18"/>
        <v>No</v>
      </c>
      <c r="BM6" s="28"/>
    </row>
    <row r="7" spans="1:65" ht="15.75" customHeight="1" x14ac:dyDescent="0.35">
      <c r="A7" s="10">
        <v>44250.840858993055</v>
      </c>
      <c r="B7" s="11">
        <v>4</v>
      </c>
      <c r="C7" s="11">
        <v>3</v>
      </c>
      <c r="D7" s="11">
        <v>1</v>
      </c>
      <c r="E7" s="11">
        <v>2</v>
      </c>
      <c r="F7" s="11">
        <v>1</v>
      </c>
      <c r="G7" s="11">
        <v>3</v>
      </c>
      <c r="H7" s="11">
        <v>3</v>
      </c>
      <c r="I7" s="11">
        <v>0</v>
      </c>
      <c r="J7" s="11">
        <v>3</v>
      </c>
      <c r="K7" s="11">
        <v>4</v>
      </c>
      <c r="L7" s="11">
        <v>0</v>
      </c>
      <c r="M7" s="11">
        <v>9</v>
      </c>
      <c r="N7" s="11">
        <v>6</v>
      </c>
      <c r="O7" s="11">
        <v>1</v>
      </c>
      <c r="P7" s="11">
        <v>7</v>
      </c>
      <c r="Q7" s="11">
        <v>7</v>
      </c>
      <c r="R7" s="11">
        <v>2</v>
      </c>
      <c r="S7" s="11">
        <v>3</v>
      </c>
      <c r="T7" s="11">
        <v>3</v>
      </c>
      <c r="U7" s="11">
        <v>7</v>
      </c>
      <c r="V7" s="11">
        <v>6</v>
      </c>
      <c r="W7" s="11">
        <v>2</v>
      </c>
      <c r="X7" s="11">
        <v>4</v>
      </c>
      <c r="Y7" s="11">
        <v>2</v>
      </c>
      <c r="Z7" s="11">
        <v>8</v>
      </c>
      <c r="AA7" s="11">
        <v>2</v>
      </c>
      <c r="AB7" s="11">
        <v>2</v>
      </c>
      <c r="AC7" s="11">
        <v>1</v>
      </c>
      <c r="AD7" s="12"/>
      <c r="AE7" s="13">
        <f t="shared" si="0"/>
        <v>2.736842105263158</v>
      </c>
      <c r="AF7" s="14">
        <f t="shared" si="1"/>
        <v>7.2631578947368425</v>
      </c>
      <c r="AG7" s="14">
        <f t="shared" si="2"/>
        <v>3.45</v>
      </c>
      <c r="AH7" s="14">
        <f t="shared" si="3"/>
        <v>6.55</v>
      </c>
      <c r="AI7" s="14">
        <f t="shared" si="4"/>
        <v>3.4736842105263159</v>
      </c>
      <c r="AJ7" s="14">
        <f t="shared" si="5"/>
        <v>6.5263157894736841</v>
      </c>
      <c r="AK7" s="15" t="str">
        <f t="shared" si="6"/>
        <v>Liberal:</v>
      </c>
      <c r="AL7" s="16">
        <f t="shared" si="7"/>
        <v>7.2631578947368425</v>
      </c>
      <c r="AM7" s="17" t="str">
        <f t="shared" si="8"/>
        <v>Liberal:</v>
      </c>
      <c r="AN7" s="16">
        <f t="shared" si="9"/>
        <v>6.55</v>
      </c>
      <c r="AO7" s="17" t="str">
        <f t="shared" si="10"/>
        <v>Authoritarian:</v>
      </c>
      <c r="AP7" s="16">
        <f t="shared" si="11"/>
        <v>6.5263157894736841</v>
      </c>
      <c r="AQ7" s="18" t="s">
        <v>68</v>
      </c>
      <c r="AR7" s="19">
        <f t="shared" si="12"/>
        <v>-4.53</v>
      </c>
      <c r="AS7" s="20" t="s">
        <v>68</v>
      </c>
      <c r="AT7" s="19">
        <f t="shared" si="13"/>
        <v>-3.1</v>
      </c>
      <c r="AU7" s="20" t="s">
        <v>68</v>
      </c>
      <c r="AV7" s="19">
        <f t="shared" si="19"/>
        <v>-3.05</v>
      </c>
      <c r="AW7" s="21"/>
      <c r="AX7" s="22">
        <f ca="1">IFERROR(__xludf.DUMMYFUNCTION("QUERY('Copy of PoliticalData'!AR$3:AR$55,""select AR where AR &gt; ""&amp;AR7&amp;"" order by AR limit 1"",0)"),-4.51)</f>
        <v>-4.51</v>
      </c>
      <c r="AY7" s="22">
        <f ca="1">IFERROR(__xludf.DUMMYFUNCTION("QUERY('Copy of PoliticalData'!AR$3:AR$55,""select AR where AR &lt; ""&amp;AR7&amp;"" order by AR desc limit 1"",0)"),-4.72)</f>
        <v>-4.72</v>
      </c>
      <c r="AZ7" s="23" t="str">
        <f ca="1">IFERROR(__xludf.DUMMYFUNCTION("IF((ABS(AR7-QUERY('Copy of PoliticalData'!AR$3:AR$55,""select AR where AR &gt; ""&amp;AR7&amp;"" order by AR limit 1"",0))) &gt; ABS(AR7-QUERY('Copy of PoliticalData'!AR$3:AR$55,""select AR where AR &lt; ""&amp;AR7&amp;"" order by AR desc limit 1"",0)), QUERY('Copy of PoliticalDa"&amp;"ta'!AQ$3:AR$55,""select AQ where AR = ""&amp;AY7&amp;"""",0), QUERY('Copy of PoliticalData'!AQ$3:AR$55,""select AQ where AR = ""&amp;AX7&amp;"""",0))"),"zimri.prutschi@tcstudents.org")</f>
        <v>zimri.prutschi@tcstudents.org</v>
      </c>
      <c r="BA7" s="24">
        <f ca="1">IFERROR(__xludf.DUMMYFUNCTION("QUERY('Copy of PoliticalData'!AT$3:AT$34,""select AT where AT &gt; ""&amp;AT7&amp;"" order by AT limit 1"",0)"),-2.3)</f>
        <v>-2.2999999999999998</v>
      </c>
      <c r="BB7" s="24">
        <f ca="1">IFERROR(__xludf.DUMMYFUNCTION("QUERY('Copy of PoliticalData'!AT$3:AT$50,""select AT where AT &lt; ""&amp;AT7&amp;"" order by AT desc limit 1"",0)"),-3.2)</f>
        <v>-3.2</v>
      </c>
      <c r="BC7" s="25" t="str">
        <f ca="1">IFERROR(__xludf.DUMMYFUNCTION("IF((ABS(AT7-QUERY('Copy of PoliticalData'!AT$3:AT$55,""select AT where AT &gt; ""&amp;AT7&amp;"" order by AT limit 1"",0))) &gt; ABS(AT7-QUERY('Copy of PoliticalData'!AT$3:AT$55,""select AT where AT &lt; ""&amp;AT7&amp;"" order by AT desc limit 1"",0)), QUERY('Copy of PoliticalDa"&amp;"ta'!AS$3:AT$55,""select AS where AT = ""&amp;BB7&amp;"""",0), QUERY('Copy of PoliticalData'!AS$3:AT$55,""select AS where AT = ""&amp;BA7&amp;"""",0))"),"nate.manis@tcstudents.org")</f>
        <v>nate.manis@tcstudents.org</v>
      </c>
      <c r="BD7" s="24">
        <f ca="1">IFERROR(__xludf.DUMMYFUNCTION("QUERY('Copy of PoliticalData'!AV$3:AV$34,""select AV where AV &gt; ""&amp;AV7&amp;"" order by AV limit 1"",0)"),-3.04)</f>
        <v>-3.04</v>
      </c>
      <c r="BE7" s="24">
        <f ca="1">IFERROR(__xludf.DUMMYFUNCTION("QUERY('Copy of PoliticalData'!AV$3:AV$50,""select AV where AV &lt; ""&amp;AV7&amp;"" order by AV desc limit 1"",0)"),-3.79)</f>
        <v>-3.79</v>
      </c>
      <c r="BF7" s="26" t="str">
        <f ca="1">IFERROR(__xludf.DUMMYFUNCTION("IF((ABS(AV7-QUERY('Copy of PoliticalData'!AV$3:AV$55,""select AV where AV &gt; ""&amp;AV7&amp;"" order by AV limit 1"",0))) &gt; ABS(AV7-QUERY('Copy of PoliticalData'!AV$3:AV$55,""select AV where AV &lt; ""&amp;AV7&amp;"" order by AV desc limit 1"",0)), QUERY('Copy of PoliticalDa"&amp;"ta'!AU$3:AV$55,""select AU where AV = ""&amp;BE7&amp;"""",0), QUERY('Copy of PoliticalData'!AU$3:AV$55,""select AU where AV = ""&amp;BD7&amp;"""",0))"),"zimri.prutschi@tcstudents.org")</f>
        <v>zimri.prutschi@tcstudents.org</v>
      </c>
      <c r="BG7" s="27" t="s">
        <v>69</v>
      </c>
      <c r="BH7" s="24" t="e">
        <f t="shared" ca="1" si="14"/>
        <v>#NAME?</v>
      </c>
      <c r="BI7" s="19" t="str">
        <f t="shared" si="15"/>
        <v>No</v>
      </c>
      <c r="BJ7" s="19" t="str">
        <f t="shared" si="16"/>
        <v>Yes</v>
      </c>
      <c r="BK7" s="19" t="str">
        <f t="shared" si="17"/>
        <v>No</v>
      </c>
      <c r="BL7" s="19" t="str">
        <f t="shared" si="18"/>
        <v>No</v>
      </c>
      <c r="BM7" s="28"/>
    </row>
    <row r="8" spans="1:65" ht="15.75" customHeight="1" x14ac:dyDescent="0.35">
      <c r="A8" s="10">
        <v>44250.840997905092</v>
      </c>
      <c r="B8" s="11">
        <v>2</v>
      </c>
      <c r="C8" s="11">
        <v>7</v>
      </c>
      <c r="D8" s="11">
        <v>2</v>
      </c>
      <c r="E8" s="11">
        <v>1</v>
      </c>
      <c r="F8" s="11">
        <v>3</v>
      </c>
      <c r="G8" s="11">
        <v>6</v>
      </c>
      <c r="H8" s="11">
        <v>5</v>
      </c>
      <c r="I8" s="11">
        <v>0</v>
      </c>
      <c r="J8" s="11">
        <v>4</v>
      </c>
      <c r="K8" s="11">
        <v>8</v>
      </c>
      <c r="L8" s="11">
        <v>0</v>
      </c>
      <c r="M8" s="11">
        <v>7</v>
      </c>
      <c r="N8" s="11">
        <v>6</v>
      </c>
      <c r="O8" s="11">
        <v>8</v>
      </c>
      <c r="P8" s="11">
        <v>7</v>
      </c>
      <c r="Q8" s="11">
        <v>6</v>
      </c>
      <c r="R8" s="11">
        <v>1</v>
      </c>
      <c r="S8" s="11">
        <v>3</v>
      </c>
      <c r="T8" s="11">
        <v>3</v>
      </c>
      <c r="U8" s="11">
        <v>7</v>
      </c>
      <c r="V8" s="11">
        <v>8</v>
      </c>
      <c r="W8" s="11">
        <v>0</v>
      </c>
      <c r="X8" s="11">
        <v>3</v>
      </c>
      <c r="Y8" s="11">
        <v>3</v>
      </c>
      <c r="Z8" s="11">
        <v>3</v>
      </c>
      <c r="AA8" s="11">
        <v>2</v>
      </c>
      <c r="AB8" s="11">
        <v>1</v>
      </c>
      <c r="AC8" s="11">
        <v>0</v>
      </c>
      <c r="AD8" s="12"/>
      <c r="AE8" s="13">
        <f t="shared" si="0"/>
        <v>3.4736842105263159</v>
      </c>
      <c r="AF8" s="14">
        <f t="shared" si="1"/>
        <v>6.5263157894736841</v>
      </c>
      <c r="AG8" s="14">
        <f t="shared" si="2"/>
        <v>3.85</v>
      </c>
      <c r="AH8" s="14">
        <f t="shared" si="3"/>
        <v>6.15</v>
      </c>
      <c r="AI8" s="14">
        <f t="shared" si="4"/>
        <v>4.1052631578947372</v>
      </c>
      <c r="AJ8" s="14">
        <f t="shared" si="5"/>
        <v>5.8947368421052628</v>
      </c>
      <c r="AK8" s="15" t="str">
        <f t="shared" si="6"/>
        <v>Liberal:</v>
      </c>
      <c r="AL8" s="16">
        <f t="shared" si="7"/>
        <v>6.5263157894736841</v>
      </c>
      <c r="AM8" s="17" t="str">
        <f t="shared" si="8"/>
        <v>Liberal:</v>
      </c>
      <c r="AN8" s="16">
        <f t="shared" si="9"/>
        <v>6.15</v>
      </c>
      <c r="AO8" s="17" t="str">
        <f t="shared" si="10"/>
        <v>Authoritarian:</v>
      </c>
      <c r="AP8" s="16">
        <f t="shared" si="11"/>
        <v>5.8947368421052628</v>
      </c>
      <c r="AQ8" s="18" t="s">
        <v>70</v>
      </c>
      <c r="AR8" s="19">
        <f t="shared" si="12"/>
        <v>-3.05</v>
      </c>
      <c r="AS8" s="20" t="s">
        <v>70</v>
      </c>
      <c r="AT8" s="19">
        <f t="shared" si="13"/>
        <v>-2.2999999999999998</v>
      </c>
      <c r="AU8" s="20" t="s">
        <v>70</v>
      </c>
      <c r="AV8" s="19">
        <f t="shared" si="19"/>
        <v>-1.79</v>
      </c>
      <c r="AW8" s="21"/>
      <c r="AX8" s="22">
        <f ca="1">IFERROR(__xludf.DUMMYFUNCTION("QUERY('Copy of PoliticalData'!AR$3:AR$55,""select AR where AR &gt; ""&amp;AR8&amp;"" order by AR limit 1"",0)"),-2.74)</f>
        <v>-2.74</v>
      </c>
      <c r="AY8" s="22">
        <f ca="1">IFERROR(__xludf.DUMMYFUNCTION("QUERY('Copy of PoliticalData'!AR$3:AR$55,""select AR where AR &lt; ""&amp;AR8&amp;"" order by AR desc limit 1"",0)"),-3.16)</f>
        <v>-3.16</v>
      </c>
      <c r="AZ8" s="23" t="str">
        <f ca="1">IFERROR(__xludf.DUMMYFUNCTION("IF((ABS(AR8-QUERY('Copy of PoliticalData'!AR$3:AR$55,""select AR where AR &gt; ""&amp;AR8&amp;"" order by AR limit 1"",0))) &gt; ABS(AR8-QUERY('Copy of PoliticalData'!AR$3:AR$55,""select AR where AR &lt; ""&amp;AR8&amp;"" order by AR desc limit 1"",0)), QUERY('Copy of PoliticalDa"&amp;"ta'!AQ$3:AR$55,""select AQ where AR = ""&amp;AY8&amp;"""",0), QUERY('Copy of PoliticalData'!AQ$3:AR$55,""select AQ where AR = ""&amp;AX8&amp;"""",0))"),"avi.tabibian@tcstudents.org")</f>
        <v>avi.tabibian@tcstudents.org</v>
      </c>
      <c r="BA8" s="24">
        <f ca="1">IFERROR(__xludf.DUMMYFUNCTION("QUERY('Copy of PoliticalData'!AT$3:AT$34,""select AT where AT &gt; ""&amp;AT8&amp;"" order by AT limit 1"",0)"),-2.2)</f>
        <v>-2.2000000000000002</v>
      </c>
      <c r="BB8" s="24">
        <f ca="1">IFERROR(__xludf.DUMMYFUNCTION("QUERY('Copy of PoliticalData'!AT$3:AT$50,""select AT where AT &lt; ""&amp;AT8&amp;"" order by AT desc limit 1"",0)"),-3.1)</f>
        <v>-3.1</v>
      </c>
      <c r="BC8" s="25" t="str">
        <f ca="1">IFERROR(__xludf.DUMMYFUNCTION("IF((ABS(AT8-QUERY('Copy of PoliticalData'!AT$3:AT$55,""select AT where AT &gt; ""&amp;AT8&amp;"" order by AT limit 1"",0))) &gt; ABS(AT8-QUERY('Copy of PoliticalData'!AT$3:AT$55,""select AT where AT &lt; ""&amp;AT8&amp;"" order by AT desc limit 1"",0)), QUERY('Copy of PoliticalDa"&amp;"ta'!AS$3:AT$55,""select AS where AT = ""&amp;BB8&amp;"""",0), QUERY('Copy of PoliticalData'!AS$3:AT$55,""select AS where AT = ""&amp;BA8&amp;"""",0))"),"elnatan.kelman@tcstudents.org")</f>
        <v>elnatan.kelman@tcstudents.org</v>
      </c>
      <c r="BD8" s="24">
        <f ca="1">IFERROR(__xludf.DUMMYFUNCTION("QUERY('Copy of PoliticalData'!AV$3:AV$34,""select AV where AV &gt; ""&amp;AV8&amp;"" order by AV limit 1"",0)"),-1.67)</f>
        <v>-1.67</v>
      </c>
      <c r="BE8" s="24">
        <f ca="1">IFERROR(__xludf.DUMMYFUNCTION("QUERY('Copy of PoliticalData'!AV$3:AV$50,""select AV where AV &lt; ""&amp;AV8&amp;"" order by AV desc limit 1"",0)"),-1.88)</f>
        <v>-1.88</v>
      </c>
      <c r="BF8" s="26" t="str">
        <f ca="1">IFERROR(__xludf.DUMMYFUNCTION("IF((ABS(AV8-QUERY('Copy of PoliticalData'!AV$3:AV$55,""select AV where AV &gt; ""&amp;AV8&amp;"" order by AV limit 1"",0))) &gt; ABS(AV8-QUERY('Copy of PoliticalData'!AV$3:AV$55,""select AV where AV &lt; ""&amp;AV8&amp;"" order by AV desc limit 1"",0)), QUERY('Copy of PoliticalDa"&amp;"ta'!AU$3:AV$55,""select AU where AV = ""&amp;BE8&amp;"""",0), QUERY('Copy of PoliticalData'!AU$3:AV$55,""select AU where AV = ""&amp;BD8&amp;"""",0))"),"noah.shaffir@tcstudents.org")</f>
        <v>noah.shaffir@tcstudents.org</v>
      </c>
      <c r="BG8" s="19">
        <f>AVERAGE(AV3:AV81)</f>
        <v>1.471875</v>
      </c>
      <c r="BH8" s="24" t="e">
        <f t="shared" ca="1" si="14"/>
        <v>#NAME?</v>
      </c>
      <c r="BI8" s="19" t="str">
        <f t="shared" si="15"/>
        <v>No</v>
      </c>
      <c r="BJ8" s="19" t="str">
        <f t="shared" si="16"/>
        <v>Yes</v>
      </c>
      <c r="BK8" s="19" t="str">
        <f t="shared" si="17"/>
        <v>No</v>
      </c>
      <c r="BL8" s="19" t="str">
        <f t="shared" si="18"/>
        <v>No</v>
      </c>
      <c r="BM8" s="28"/>
    </row>
    <row r="9" spans="1:65" ht="15.75" customHeight="1" x14ac:dyDescent="0.35">
      <c r="A9" s="10">
        <v>44250.841887337963</v>
      </c>
      <c r="B9" s="11">
        <v>7</v>
      </c>
      <c r="C9" s="11">
        <v>6</v>
      </c>
      <c r="D9" s="11">
        <v>4</v>
      </c>
      <c r="E9" s="11">
        <v>7</v>
      </c>
      <c r="F9" s="11">
        <v>2</v>
      </c>
      <c r="G9" s="11">
        <v>7</v>
      </c>
      <c r="H9" s="11">
        <v>7</v>
      </c>
      <c r="I9" s="11">
        <v>3</v>
      </c>
      <c r="J9" s="11">
        <v>7</v>
      </c>
      <c r="K9" s="11">
        <v>10</v>
      </c>
      <c r="L9" s="11">
        <v>0</v>
      </c>
      <c r="M9" s="11">
        <v>9</v>
      </c>
      <c r="N9" s="11">
        <v>5</v>
      </c>
      <c r="O9" s="11">
        <v>3</v>
      </c>
      <c r="P9" s="11">
        <v>5</v>
      </c>
      <c r="Q9" s="11">
        <v>4</v>
      </c>
      <c r="R9" s="11">
        <v>5</v>
      </c>
      <c r="S9" s="11">
        <v>4</v>
      </c>
      <c r="T9" s="11">
        <v>8</v>
      </c>
      <c r="U9" s="11">
        <v>10</v>
      </c>
      <c r="V9" s="11">
        <v>10</v>
      </c>
      <c r="W9" s="11">
        <v>0</v>
      </c>
      <c r="X9" s="11">
        <v>4</v>
      </c>
      <c r="Y9" s="11">
        <v>7</v>
      </c>
      <c r="Z9" s="11">
        <v>10</v>
      </c>
      <c r="AA9" s="11">
        <v>7</v>
      </c>
      <c r="AB9" s="11">
        <v>8</v>
      </c>
      <c r="AC9" s="11">
        <v>0</v>
      </c>
      <c r="AD9" s="12"/>
      <c r="AE9" s="13">
        <f t="shared" si="0"/>
        <v>5.7894736842105265</v>
      </c>
      <c r="AF9" s="14">
        <f t="shared" si="1"/>
        <v>4.2105263157894735</v>
      </c>
      <c r="AG9" s="14">
        <f t="shared" si="2"/>
        <v>5.9</v>
      </c>
      <c r="AH9" s="14">
        <f t="shared" si="3"/>
        <v>4.0999999999999996</v>
      </c>
      <c r="AI9" s="14">
        <f t="shared" si="4"/>
        <v>5.6315789473684212</v>
      </c>
      <c r="AJ9" s="14">
        <f t="shared" si="5"/>
        <v>4.3684210526315788</v>
      </c>
      <c r="AK9" s="15" t="str">
        <f t="shared" si="6"/>
        <v>Conservative:</v>
      </c>
      <c r="AL9" s="16">
        <f t="shared" si="7"/>
        <v>5.7894736842105265</v>
      </c>
      <c r="AM9" s="17" t="str">
        <f t="shared" si="8"/>
        <v>Conservative:</v>
      </c>
      <c r="AN9" s="16">
        <f t="shared" si="9"/>
        <v>5.9</v>
      </c>
      <c r="AO9" s="17" t="str">
        <f t="shared" si="10"/>
        <v>Libertarian:</v>
      </c>
      <c r="AP9" s="16">
        <f t="shared" si="11"/>
        <v>5.6315789473684212</v>
      </c>
      <c r="AQ9" s="18" t="s">
        <v>71</v>
      </c>
      <c r="AR9" s="19">
        <f t="shared" si="12"/>
        <v>1.58</v>
      </c>
      <c r="AS9" s="20" t="s">
        <v>71</v>
      </c>
      <c r="AT9" s="19">
        <f t="shared" si="13"/>
        <v>1.8</v>
      </c>
      <c r="AU9" s="20" t="s">
        <v>71</v>
      </c>
      <c r="AV9" s="19">
        <f t="shared" si="19"/>
        <v>1.26</v>
      </c>
      <c r="AW9" s="21"/>
      <c r="AX9" s="22">
        <f ca="1">IFERROR(__xludf.DUMMYFUNCTION("QUERY('Copy of PoliticalData'!AR$3:AR$55,""select AR where AR &gt; ""&amp;AR9&amp;"" order by AR limit 1"",0)"),1.89)</f>
        <v>1.89</v>
      </c>
      <c r="AY9" s="22">
        <f ca="1">IFERROR(__xludf.DUMMYFUNCTION("QUERY('Copy of PoliticalData'!AR$3:AR$55,""select AR where AR &lt; ""&amp;AR9&amp;"" order by AR desc limit 1"",0)"),1.47)</f>
        <v>1.47</v>
      </c>
      <c r="AZ9" s="23" t="str">
        <f ca="1">IFERROR(__xludf.DUMMYFUNCTION("IF((ABS(AR9-QUERY('Copy of PoliticalData'!AR$3:AR$55,""select AR where AR &gt; ""&amp;AR9&amp;"" order by AR limit 1"",0))) &gt; ABS(AR9-QUERY('Copy of PoliticalData'!AR$3:AR$55,""select AR where AR &lt; ""&amp;AR9&amp;"" order by AR desc limit 1"",0)), QUERY('Copy of PoliticalDa"&amp;"ta'!AQ$3:AR$55,""select AQ where AR = ""&amp;AY9&amp;"""",0), QUERY('Copy of PoliticalData'!AQ$3:AR$55,""select AQ where AR = ""&amp;AX9&amp;"""",0))"),"jonathan.kagal@tcstudents.org")</f>
        <v>jonathan.kagal@tcstudents.org</v>
      </c>
      <c r="BA9" s="24">
        <f ca="1">IFERROR(__xludf.DUMMYFUNCTION("QUERY('Copy of PoliticalData'!AT$3:AT$34,""select AT where AT &gt; ""&amp;AT9&amp;"" order by AT limit 1"",0)"),2.2)</f>
        <v>2.2000000000000002</v>
      </c>
      <c r="BB9" s="24">
        <f ca="1">IFERROR(__xludf.DUMMYFUNCTION("QUERY('Copy of PoliticalData'!AT$3:AT$50,""select AT where AT &lt; ""&amp;AT9&amp;"" order by AT desc limit 1"",0)"),1.7)</f>
        <v>1.7</v>
      </c>
      <c r="BC9" s="25" t="str">
        <f ca="1">IFERROR(__xludf.DUMMYFUNCTION("IF((ABS(AT9-QUERY('Copy of PoliticalData'!AT$3:AT$55,""select AT where AT &gt; ""&amp;AT9&amp;"" order by AT limit 1"",0))) &gt; ABS(AT9-QUERY('Copy of PoliticalData'!AT$3:AT$55,""select AT where AT &lt; ""&amp;AT9&amp;"" order by AT desc limit 1"",0)), QUERY('Copy of PoliticalDa"&amp;"ta'!AS$3:AT$55,""select AS where AT = ""&amp;BB9&amp;"""",0), QUERY('Copy of PoliticalData'!AS$3:AT$55,""select AS where AT = ""&amp;BA9&amp;"""",0))"),"noah.goldschmied@tcstudents.org")</f>
        <v>noah.goldschmied@tcstudents.org</v>
      </c>
      <c r="BD9" s="24">
        <f ca="1">IFERROR(__xludf.DUMMYFUNCTION("QUERY('Copy of PoliticalData'!AV$3:AV$34,""select AV where AV &gt; ""&amp;AV9&amp;"" order by AV limit 1"",0)"),1.89)</f>
        <v>1.89</v>
      </c>
      <c r="BE9" s="24">
        <f ca="1">IFERROR(__xludf.DUMMYFUNCTION("QUERY('Copy of PoliticalData'!AV$3:AV$50,""select AV where AV &lt; ""&amp;AV9&amp;"" order by AV desc limit 1"",0)"),1.25)</f>
        <v>1.25</v>
      </c>
      <c r="BF9" s="26" t="str">
        <f ca="1">IFERROR(__xludf.DUMMYFUNCTION("IF((ABS(AV9-QUERY('Copy of PoliticalData'!AV$3:AV$55,""select AV where AV &gt; ""&amp;AV9&amp;"" order by AV limit 1"",0))) &gt; ABS(AV9-QUERY('Copy of PoliticalData'!AV$3:AV$55,""select AV where AV &lt; ""&amp;AV9&amp;"" order by AV desc limit 1"",0)), QUERY('Copy of PoliticalDa"&amp;"ta'!AU$3:AV$55,""select AU where AV = ""&amp;BE9&amp;"""",0), QUERY('Copy of PoliticalData'!AU$3:AV$55,""select AU where AV = ""&amp;BD9&amp;"""",0))"),"noah.goldschmied@tcstudents.org")</f>
        <v>noah.goldschmied@tcstudents.org</v>
      </c>
      <c r="BG9" s="27" t="s">
        <v>72</v>
      </c>
      <c r="BH9" s="24" t="e">
        <f t="shared" ca="1" si="14"/>
        <v>#NAME?</v>
      </c>
      <c r="BI9" s="19" t="str">
        <f t="shared" si="15"/>
        <v>No</v>
      </c>
      <c r="BJ9" s="19" t="str">
        <f t="shared" si="16"/>
        <v>No</v>
      </c>
      <c r="BK9" s="19" t="str">
        <f t="shared" si="17"/>
        <v>No</v>
      </c>
      <c r="BL9" s="19" t="str">
        <f t="shared" si="18"/>
        <v>No</v>
      </c>
      <c r="BM9" s="28"/>
    </row>
    <row r="10" spans="1:65" ht="15.75" customHeight="1" x14ac:dyDescent="0.35">
      <c r="A10" s="10">
        <v>44250.843479085648</v>
      </c>
      <c r="B10" s="11">
        <v>5</v>
      </c>
      <c r="C10" s="11">
        <v>3</v>
      </c>
      <c r="D10" s="11">
        <v>3</v>
      </c>
      <c r="E10" s="11">
        <v>4</v>
      </c>
      <c r="F10" s="11">
        <v>3</v>
      </c>
      <c r="G10" s="11">
        <v>5</v>
      </c>
      <c r="H10" s="11">
        <v>2</v>
      </c>
      <c r="I10" s="11">
        <v>0</v>
      </c>
      <c r="J10" s="11">
        <v>3</v>
      </c>
      <c r="K10" s="11">
        <v>5</v>
      </c>
      <c r="L10" s="11">
        <v>2</v>
      </c>
      <c r="M10" s="11">
        <v>6</v>
      </c>
      <c r="N10" s="11">
        <v>8</v>
      </c>
      <c r="O10" s="11">
        <v>3</v>
      </c>
      <c r="P10" s="11">
        <v>7</v>
      </c>
      <c r="Q10" s="11">
        <v>8</v>
      </c>
      <c r="R10" s="11">
        <v>3</v>
      </c>
      <c r="S10" s="11">
        <v>8</v>
      </c>
      <c r="T10" s="11">
        <v>3</v>
      </c>
      <c r="U10" s="11">
        <v>9</v>
      </c>
      <c r="V10" s="11">
        <v>8</v>
      </c>
      <c r="W10" s="11">
        <v>6</v>
      </c>
      <c r="X10" s="11">
        <v>4</v>
      </c>
      <c r="Y10" s="11">
        <v>2</v>
      </c>
      <c r="Z10" s="11">
        <v>3</v>
      </c>
      <c r="AA10" s="11">
        <v>7</v>
      </c>
      <c r="AB10" s="11">
        <v>2</v>
      </c>
      <c r="AC10" s="11">
        <v>0</v>
      </c>
      <c r="AD10" s="12"/>
      <c r="AE10" s="13">
        <f t="shared" si="0"/>
        <v>3.736842105263158</v>
      </c>
      <c r="AF10" s="14">
        <f t="shared" si="1"/>
        <v>6.2631578947368425</v>
      </c>
      <c r="AG10" s="14">
        <f t="shared" si="2"/>
        <v>4.75</v>
      </c>
      <c r="AH10" s="14">
        <f t="shared" si="3"/>
        <v>5.25</v>
      </c>
      <c r="AI10" s="14">
        <f t="shared" si="4"/>
        <v>4.5789473684210522</v>
      </c>
      <c r="AJ10" s="14">
        <f t="shared" si="5"/>
        <v>5.4210526315789478</v>
      </c>
      <c r="AK10" s="15" t="str">
        <f t="shared" si="6"/>
        <v>Liberal:</v>
      </c>
      <c r="AL10" s="16">
        <f t="shared" si="7"/>
        <v>6.2631578947368425</v>
      </c>
      <c r="AM10" s="17" t="str">
        <f t="shared" si="8"/>
        <v>Liberal:</v>
      </c>
      <c r="AN10" s="16">
        <f t="shared" si="9"/>
        <v>5.25</v>
      </c>
      <c r="AO10" s="17" t="str">
        <f t="shared" si="10"/>
        <v>Authoritarian:</v>
      </c>
      <c r="AP10" s="16">
        <f t="shared" si="11"/>
        <v>5.4210526315789478</v>
      </c>
      <c r="AQ10" s="18" t="s">
        <v>73</v>
      </c>
      <c r="AR10" s="19">
        <f t="shared" si="12"/>
        <v>-2.5299999999999998</v>
      </c>
      <c r="AS10" s="20" t="s">
        <v>73</v>
      </c>
      <c r="AT10" s="19">
        <f t="shared" si="13"/>
        <v>-0.5</v>
      </c>
      <c r="AU10" s="20" t="s">
        <v>73</v>
      </c>
      <c r="AV10" s="19">
        <f t="shared" si="19"/>
        <v>-0.84</v>
      </c>
      <c r="AW10" s="21"/>
      <c r="AX10" s="22">
        <f ca="1">IFERROR(__xludf.DUMMYFUNCTION("QUERY('Copy of PoliticalData'!AR$3:AR$55,""select AR where AR &gt; ""&amp;AR10&amp;"" order by AR limit 1"",0)"),-1.47)</f>
        <v>-1.47</v>
      </c>
      <c r="AY10" s="22">
        <f ca="1">IFERROR(__xludf.DUMMYFUNCTION("QUERY('Copy of PoliticalData'!AR$3:AR$55,""select AR where AR &lt; ""&amp;AR10&amp;"" order by AR desc limit 1"",0)"),-2.74)</f>
        <v>-2.74</v>
      </c>
      <c r="AZ10" s="23" t="str">
        <f ca="1">IFERROR(__xludf.DUMMYFUNCTION("IF((ABS(AR10-QUERY('Copy of PoliticalData'!AR$3:AR$55,""select AR where AR &gt; ""&amp;AR10&amp;"" order by AR limit 1"",0))) &gt; ABS(AR10-QUERY('Copy of PoliticalData'!AR$3:AR$55,""select AR where AR &lt; ""&amp;AR10&amp;"" order by AR desc limit 1"",0)), QUERY('Copy of Politic"&amp;"alData'!AQ$3:AR$55,""select AQ where AR = ""&amp;AY10&amp;"""",0), QUERY('Copy of PoliticalData'!AQ$3:AR$55,""select AQ where AR = ""&amp;AX10&amp;"""",0))"),"azaria.kelman@tcstudents.org")</f>
        <v>azaria.kelman@tcstudents.org</v>
      </c>
      <c r="BA10" s="24">
        <f ca="1">IFERROR(__xludf.DUMMYFUNCTION("QUERY('Copy of PoliticalData'!AT$3:AT$34,""select AT where AT &gt; ""&amp;AT10&amp;"" order by AT limit 1"",0)"),1.26)</f>
        <v>1.26</v>
      </c>
      <c r="BB10" s="24">
        <f ca="1">IFERROR(__xludf.DUMMYFUNCTION("QUERY('Copy of PoliticalData'!AT$3:AT$50,""select AT where AT &lt; ""&amp;AT10&amp;"" order by AT desc limit 1"",0)"),-0.7)</f>
        <v>-0.7</v>
      </c>
      <c r="BC10" s="25" t="str">
        <f ca="1">IFERROR(__xludf.DUMMYFUNCTION("IF((ABS(AT10-QUERY('Copy of PoliticalData'!AT$3:AT$55,""select AT where AT &gt; ""&amp;AT10&amp;"" order by AT limit 1"",0))) &gt; ABS(AT10-QUERY('Copy of PoliticalData'!AT$3:AT$55,""select AT where AT &lt; ""&amp;AT10&amp;"" order by AT desc limit 1"",0)), QUERY('Copy of Politic"&amp;"alData'!AS$3:AT$55,""select AS where AT = ""&amp;BB10&amp;"""",0), QUERY('Copy of PoliticalData'!AS$3:AT$55,""select AS where AT = ""&amp;BA10&amp;"""",0))"),"tal.davis@tcstudents.org")</f>
        <v>tal.davis@tcstudents.org</v>
      </c>
      <c r="BD10" s="24">
        <f ca="1">IFERROR(__xludf.DUMMYFUNCTION("QUERY('Copy of PoliticalData'!AV$3:AV$34,""select AV where AV &gt; ""&amp;AV10&amp;"" order by AV limit 1"",0)"),-0.74)</f>
        <v>-0.74</v>
      </c>
      <c r="BE10" s="24">
        <f ca="1">IFERROR(__xludf.DUMMYFUNCTION("QUERY('Copy of PoliticalData'!AV$3:AV$50,""select AV where AV &lt; ""&amp;AV10&amp;"" order by AV desc limit 1"",0)"),-1.16)</f>
        <v>-1.1599999999999999</v>
      </c>
      <c r="BF10" s="26" t="str">
        <f ca="1">IFERROR(__xludf.DUMMYFUNCTION("IF((ABS(AV10-QUERY('Copy of PoliticalData'!AV$3:AV$55,""select AV where AV &gt; ""&amp;AV10&amp;"" order by AV limit 1"",0))) &gt; ABS(AV10-QUERY('Copy of PoliticalData'!AV$3:AV$55,""select AV where AV &lt; ""&amp;AV10&amp;"" order by AV desc limit 1"",0)), QUERY('Copy of Politic"&amp;"alData'!AU$3:AV$55,""select AU where AV = ""&amp;BE10&amp;"""",0), QUERY('Copy of PoliticalData'!AU$3:AV$55,""select AU where AV = ""&amp;BD10&amp;"""",0))"),"tal.davis@tcstudents.org")</f>
        <v>tal.davis@tcstudents.org</v>
      </c>
      <c r="BG10" s="19">
        <f>AVERAGE(AR3:AT79)</f>
        <v>1.1762500000000002</v>
      </c>
      <c r="BH10" s="24" t="e">
        <f t="shared" ca="1" si="14"/>
        <v>#NAME?</v>
      </c>
      <c r="BI10" s="19" t="str">
        <f t="shared" si="15"/>
        <v>No</v>
      </c>
      <c r="BJ10" s="19" t="str">
        <f t="shared" si="16"/>
        <v>Yes</v>
      </c>
      <c r="BK10" s="19" t="str">
        <f t="shared" si="17"/>
        <v>No</v>
      </c>
      <c r="BL10" s="19" t="str">
        <f t="shared" si="18"/>
        <v>No</v>
      </c>
      <c r="BM10" s="28"/>
    </row>
    <row r="11" spans="1:65" ht="15.75" customHeight="1" x14ac:dyDescent="0.35">
      <c r="A11" s="10">
        <v>44250.843718807868</v>
      </c>
      <c r="B11" s="11">
        <v>4</v>
      </c>
      <c r="C11" s="11">
        <v>5</v>
      </c>
      <c r="D11" s="11">
        <v>2</v>
      </c>
      <c r="E11" s="11">
        <v>1</v>
      </c>
      <c r="F11" s="11">
        <v>0</v>
      </c>
      <c r="G11" s="11">
        <v>8</v>
      </c>
      <c r="H11" s="11">
        <v>6</v>
      </c>
      <c r="I11" s="11">
        <v>0</v>
      </c>
      <c r="J11" s="11">
        <v>1</v>
      </c>
      <c r="K11" s="11">
        <v>7</v>
      </c>
      <c r="L11" s="11">
        <v>0</v>
      </c>
      <c r="M11" s="11">
        <v>9</v>
      </c>
      <c r="N11" s="11">
        <v>5</v>
      </c>
      <c r="O11" s="11">
        <v>1</v>
      </c>
      <c r="P11" s="11">
        <v>5</v>
      </c>
      <c r="Q11" s="11">
        <v>4</v>
      </c>
      <c r="R11" s="11">
        <v>5</v>
      </c>
      <c r="S11" s="11">
        <v>1</v>
      </c>
      <c r="T11" s="11">
        <v>3</v>
      </c>
      <c r="U11" s="11">
        <v>4</v>
      </c>
      <c r="V11" s="11">
        <v>5</v>
      </c>
      <c r="W11" s="11">
        <v>3</v>
      </c>
      <c r="X11" s="11">
        <v>3</v>
      </c>
      <c r="Y11" s="11">
        <v>4</v>
      </c>
      <c r="Z11" s="11">
        <v>5</v>
      </c>
      <c r="AA11" s="11">
        <v>5</v>
      </c>
      <c r="AB11" s="11">
        <v>2</v>
      </c>
      <c r="AC11" s="11">
        <v>0</v>
      </c>
      <c r="AD11" s="12"/>
      <c r="AE11" s="13">
        <f t="shared" si="0"/>
        <v>3.2105263157894739</v>
      </c>
      <c r="AF11" s="14">
        <f t="shared" si="1"/>
        <v>6.7894736842105257</v>
      </c>
      <c r="AG11" s="14">
        <f t="shared" si="2"/>
        <v>3.25</v>
      </c>
      <c r="AH11" s="14">
        <f t="shared" si="3"/>
        <v>6.75</v>
      </c>
      <c r="AI11" s="14">
        <f t="shared" si="4"/>
        <v>3.5789473684210527</v>
      </c>
      <c r="AJ11" s="14">
        <f t="shared" si="5"/>
        <v>6.4210526315789469</v>
      </c>
      <c r="AK11" s="15" t="str">
        <f t="shared" si="6"/>
        <v>Liberal:</v>
      </c>
      <c r="AL11" s="16">
        <f t="shared" si="7"/>
        <v>6.7894736842105257</v>
      </c>
      <c r="AM11" s="17" t="str">
        <f t="shared" si="8"/>
        <v>Liberal:</v>
      </c>
      <c r="AN11" s="16">
        <f t="shared" si="9"/>
        <v>6.75</v>
      </c>
      <c r="AO11" s="17" t="str">
        <f t="shared" si="10"/>
        <v>Authoritarian:</v>
      </c>
      <c r="AP11" s="16">
        <f t="shared" si="11"/>
        <v>6.4210526315789469</v>
      </c>
      <c r="AQ11" s="18" t="s">
        <v>74</v>
      </c>
      <c r="AR11" s="19">
        <f t="shared" si="12"/>
        <v>-3.58</v>
      </c>
      <c r="AS11" s="20" t="s">
        <v>74</v>
      </c>
      <c r="AT11" s="19">
        <f t="shared" si="13"/>
        <v>-3.5</v>
      </c>
      <c r="AU11" s="20" t="s">
        <v>74</v>
      </c>
      <c r="AV11" s="19">
        <f t="shared" si="19"/>
        <v>-2.84</v>
      </c>
      <c r="AW11" s="21"/>
      <c r="AX11" s="22">
        <f ca="1">IFERROR(__xludf.DUMMYFUNCTION("QUERY('Copy of PoliticalData'!AR$3:AR$55,""select AR where AR &gt; ""&amp;AR11&amp;"" order by AR limit 1"",0)"),-3.16)</f>
        <v>-3.16</v>
      </c>
      <c r="AY11" s="22">
        <f ca="1">IFERROR(__xludf.DUMMYFUNCTION("QUERY('Copy of PoliticalData'!AR$3:AR$55,""select AR where AR &lt; ""&amp;AR11&amp;"" order by AR desc limit 1"",0)"),-4.44)</f>
        <v>-4.4400000000000004</v>
      </c>
      <c r="AZ11" s="23" t="str">
        <f ca="1">IFERROR(__xludf.DUMMYFUNCTION("IF((ABS(AR11-QUERY('Copy of PoliticalData'!AR$3:AR$55,""select AR where AR &gt; ""&amp;AR11&amp;"" order by AR limit 1"",0))) &gt; ABS(AR11-QUERY('Copy of PoliticalData'!AR$3:AR$55,""select AR where AR &lt; ""&amp;AR11&amp;"" order by AR desc limit 1"",0)), QUERY('Copy of Politic"&amp;"alData'!AQ$3:AR$55,""select AQ where AR = ""&amp;AY11&amp;"""",0), QUERY('Copy of PoliticalData'!AQ$3:AR$55,""select AQ where AR = ""&amp;AX11&amp;"""",0))"),"avi.tabibian@tcstudents.org")</f>
        <v>avi.tabibian@tcstudents.org</v>
      </c>
      <c r="BA11" s="24">
        <f ca="1">IFERROR(__xludf.DUMMYFUNCTION("QUERY('Copy of PoliticalData'!AT$3:AT$34,""select AT where AT &gt; ""&amp;AT11&amp;"" order by AT limit 1"",0)"),-3.2)</f>
        <v>-3.2</v>
      </c>
      <c r="BB11" s="24">
        <f ca="1">IFERROR(__xludf.DUMMYFUNCTION("QUERY('Copy of PoliticalData'!AT$3:AT$50,""select AT where AT &lt; ""&amp;AT11&amp;"" order by AT desc limit 1"",0)"),-3.9)</f>
        <v>-3.9</v>
      </c>
      <c r="BC11" s="25" t="str">
        <f ca="1">IFERROR(__xludf.DUMMYFUNCTION("IF((ABS(AT11-QUERY('Copy of PoliticalData'!AT$3:AT$55,""select AT where AT &gt; ""&amp;AT11&amp;"" order by AT limit 1"",0))) &gt; ABS(AT11-QUERY('Copy of PoliticalData'!AT$3:AT$55,""select AT where AT &lt; ""&amp;AT11&amp;"" order by AT desc limit 1"",0)), QUERY('Copy of Politic"&amp;"alData'!AS$3:AT$55,""select AS where AT = ""&amp;BB11&amp;"""",0), QUERY('Copy of PoliticalData'!AS$3:AT$55,""select AS where AT = ""&amp;BA11&amp;"""",0))"),"nate.manis@tcstudents.org")</f>
        <v>nate.manis@tcstudents.org</v>
      </c>
      <c r="BD11" s="24">
        <f ca="1">IFERROR(__xludf.DUMMYFUNCTION("QUERY('Copy of PoliticalData'!AV$3:AV$34,""select AV where AV &gt; ""&amp;AV11&amp;"" order by AV limit 1"",0)"),-1.89)</f>
        <v>-1.89</v>
      </c>
      <c r="BE11" s="24">
        <f ca="1">IFERROR(__xludf.DUMMYFUNCTION("QUERY('Copy of PoliticalData'!AV$3:AV$50,""select AV where AV &lt; ""&amp;AV11&amp;"" order by AV desc limit 1"",0)"),-3.04)</f>
        <v>-3.04</v>
      </c>
      <c r="BF11" s="26" t="str">
        <f ca="1">IFERROR(__xludf.DUMMYFUNCTION("IF((ABS(AV11-QUERY('Copy of PoliticalData'!AV$3:AV$55,""select AV where AV &gt; ""&amp;AV11&amp;"" order by AV limit 1"",0))) &gt; ABS(AV11-QUERY('Copy of PoliticalData'!AV$3:AV$55,""select AV where AV &lt; ""&amp;AV11&amp;"" order by AV desc limit 1"",0)), QUERY('Copy of Politic"&amp;"alData'!AU$3:AV$55,""select AU where AV = ""&amp;BE11&amp;"""",0), QUERY('Copy of PoliticalData'!AU$3:AV$55,""select AU where AV = ""&amp;BD11&amp;"""",0))"),"zimri.prutschi@tcstudents.org")</f>
        <v>zimri.prutschi@tcstudents.org</v>
      </c>
      <c r="BG11" s="29" t="s">
        <v>75</v>
      </c>
      <c r="BH11" s="24" t="e">
        <f t="shared" ca="1" si="14"/>
        <v>#NAME?</v>
      </c>
      <c r="BI11" s="19" t="str">
        <f t="shared" si="15"/>
        <v>No</v>
      </c>
      <c r="BJ11" s="19" t="str">
        <f t="shared" si="16"/>
        <v>Yes</v>
      </c>
      <c r="BK11" s="19" t="str">
        <f t="shared" si="17"/>
        <v>No</v>
      </c>
      <c r="BL11" s="19" t="str">
        <f t="shared" si="18"/>
        <v>No</v>
      </c>
      <c r="BM11" s="28"/>
    </row>
    <row r="12" spans="1:65" ht="15.75" customHeight="1" x14ac:dyDescent="0.35">
      <c r="A12" s="10">
        <v>44250.844515914352</v>
      </c>
      <c r="B12" s="11">
        <v>7</v>
      </c>
      <c r="C12" s="11">
        <v>6</v>
      </c>
      <c r="D12" s="11">
        <v>7</v>
      </c>
      <c r="E12" s="11">
        <v>4</v>
      </c>
      <c r="F12" s="11">
        <v>7</v>
      </c>
      <c r="G12" s="11">
        <v>9</v>
      </c>
      <c r="H12" s="11">
        <v>3</v>
      </c>
      <c r="I12" s="11">
        <v>1</v>
      </c>
      <c r="J12" s="11">
        <v>7</v>
      </c>
      <c r="K12" s="11">
        <v>5</v>
      </c>
      <c r="L12" s="11">
        <v>2</v>
      </c>
      <c r="M12" s="11">
        <v>4</v>
      </c>
      <c r="N12" s="11">
        <v>9</v>
      </c>
      <c r="O12" s="11">
        <v>3</v>
      </c>
      <c r="P12" s="11">
        <v>10</v>
      </c>
      <c r="Q12" s="11">
        <v>8</v>
      </c>
      <c r="R12" s="11">
        <v>1</v>
      </c>
      <c r="S12" s="11">
        <v>6</v>
      </c>
      <c r="T12" s="11">
        <v>9</v>
      </c>
      <c r="U12" s="11">
        <v>8</v>
      </c>
      <c r="V12" s="11">
        <v>10</v>
      </c>
      <c r="W12" s="11">
        <v>2</v>
      </c>
      <c r="X12" s="11">
        <v>5</v>
      </c>
      <c r="Y12" s="11">
        <v>6</v>
      </c>
      <c r="Z12" s="11">
        <v>9</v>
      </c>
      <c r="AA12" s="11">
        <v>7</v>
      </c>
      <c r="AB12" s="11">
        <v>6</v>
      </c>
      <c r="AC12" s="11">
        <v>0</v>
      </c>
      <c r="AD12" s="12"/>
      <c r="AE12" s="13">
        <f t="shared" si="0"/>
        <v>5.7368421052631575</v>
      </c>
      <c r="AF12" s="14">
        <f t="shared" si="1"/>
        <v>4.2631578947368425</v>
      </c>
      <c r="AG12" s="14">
        <f t="shared" si="2"/>
        <v>6.1</v>
      </c>
      <c r="AH12" s="14">
        <f t="shared" si="3"/>
        <v>3.9000000000000004</v>
      </c>
      <c r="AI12" s="14">
        <f t="shared" si="4"/>
        <v>5.9473684210526319</v>
      </c>
      <c r="AJ12" s="14">
        <f t="shared" si="5"/>
        <v>4.0526315789473681</v>
      </c>
      <c r="AK12" s="15" t="str">
        <f t="shared" si="6"/>
        <v>Conservative:</v>
      </c>
      <c r="AL12" s="16">
        <f t="shared" si="7"/>
        <v>5.7368421052631575</v>
      </c>
      <c r="AM12" s="17" t="str">
        <f t="shared" si="8"/>
        <v>Conservative:</v>
      </c>
      <c r="AN12" s="16">
        <f t="shared" si="9"/>
        <v>6.1</v>
      </c>
      <c r="AO12" s="17" t="str">
        <f t="shared" si="10"/>
        <v>Libertarian:</v>
      </c>
      <c r="AP12" s="16">
        <f t="shared" si="11"/>
        <v>5.9473684210526319</v>
      </c>
      <c r="AQ12" s="18" t="s">
        <v>76</v>
      </c>
      <c r="AR12" s="19">
        <f t="shared" si="12"/>
        <v>1.47</v>
      </c>
      <c r="AS12" s="20" t="s">
        <v>76</v>
      </c>
      <c r="AT12" s="19">
        <f t="shared" si="13"/>
        <v>2.2000000000000002</v>
      </c>
      <c r="AU12" s="20" t="s">
        <v>76</v>
      </c>
      <c r="AV12" s="19">
        <f t="shared" si="19"/>
        <v>1.89</v>
      </c>
      <c r="AW12" s="21"/>
      <c r="AX12" s="22">
        <f ca="1">IFERROR(__xludf.DUMMYFUNCTION("QUERY('Copy of PoliticalData'!AR$3:AR$55,""select AR where AR &gt; ""&amp;AR12&amp;"" order by AR limit 1"",0)"),1.58)</f>
        <v>1.58</v>
      </c>
      <c r="AY12" s="22">
        <f ca="1">IFERROR(__xludf.DUMMYFUNCTION("QUERY('Copy of PoliticalData'!AR$3:AR$55,""select AR where AR &lt; ""&amp;AR12&amp;"" order by AR desc limit 1"",0)"),0.84)</f>
        <v>0.84</v>
      </c>
      <c r="AZ12" s="23" t="str">
        <f ca="1">IFERROR(__xludf.DUMMYFUNCTION("IF((ABS(AR12-QUERY('Copy of PoliticalData'!AR$3:AR$55,""select AR where AR &gt; ""&amp;AR12&amp;"" order by AR limit 1"",0))) &gt; ABS(AR12-QUERY('Copy of PoliticalData'!AR$3:AR$55,""select AR where AR &lt; ""&amp;AR12&amp;"" order by AR desc limit 1"",0)), QUERY('Copy of Politic"&amp;"alData'!AQ$3:AR$55,""select AQ where AR = ""&amp;AY12&amp;"""",0), QUERY('Copy of PoliticalData'!AQ$3:AR$55,""select AQ where AR = ""&amp;AX12&amp;"""",0))"),"kyle.goldenberg@tcstudents.org")</f>
        <v>kyle.goldenberg@tcstudents.org</v>
      </c>
      <c r="BA12" s="24">
        <f ca="1">IFERROR(__xludf.DUMMYFUNCTION("QUERY('Copy of PoliticalData'!AT$3:AT$34,""select AT where AT &gt; ""&amp;AT12&amp;"" order by AT limit 1"",0)"),3.26)</f>
        <v>3.26</v>
      </c>
      <c r="BB12" s="24">
        <f ca="1">IFERROR(__xludf.DUMMYFUNCTION("QUERY('Copy of PoliticalData'!AT$3:AT$50,""select AT where AT &lt; ""&amp;AT12&amp;"" order by AT desc limit 1"",0)"),1.8)</f>
        <v>1.8</v>
      </c>
      <c r="BC12" s="25" t="str">
        <f ca="1">IFERROR(__xludf.DUMMYFUNCTION("IF((ABS(AT12-QUERY('Copy of PoliticalData'!AT$3:AT$55,""select AT where AT &gt; ""&amp;AT12&amp;"" order by AT limit 1"",0))) &gt; ABS(AT12-QUERY('Copy of PoliticalData'!AT$3:AT$55,""select AT where AT &lt; ""&amp;AT12&amp;"" order by AT desc limit 1"",0)), QUERY('Copy of Politic"&amp;"alData'!AS$3:AT$55,""select AS where AT = ""&amp;BB12&amp;"""",0), QUERY('Copy of PoliticalData'!AS$3:AT$55,""select AS where AT = ""&amp;BA12&amp;"""",0))"),"kyle.goldenberg@tcstudents.org")</f>
        <v>kyle.goldenberg@tcstudents.org</v>
      </c>
      <c r="BD12" s="24">
        <f ca="1">IFERROR(__xludf.DUMMYFUNCTION("QUERY('Copy of PoliticalData'!AV$3:AV$34,""select AV where AV &gt; ""&amp;AV12&amp;"" order by AV limit 1"",0)"),2.2)</f>
        <v>2.2000000000000002</v>
      </c>
      <c r="BE12" s="24">
        <f ca="1">IFERROR(__xludf.DUMMYFUNCTION("QUERY('Copy of PoliticalData'!AV$3:AV$50,""select AV where AV &lt; ""&amp;AV12&amp;"" order by AV desc limit 1"",0)"),1.26)</f>
        <v>1.26</v>
      </c>
      <c r="BF12" s="26" t="str">
        <f ca="1">IFERROR(__xludf.DUMMYFUNCTION("IF((ABS(AV12-QUERY('Copy of PoliticalData'!AV$3:AV$55,""select AV where AV &gt; ""&amp;AV12&amp;"" order by AV limit 1"",0))) &gt; ABS(AV12-QUERY('Copy of PoliticalData'!AV$3:AV$55,""select AV where AV &lt; ""&amp;AV12&amp;"" order by AV desc limit 1"",0)), QUERY('Copy of Politic"&amp;"alData'!AU$3:AV$55,""select AU where AV = ""&amp;BE12&amp;"""",0), QUERY('Copy of PoliticalData'!AU$3:AV$55,""select AU where AV = ""&amp;BD12&amp;"""",0))"),"ori.epstien@tcstudents.org")</f>
        <v>ori.epstien@tcstudents.org</v>
      </c>
      <c r="BG12" s="30">
        <f ca="1">COUNTIF(BH3:BH79, "conservative")</f>
        <v>0</v>
      </c>
      <c r="BH12" s="24" t="e">
        <f t="shared" ca="1" si="14"/>
        <v>#NAME?</v>
      </c>
      <c r="BI12" s="19" t="str">
        <f t="shared" si="15"/>
        <v>No</v>
      </c>
      <c r="BJ12" s="19" t="str">
        <f t="shared" si="16"/>
        <v>No</v>
      </c>
      <c r="BK12" s="19" t="str">
        <f t="shared" si="17"/>
        <v>No</v>
      </c>
      <c r="BL12" s="19" t="str">
        <f t="shared" si="18"/>
        <v>No</v>
      </c>
      <c r="BM12" s="28"/>
    </row>
    <row r="13" spans="1:65" ht="15.75" customHeight="1" x14ac:dyDescent="0.35">
      <c r="A13" s="10">
        <v>44250.845771458335</v>
      </c>
      <c r="B13" s="11">
        <v>7</v>
      </c>
      <c r="C13" s="11">
        <v>3</v>
      </c>
      <c r="D13" s="31"/>
      <c r="E13" s="11">
        <v>6</v>
      </c>
      <c r="F13" s="11">
        <v>2</v>
      </c>
      <c r="G13" s="11">
        <v>3</v>
      </c>
      <c r="H13" s="11">
        <v>4</v>
      </c>
      <c r="I13" s="11">
        <v>6</v>
      </c>
      <c r="J13" s="11">
        <v>1</v>
      </c>
      <c r="K13" s="11">
        <v>9</v>
      </c>
      <c r="L13" s="11">
        <v>2</v>
      </c>
      <c r="M13" s="11">
        <v>2</v>
      </c>
      <c r="N13" s="11">
        <v>8</v>
      </c>
      <c r="O13" s="11">
        <v>4</v>
      </c>
      <c r="P13" s="11">
        <v>7</v>
      </c>
      <c r="Q13" s="11">
        <v>8</v>
      </c>
      <c r="R13" s="11">
        <v>5</v>
      </c>
      <c r="S13" s="11">
        <v>3</v>
      </c>
      <c r="T13" s="11">
        <v>7</v>
      </c>
      <c r="U13" s="11">
        <v>6</v>
      </c>
      <c r="V13" s="11">
        <v>6</v>
      </c>
      <c r="W13" s="11">
        <v>5</v>
      </c>
      <c r="X13" s="11">
        <v>4</v>
      </c>
      <c r="Y13" s="11">
        <v>6</v>
      </c>
      <c r="Z13" s="11">
        <v>5</v>
      </c>
      <c r="AA13" s="11">
        <v>4</v>
      </c>
      <c r="AB13" s="11">
        <v>8</v>
      </c>
      <c r="AC13" s="11">
        <v>1</v>
      </c>
      <c r="AD13" s="12"/>
      <c r="AE13" s="13">
        <f t="shared" si="0"/>
        <v>4.7777777777777777</v>
      </c>
      <c r="AF13" s="14">
        <f t="shared" si="1"/>
        <v>5.2222222222222223</v>
      </c>
      <c r="AG13" s="14">
        <f t="shared" si="2"/>
        <v>5.6315789473684212</v>
      </c>
      <c r="AH13" s="14">
        <f t="shared" si="3"/>
        <v>4.3684210526315788</v>
      </c>
      <c r="AI13" s="14">
        <f t="shared" si="4"/>
        <v>4.7368421052631575</v>
      </c>
      <c r="AJ13" s="14">
        <f t="shared" si="5"/>
        <v>5.2631578947368425</v>
      </c>
      <c r="AK13" s="15" t="str">
        <f t="shared" si="6"/>
        <v>Liberal:</v>
      </c>
      <c r="AL13" s="16">
        <f t="shared" si="7"/>
        <v>5.2222222222222223</v>
      </c>
      <c r="AM13" s="17" t="str">
        <f t="shared" si="8"/>
        <v>Conservative:</v>
      </c>
      <c r="AN13" s="16">
        <f t="shared" si="9"/>
        <v>5.6315789473684212</v>
      </c>
      <c r="AO13" s="17" t="str">
        <f t="shared" si="10"/>
        <v>Authoritarian:</v>
      </c>
      <c r="AP13" s="16">
        <f t="shared" si="11"/>
        <v>5.2631578947368425</v>
      </c>
      <c r="AQ13" s="18" t="s">
        <v>77</v>
      </c>
      <c r="AR13" s="19">
        <f t="shared" si="12"/>
        <v>-0.44</v>
      </c>
      <c r="AS13" s="20" t="s">
        <v>77</v>
      </c>
      <c r="AT13" s="19">
        <f t="shared" si="13"/>
        <v>1.26</v>
      </c>
      <c r="AU13" s="20" t="s">
        <v>77</v>
      </c>
      <c r="AV13" s="19">
        <f t="shared" si="19"/>
        <v>-0.53</v>
      </c>
      <c r="AW13" s="21"/>
      <c r="AX13" s="22">
        <f ca="1">IFERROR(__xludf.DUMMYFUNCTION("QUERY('Copy of PoliticalData'!AR$3:AR$55,""select AR where AR &gt; ""&amp;AR13&amp;"" order by AR limit 1"",0)"),-0.21)</f>
        <v>-0.21</v>
      </c>
      <c r="AY13" s="22">
        <f ca="1">IFERROR(__xludf.DUMMYFUNCTION("QUERY('Copy of PoliticalData'!AR$3:AR$55,""select AR where AR &lt; ""&amp;AR13&amp;"" order by AR desc limit 1"",0)"),-1.47)</f>
        <v>-1.47</v>
      </c>
      <c r="AZ13" s="23" t="str">
        <f ca="1">IFERROR(__xludf.DUMMYFUNCTION("IF((ABS(AR13-QUERY('Copy of PoliticalData'!AR$3:AR$55,""select AR where AR &gt; ""&amp;AR13&amp;"" order by AR limit 1"",0))) &gt; ABS(AR13-QUERY('Copy of PoliticalData'!AR$3:AR$55,""select AR where AR &lt; ""&amp;AR13&amp;"" order by AR desc limit 1"",0)), QUERY('Copy of Politic"&amp;"alData'!AQ$3:AR$55,""select AQ where AR = ""&amp;AY13&amp;"""",0), QUERY('Copy of PoliticalData'!AQ$3:AR$55,""select AQ where AR = ""&amp;AX13&amp;"""",0))"),"jonah.mammon@tcstudents.org")</f>
        <v>jonah.mammon@tcstudents.org</v>
      </c>
      <c r="BA13" s="24">
        <f ca="1">IFERROR(__xludf.DUMMYFUNCTION("QUERY('Copy of PoliticalData'!AT$3:AT$34,""select AT where AT &gt; ""&amp;AT13&amp;"" order by AT limit 1"",0)"),1.4)</f>
        <v>1.4</v>
      </c>
      <c r="BB13" s="24">
        <f ca="1">IFERROR(__xludf.DUMMYFUNCTION("QUERY('Copy of PoliticalData'!AT$3:AT$50,""select AT where AT &lt; ""&amp;AT13&amp;"" order by AT desc limit 1"",0)"),-0.5)</f>
        <v>-0.5</v>
      </c>
      <c r="BC13" s="25" t="str">
        <f ca="1">IFERROR(__xludf.DUMMYFUNCTION("IF((ABS(AT13-QUERY('Copy of PoliticalData'!AT$3:AT$55,""select AT where AT &gt; ""&amp;AT13&amp;"" order by AT limit 1"",0))) &gt; ABS(AT13-QUERY('Copy of PoliticalData'!AT$3:AT$55,""select AT where AT &lt; ""&amp;AT13&amp;"" order by AT desc limit 1"",0)), QUERY('Copy of Politic"&amp;"alData'!AS$3:AT$55,""select AS where AT = ""&amp;BB13&amp;"""",0), QUERY('Copy of PoliticalData'!AS$3:AT$55,""select AS where AT = ""&amp;BA13&amp;"""",0))"),"jonah.mammon@tcstudents.org")</f>
        <v>jonah.mammon@tcstudents.org</v>
      </c>
      <c r="BD13" s="24">
        <f ca="1">IFERROR(__xludf.DUMMYFUNCTION("QUERY('Copy of PoliticalData'!AV$3:AV$34,""select AV where AV &gt; ""&amp;AV13&amp;"" order by AV limit 1"",0)"),0.21)</f>
        <v>0.21</v>
      </c>
      <c r="BE13" s="24">
        <f ca="1">IFERROR(__xludf.DUMMYFUNCTION("QUERY('Copy of PoliticalData'!AV$3:AV$50,""select AV where AV &lt; ""&amp;AV13&amp;"" order by AV desc limit 1"",0)"),-0.74)</f>
        <v>-0.74</v>
      </c>
      <c r="BF13" s="26" t="str">
        <f ca="1">IFERROR(__xludf.DUMMYFUNCTION("IF((ABS(AV13-QUERY('Copy of PoliticalData'!AV$3:AV$55,""select AV where AV &gt; ""&amp;AV13&amp;"" order by AV limit 1"",0))) &gt; ABS(AV13-QUERY('Copy of PoliticalData'!AV$3:AV$55,""select AV where AV &lt; ""&amp;AV13&amp;"" order by AV desc limit 1"",0)), QUERY('Copy of Politic"&amp;"alData'!AU$3:AV$55,""select AU where AV = ""&amp;BE13&amp;"""",0), QUERY('Copy of PoliticalData'!AU$3:AV$55,""select AU where AV = ""&amp;BD13&amp;"""",0))"),"tal.davis@tcstudents.org")</f>
        <v>tal.davis@tcstudents.org</v>
      </c>
      <c r="BG13" s="32" t="s">
        <v>78</v>
      </c>
      <c r="BH13" s="24" t="e">
        <f t="shared" ca="1" si="14"/>
        <v>#NAME?</v>
      </c>
      <c r="BI13" s="19" t="str">
        <f t="shared" si="15"/>
        <v>No</v>
      </c>
      <c r="BJ13" s="19" t="str">
        <f t="shared" si="16"/>
        <v>No</v>
      </c>
      <c r="BK13" s="19" t="str">
        <f t="shared" si="17"/>
        <v>No</v>
      </c>
      <c r="BL13" s="19" t="str">
        <f t="shared" si="18"/>
        <v>No</v>
      </c>
      <c r="BM13" s="28"/>
    </row>
    <row r="14" spans="1:65" ht="15.75" customHeight="1" x14ac:dyDescent="0.35">
      <c r="A14" s="10">
        <v>44250.845881354166</v>
      </c>
      <c r="B14" s="11">
        <v>6</v>
      </c>
      <c r="C14" s="11">
        <v>2</v>
      </c>
      <c r="D14" s="11">
        <v>3</v>
      </c>
      <c r="E14" s="11">
        <v>2</v>
      </c>
      <c r="F14" s="11">
        <v>4</v>
      </c>
      <c r="G14" s="11">
        <v>2</v>
      </c>
      <c r="H14" s="11">
        <v>3</v>
      </c>
      <c r="I14" s="11">
        <v>7</v>
      </c>
      <c r="J14" s="11">
        <v>2</v>
      </c>
      <c r="K14" s="11">
        <v>4</v>
      </c>
      <c r="L14" s="11">
        <v>4</v>
      </c>
      <c r="M14" s="11">
        <v>8</v>
      </c>
      <c r="N14" s="11">
        <v>8</v>
      </c>
      <c r="O14" s="11">
        <v>2</v>
      </c>
      <c r="P14" s="11">
        <v>5</v>
      </c>
      <c r="Q14" s="11">
        <v>9</v>
      </c>
      <c r="R14" s="11">
        <v>0</v>
      </c>
      <c r="S14" s="11">
        <v>2</v>
      </c>
      <c r="T14" s="11">
        <v>8</v>
      </c>
      <c r="U14" s="11">
        <v>5</v>
      </c>
      <c r="V14" s="11">
        <v>8</v>
      </c>
      <c r="W14" s="11">
        <v>5</v>
      </c>
      <c r="X14" s="11">
        <v>3</v>
      </c>
      <c r="Y14" s="11">
        <v>3</v>
      </c>
      <c r="Z14" s="11">
        <v>2</v>
      </c>
      <c r="AA14" s="11">
        <v>2</v>
      </c>
      <c r="AB14" s="11">
        <v>5</v>
      </c>
      <c r="AC14" s="11">
        <v>5</v>
      </c>
      <c r="AD14" s="12"/>
      <c r="AE14" s="13">
        <f t="shared" si="0"/>
        <v>3.4210526315789473</v>
      </c>
      <c r="AF14" s="14">
        <f t="shared" si="1"/>
        <v>6.5789473684210531</v>
      </c>
      <c r="AG14" s="14">
        <f t="shared" si="2"/>
        <v>4.3</v>
      </c>
      <c r="AH14" s="14">
        <f t="shared" si="3"/>
        <v>5.7</v>
      </c>
      <c r="AI14" s="14">
        <f t="shared" si="4"/>
        <v>4.4210526315789478</v>
      </c>
      <c r="AJ14" s="14">
        <f t="shared" si="5"/>
        <v>5.5789473684210522</v>
      </c>
      <c r="AK14" s="15" t="str">
        <f t="shared" si="6"/>
        <v>Liberal:</v>
      </c>
      <c r="AL14" s="16">
        <f t="shared" si="7"/>
        <v>6.5789473684210531</v>
      </c>
      <c r="AM14" s="17" t="str">
        <f t="shared" si="8"/>
        <v>Liberal:</v>
      </c>
      <c r="AN14" s="16">
        <f t="shared" si="9"/>
        <v>5.7</v>
      </c>
      <c r="AO14" s="17" t="str">
        <f t="shared" si="10"/>
        <v>Authoritarian:</v>
      </c>
      <c r="AP14" s="16">
        <f t="shared" si="11"/>
        <v>5.5789473684210522</v>
      </c>
      <c r="AQ14" s="18" t="s">
        <v>79</v>
      </c>
      <c r="AR14" s="19">
        <f t="shared" si="12"/>
        <v>-3.16</v>
      </c>
      <c r="AS14" s="20" t="s">
        <v>79</v>
      </c>
      <c r="AT14" s="19">
        <f>ROUND(IF(AG14 &gt; 5, (AG14*2)-10, (-AH14*2)+10.01), 2)</f>
        <v>-1.39</v>
      </c>
      <c r="AU14" s="20" t="s">
        <v>79</v>
      </c>
      <c r="AV14" s="19">
        <f t="shared" si="19"/>
        <v>-1.1599999999999999</v>
      </c>
      <c r="AW14" s="21"/>
      <c r="AX14" s="22">
        <f ca="1">IFERROR(__xludf.DUMMYFUNCTION("QUERY('Copy of PoliticalData'!AR$3:AR$55,""select AR where AR &gt; ""&amp;AR14&amp;"" order by AR limit 1"",0)"),-3.05)</f>
        <v>-3.05</v>
      </c>
      <c r="AY14" s="22">
        <f ca="1">IFERROR(__xludf.DUMMYFUNCTION("QUERY('Copy of PoliticalData'!AR$3:AR$55,""select AR where AR &lt; ""&amp;AR14&amp;"" order by AR desc limit 1"",0)"),-3.58)</f>
        <v>-3.58</v>
      </c>
      <c r="AZ14" s="23" t="str">
        <f ca="1">IFERROR(__xludf.DUMMYFUNCTION("IF((ABS(AR14-QUERY('Copy of PoliticalData'!AR$3:AR$55,""select AR where AR &gt; ""&amp;AR14&amp;"" order by AR limit 1"",0))) &gt; ABS(AR14-QUERY('Copy of PoliticalData'!AR$3:AR$55,""select AR where AR &lt; ""&amp;AR14&amp;"" order by AR desc limit 1"",0)), QUERY('Copy of Politic"&amp;"alData'!AQ$3:AR$55,""select AQ where AR = ""&amp;AY14&amp;"""",0), QUERY('Copy of PoliticalData'!AQ$3:AR$55,""select AQ where AR = ""&amp;AX14&amp;"""",0))"),"hayley.kupinsky@tcstudents.org")</f>
        <v>hayley.kupinsky@tcstudents.org</v>
      </c>
      <c r="BA14" s="24">
        <f ca="1">IFERROR(__xludf.DUMMYFUNCTION("QUERY('Copy of PoliticalData'!AT$3:AT$34,""select AT where AT &gt; ""&amp;AT14&amp;"" order by AT limit 1"",0)"),-0.7)</f>
        <v>-0.7</v>
      </c>
      <c r="BB14" s="24">
        <f ca="1">IFERROR(__xludf.DUMMYFUNCTION("QUERY('Copy of PoliticalData'!AT$3:AT$50,""select AT where AT &lt; ""&amp;AT14&amp;"" order by AT desc limit 1"",0)"),-1.4)</f>
        <v>-1.4</v>
      </c>
      <c r="BC14" s="25" t="str">
        <f ca="1">IFERROR(__xludf.DUMMYFUNCTION("IF((ABS(AT14-QUERY('Copy of PoliticalData'!AT$3:AT$55,""select AT where AT &gt; ""&amp;AT14&amp;"" order by AT limit 1"",0))) &gt; ABS(AT14-QUERY('Copy of PoliticalData'!AT$3:AT$55,""select AT where AT &lt; ""&amp;AT14&amp;"" order by AT desc limit 1"",0)), QUERY('Copy of Politic"&amp;"alData'!AS$3:AT$55,""select AS where AT = ""&amp;BB14&amp;"""",0), QUERY('Copy of PoliticalData'!AS$3:AT$55,""select AS where AT = ""&amp;BA14&amp;"""",0))"),"azaria.kelman@tcstudents.org")</f>
        <v>azaria.kelman@tcstudents.org</v>
      </c>
      <c r="BD14" s="24">
        <f ca="1">IFERROR(__xludf.DUMMYFUNCTION("QUERY('Copy of PoliticalData'!AV$3:AV$34,""select AV where AV &gt; ""&amp;AV14&amp;"" order by AV limit 1"",0)"),-0.84)</f>
        <v>-0.84</v>
      </c>
      <c r="BE14" s="24">
        <f ca="1">IFERROR(__xludf.DUMMYFUNCTION("QUERY('Copy of PoliticalData'!AV$3:AV$50,""select AV where AV &lt; ""&amp;AV14&amp;"" order by AV desc limit 1"",0)"),-1.67)</f>
        <v>-1.67</v>
      </c>
      <c r="BF14" s="26" t="str">
        <f ca="1">IFERROR(__xludf.DUMMYFUNCTION("IF((ABS(AV14-QUERY('Copy of PoliticalData'!AV$3:AV$55,""select AV where AV &gt; ""&amp;AV14&amp;"" order by AV limit 1"",0))) &gt; ABS(AV14-QUERY('Copy of PoliticalData'!AV$3:AV$55,""select AV where AV &lt; ""&amp;AV14&amp;"" order by AV desc limit 1"",0)), QUERY('Copy of Politic"&amp;"alData'!AU$3:AV$55,""select AU where AV = ""&amp;BE14&amp;"""",0), QUERY('Copy of PoliticalData'!AU$3:AV$55,""select AU where AV = ""&amp;BD14&amp;"""",0))"),"dylan.yagod-ramm@tcstudents.org")</f>
        <v>dylan.yagod-ramm@tcstudents.org</v>
      </c>
      <c r="BG14" s="33">
        <f ca="1">COUNTIF(BH3:BH79, "liberal")</f>
        <v>0</v>
      </c>
      <c r="BH14" s="24" t="e">
        <f t="shared" ca="1" si="14"/>
        <v>#NAME?</v>
      </c>
      <c r="BI14" s="19" t="str">
        <f t="shared" si="15"/>
        <v>No</v>
      </c>
      <c r="BJ14" s="19" t="str">
        <f t="shared" si="16"/>
        <v>No</v>
      </c>
      <c r="BK14" s="19" t="str">
        <f t="shared" si="17"/>
        <v>No</v>
      </c>
      <c r="BL14" s="19" t="str">
        <f t="shared" si="18"/>
        <v>No</v>
      </c>
      <c r="BM14" s="28"/>
    </row>
    <row r="15" spans="1:65" ht="15.75" customHeight="1" x14ac:dyDescent="0.35">
      <c r="A15" s="34">
        <v>44250.851779710647</v>
      </c>
      <c r="B15" s="35">
        <v>8</v>
      </c>
      <c r="C15" s="35">
        <v>5</v>
      </c>
      <c r="D15" s="35">
        <v>5</v>
      </c>
      <c r="E15" s="35">
        <v>7</v>
      </c>
      <c r="F15" s="35">
        <v>8</v>
      </c>
      <c r="G15" s="35">
        <v>9</v>
      </c>
      <c r="H15" s="35">
        <v>7</v>
      </c>
      <c r="I15" s="35">
        <v>6</v>
      </c>
      <c r="J15" s="35">
        <v>9</v>
      </c>
      <c r="K15" s="35">
        <v>9</v>
      </c>
      <c r="L15" s="35">
        <v>3</v>
      </c>
      <c r="M15" s="35">
        <v>7</v>
      </c>
      <c r="N15" s="35">
        <v>7</v>
      </c>
      <c r="O15" s="35">
        <v>8</v>
      </c>
      <c r="P15" s="35">
        <v>7</v>
      </c>
      <c r="Q15" s="35">
        <v>10</v>
      </c>
      <c r="R15" s="35">
        <v>8</v>
      </c>
      <c r="S15" s="35">
        <v>8</v>
      </c>
      <c r="T15" s="35">
        <v>9</v>
      </c>
      <c r="U15" s="35">
        <v>7</v>
      </c>
      <c r="V15" s="35">
        <v>8</v>
      </c>
      <c r="W15" s="35">
        <v>2</v>
      </c>
      <c r="X15" s="35">
        <v>7</v>
      </c>
      <c r="Y15" s="35">
        <v>5</v>
      </c>
      <c r="Z15" s="35">
        <v>7</v>
      </c>
      <c r="AA15" s="35">
        <v>1</v>
      </c>
      <c r="AB15" s="35">
        <v>10</v>
      </c>
      <c r="AC15" s="35">
        <v>4</v>
      </c>
      <c r="AD15" s="12"/>
      <c r="AE15" s="13">
        <f t="shared" si="0"/>
        <v>7.0526315789473681</v>
      </c>
      <c r="AF15" s="14">
        <f t="shared" si="1"/>
        <v>2.9473684210526319</v>
      </c>
      <c r="AG15" s="14">
        <f t="shared" si="2"/>
        <v>6.65</v>
      </c>
      <c r="AH15" s="14">
        <f t="shared" si="3"/>
        <v>3.3499999999999996</v>
      </c>
      <c r="AI15" s="14">
        <f t="shared" si="4"/>
        <v>7.2105263157894735</v>
      </c>
      <c r="AJ15" s="14">
        <f t="shared" si="5"/>
        <v>2.7894736842105265</v>
      </c>
      <c r="AK15" s="15" t="str">
        <f t="shared" si="6"/>
        <v>Conservative:</v>
      </c>
      <c r="AL15" s="16">
        <f t="shared" si="7"/>
        <v>7.0526315789473681</v>
      </c>
      <c r="AM15" s="17" t="str">
        <f t="shared" si="8"/>
        <v>Conservative:</v>
      </c>
      <c r="AN15" s="16">
        <f t="shared" si="9"/>
        <v>6.65</v>
      </c>
      <c r="AO15" s="17" t="str">
        <f t="shared" si="10"/>
        <v>Libertarian:</v>
      </c>
      <c r="AP15" s="16">
        <f t="shared" si="11"/>
        <v>7.2105263157894735</v>
      </c>
      <c r="AQ15" s="36" t="s">
        <v>80</v>
      </c>
      <c r="AR15" s="19">
        <f t="shared" si="12"/>
        <v>4.1100000000000003</v>
      </c>
      <c r="AS15" s="37" t="s">
        <v>80</v>
      </c>
      <c r="AT15" s="19">
        <f t="shared" ref="AT15:AT26" si="20">ROUND(IF(AG15 &gt; 5, (AG15*2)-10, (-AH15*2)+10), 2)</f>
        <v>3.3</v>
      </c>
      <c r="AU15" s="37" t="s">
        <v>80</v>
      </c>
      <c r="AV15" s="19">
        <f>ROUND(IF(AI15 &gt; 5, (AI15*2)-10.02, (-AJ15*2)+10), 2)</f>
        <v>4.4000000000000004</v>
      </c>
      <c r="AW15" s="21"/>
      <c r="AX15" s="22">
        <f ca="1">IFERROR(__xludf.DUMMYFUNCTION("QUERY('Copy of PoliticalData'!AR$3:AR$55,""select AR where AR &gt; ""&amp;AR15&amp;"" order by AR limit 1"",0)"),5.25)</f>
        <v>5.25</v>
      </c>
      <c r="AY15" s="22">
        <f ca="1">IFERROR(__xludf.DUMMYFUNCTION("QUERY('Copy of PoliticalData'!AR$3:AR$55,""select AR where AR &lt; ""&amp;AR15&amp;"" order by AR desc limit 1"",0)"),4.01)</f>
        <v>4.01</v>
      </c>
      <c r="AZ15" s="23" t="str">
        <f ca="1">IFERROR(__xludf.DUMMYFUNCTION("IF((ABS(AR15-QUERY('Copy of PoliticalData'!AR$3:AR$55,""select AR where AR &gt; ""&amp;AR15&amp;"" order by AR limit 1"",0))) &gt; ABS(AR15-QUERY('Copy of PoliticalData'!AR$3:AR$55,""select AR where AR &lt; ""&amp;AR15&amp;"" order by AR desc limit 1"",0)), QUERY('Copy of Politic"&amp;"alData'!AQ$3:AR$55,""select AQ where AR = ""&amp;AY15&amp;"""",0), QUERY('Copy of PoliticalData'!AQ$3:AR$55,""select AQ where AR = ""&amp;AX15&amp;"""",0))"),"isaac.slavens@tcstudents.org")</f>
        <v>isaac.slavens@tcstudents.org</v>
      </c>
      <c r="BA15" s="24">
        <f ca="1">IFERROR(__xludf.DUMMYFUNCTION("QUERY('Copy of PoliticalData'!AT$3:AT$34,""select AT where AT &gt; ""&amp;AT15&amp;"" order by AT limit 1"",0)"),3.7)</f>
        <v>3.7</v>
      </c>
      <c r="BB15" s="24">
        <f ca="1">IFERROR(__xludf.DUMMYFUNCTION("QUERY('Copy of PoliticalData'!AT$3:AT$50,""select AT where AT &lt; ""&amp;AT15&amp;"" order by AT desc limit 1"",0)"),3.26)</f>
        <v>3.26</v>
      </c>
      <c r="BC15" s="25" t="str">
        <f ca="1">IFERROR(__xludf.DUMMYFUNCTION("IF((ABS(AT15-QUERY('Copy of PoliticalData'!AT$3:AT$55,""select AT where AT &gt; ""&amp;AT15&amp;"" order by AT limit 1"",0))) &gt; ABS(AT15-QUERY('Copy of PoliticalData'!AT$3:AT$55,""select AT where AT &lt; ""&amp;AT15&amp;"" order by AT desc limit 1"",0)), QUERY('Copy of Politic"&amp;"alData'!AS$3:AT$55,""select AS where AT = ""&amp;BB15&amp;"""",0), QUERY('Copy of PoliticalData'!AS$3:AT$55,""select AS where AT = ""&amp;BA15&amp;"""",0))"),"koby.gottlieb@tcstudents.org")</f>
        <v>koby.gottlieb@tcstudents.org</v>
      </c>
      <c r="BD15" s="24">
        <f ca="1">IFERROR(__xludf.DUMMYFUNCTION("QUERY('Copy of PoliticalData'!AV$3:AV$34,""select AV where AV &gt; ""&amp;AV15&amp;"" order by AV limit 1"",0)"),4.42)</f>
        <v>4.42</v>
      </c>
      <c r="BE15" s="24">
        <f ca="1">IFERROR(__xludf.DUMMYFUNCTION("QUERY('Copy of PoliticalData'!AV$3:AV$50,""select AV where AV &lt; ""&amp;AV15&amp;"" order by AV desc limit 1"",0)"),4)</f>
        <v>4</v>
      </c>
      <c r="BF15" s="26" t="str">
        <f ca="1">IFERROR(__xludf.DUMMYFUNCTION("IF((ABS(AV15-QUERY('Copy of PoliticalData'!AV$3:AV$55,""select AV where AV &gt; ""&amp;AV15&amp;"" order by AV limit 1"",0))) &gt; ABS(AV15-QUERY('Copy of PoliticalData'!AV$3:AV$55,""select AV where AV &lt; ""&amp;AV15&amp;"" order by AV desc limit 1"",0)), QUERY('Copy of Politic"&amp;"alData'!AU$3:AV$55,""select AU where AV = ""&amp;BE15&amp;"""",0), QUERY('Copy of PoliticalData'!AU$3:AV$55,""select AU where AV = ""&amp;BD15&amp;"""",0))"),"kyle.zaldin@tcstudents.org")</f>
        <v>kyle.zaldin@tcstudents.org</v>
      </c>
      <c r="BG15" s="27" t="s">
        <v>81</v>
      </c>
      <c r="BH15" s="24" t="e">
        <f t="shared" ca="1" si="14"/>
        <v>#NAME?</v>
      </c>
      <c r="BI15" s="19" t="str">
        <f t="shared" si="15"/>
        <v>No</v>
      </c>
      <c r="BJ15" s="19" t="str">
        <f t="shared" si="16"/>
        <v>No</v>
      </c>
      <c r="BK15" s="19" t="str">
        <f t="shared" si="17"/>
        <v>No</v>
      </c>
      <c r="BL15" s="19" t="str">
        <f t="shared" si="18"/>
        <v>No</v>
      </c>
      <c r="BM15" s="28"/>
    </row>
    <row r="16" spans="1:65" ht="15.75" customHeight="1" x14ac:dyDescent="0.35">
      <c r="A16" s="34">
        <v>44250.85319603009</v>
      </c>
      <c r="B16" s="35">
        <v>6</v>
      </c>
      <c r="C16" s="35">
        <v>2</v>
      </c>
      <c r="D16" s="35">
        <v>8</v>
      </c>
      <c r="E16" s="35">
        <v>8</v>
      </c>
      <c r="F16" s="35">
        <v>6</v>
      </c>
      <c r="G16" s="35">
        <v>7</v>
      </c>
      <c r="H16" s="35">
        <v>8</v>
      </c>
      <c r="I16" s="35">
        <v>6</v>
      </c>
      <c r="J16" s="35">
        <v>10</v>
      </c>
      <c r="K16" s="35">
        <v>6</v>
      </c>
      <c r="L16" s="35">
        <v>5</v>
      </c>
      <c r="M16" s="35">
        <v>4</v>
      </c>
      <c r="N16" s="35">
        <v>8</v>
      </c>
      <c r="O16" s="35">
        <v>5</v>
      </c>
      <c r="P16" s="35">
        <v>8</v>
      </c>
      <c r="Q16" s="35">
        <v>8</v>
      </c>
      <c r="R16" s="35">
        <v>3</v>
      </c>
      <c r="S16" s="35">
        <v>9</v>
      </c>
      <c r="T16" s="35">
        <v>5</v>
      </c>
      <c r="U16" s="35">
        <v>7</v>
      </c>
      <c r="V16" s="35">
        <v>10</v>
      </c>
      <c r="W16" s="35">
        <v>2</v>
      </c>
      <c r="X16" s="35">
        <v>9</v>
      </c>
      <c r="Y16" s="35">
        <v>8</v>
      </c>
      <c r="Z16" s="35">
        <v>9</v>
      </c>
      <c r="AA16" s="35">
        <v>3</v>
      </c>
      <c r="AB16" s="35">
        <v>10</v>
      </c>
      <c r="AC16" s="35">
        <v>1</v>
      </c>
      <c r="AD16" s="12"/>
      <c r="AE16" s="13">
        <f t="shared" si="0"/>
        <v>6.5263157894736841</v>
      </c>
      <c r="AF16" s="14">
        <f t="shared" si="1"/>
        <v>3.4736842105263159</v>
      </c>
      <c r="AG16" s="14">
        <f t="shared" si="2"/>
        <v>7.05</v>
      </c>
      <c r="AH16" s="14">
        <f t="shared" si="3"/>
        <v>2.95</v>
      </c>
      <c r="AI16" s="14">
        <f t="shared" si="4"/>
        <v>6.3157894736842106</v>
      </c>
      <c r="AJ16" s="14">
        <f t="shared" si="5"/>
        <v>3.6842105263157894</v>
      </c>
      <c r="AK16" s="15" t="str">
        <f t="shared" si="6"/>
        <v>Conservative:</v>
      </c>
      <c r="AL16" s="16">
        <f t="shared" si="7"/>
        <v>6.5263157894736841</v>
      </c>
      <c r="AM16" s="17" t="str">
        <f t="shared" si="8"/>
        <v>Conservative:</v>
      </c>
      <c r="AN16" s="16">
        <f t="shared" si="9"/>
        <v>7.05</v>
      </c>
      <c r="AO16" s="17" t="str">
        <f t="shared" si="10"/>
        <v>Libertarian:</v>
      </c>
      <c r="AP16" s="16">
        <f t="shared" si="11"/>
        <v>6.3157894736842106</v>
      </c>
      <c r="AQ16" s="36" t="s">
        <v>82</v>
      </c>
      <c r="AR16" s="19">
        <f t="shared" si="12"/>
        <v>3.05</v>
      </c>
      <c r="AS16" s="37" t="s">
        <v>82</v>
      </c>
      <c r="AT16" s="19">
        <f t="shared" si="20"/>
        <v>4.0999999999999996</v>
      </c>
      <c r="AU16" s="37" t="s">
        <v>82</v>
      </c>
      <c r="AV16" s="19">
        <f t="shared" ref="AV16:AV27" si="21">ROUND(IF(AI16 &gt; 5, (AI16*2)-10, (-AJ16*2)+10), 2)</f>
        <v>2.63</v>
      </c>
      <c r="AW16" s="21"/>
      <c r="AX16" s="22">
        <f ca="1">IFERROR(__xludf.DUMMYFUNCTION("QUERY('Copy of PoliticalData'!AR$3:AR$55,""select AR where AR &gt; ""&amp;AR16&amp;"" order by AR limit 1"",0)"),3.13)</f>
        <v>3.13</v>
      </c>
      <c r="AY16" s="22">
        <f ca="1">IFERROR(__xludf.DUMMYFUNCTION("QUERY('Copy of PoliticalData'!AR$3:AR$55,""select AR where AR &lt; ""&amp;AR16&amp;"" order by AR desc limit 1"",0)"),2.74)</f>
        <v>2.74</v>
      </c>
      <c r="AZ16" s="23" t="str">
        <f ca="1">IFERROR(__xludf.DUMMYFUNCTION("IF((ABS(AR16-QUERY('Copy of PoliticalData'!AR$3:AR$55,""select AR where AR &gt; ""&amp;AR16&amp;"" order by AR limit 1"",0))) &gt; ABS(AR16-QUERY('Copy of PoliticalData'!AR$3:AR$55,""select AR where AR &lt; ""&amp;AR16&amp;"" order by AR desc limit 1"",0)), QUERY('Copy of Politic"&amp;"alData'!AQ$3:AR$55,""select AQ where AR = ""&amp;AY16&amp;"""",0), QUERY('Copy of PoliticalData'!AQ$3:AR$55,""select AQ where AR = ""&amp;AX16&amp;"""",0))"),"zachary.muraven@tcstudents.org")</f>
        <v>zachary.muraven@tcstudents.org</v>
      </c>
      <c r="BA16" s="24">
        <f ca="1">IFERROR(__xludf.DUMMYFUNCTION("QUERY('Copy of PoliticalData'!AT$3:AT$34,""select AT where AT &gt; ""&amp;AT16&amp;"" order by AT limit 1"",0)"),4.3)</f>
        <v>4.3</v>
      </c>
      <c r="BB16" s="24">
        <f ca="1">IFERROR(__xludf.DUMMYFUNCTION("QUERY('Copy of PoliticalData'!AT$3:AT$50,""select AT where AT &lt; ""&amp;AT16&amp;"" order by AT desc limit 1"",0)"),4)</f>
        <v>4</v>
      </c>
      <c r="BC16" s="25" t="str">
        <f ca="1">IFERROR(__xludf.DUMMYFUNCTION("IF((ABS(AT16-QUERY('Copy of PoliticalData'!AT$3:AT$55,""select AT where AT &gt; ""&amp;AT16&amp;"" order by AT limit 1"",0))) &gt; ABS(AT16-QUERY('Copy of PoliticalData'!AT$3:AT$55,""select AT where AT &lt; ""&amp;AT16&amp;"" order by AT desc limit 1"",0)), QUERY('Copy of Politic"&amp;"alData'!AS$3:AT$55,""select AS where AT = ""&amp;BB16&amp;"""",0), QUERY('Copy of PoliticalData'!AS$3:AT$55,""select AS where AT = ""&amp;BA16&amp;"""",0))"),"ori.epstien@tcstudents.org")</f>
        <v>ori.epstien@tcstudents.org</v>
      </c>
      <c r="BD16" s="24">
        <f ca="1">IFERROR(__xludf.DUMMYFUNCTION("QUERY('Copy of PoliticalData'!AV$3:AV$34,""select AV where AV &gt; ""&amp;AV16&amp;"" order by AV limit 1"",0)"),3.76)</f>
        <v>3.76</v>
      </c>
      <c r="BE16" s="24">
        <f ca="1">IFERROR(__xludf.DUMMYFUNCTION("QUERY('Copy of PoliticalData'!AV$3:AV$50,""select AV where AV &lt; ""&amp;AV16&amp;"" order by AV desc limit 1"",0)"),2.21)</f>
        <v>2.21</v>
      </c>
      <c r="BF16" s="26" t="str">
        <f ca="1">IFERROR(__xludf.DUMMYFUNCTION("IF((ABS(AV16-QUERY('Copy of PoliticalData'!AV$3:AV$55,""select AV where AV &gt; ""&amp;AV16&amp;"" order by AV limit 1"",0))) &gt; ABS(AV16-QUERY('Copy of PoliticalData'!AV$3:AV$55,""select AV where AV &lt; ""&amp;AV16&amp;"" order by AV desc limit 1"",0)), QUERY('Copy of Politic"&amp;"alData'!AU$3:AV$55,""select AU where AV = ""&amp;BE16&amp;"""",0), QUERY('Copy of PoliticalData'!AU$3:AV$55,""select AU where AV = ""&amp;BD16&amp;"""",0))"),"joshua.benbassat@tcstudents.org")</f>
        <v>joshua.benbassat@tcstudents.org</v>
      </c>
      <c r="BG16" s="33">
        <f ca="1">COUNTIF(BH3:BH79, "NDP")</f>
        <v>0</v>
      </c>
      <c r="BH16" s="24" t="e">
        <f t="shared" ca="1" si="14"/>
        <v>#NAME?</v>
      </c>
      <c r="BI16" s="19" t="str">
        <f t="shared" si="15"/>
        <v>No</v>
      </c>
      <c r="BJ16" s="19" t="str">
        <f t="shared" si="16"/>
        <v>No</v>
      </c>
      <c r="BK16" s="19" t="str">
        <f t="shared" si="17"/>
        <v>No</v>
      </c>
      <c r="BL16" s="19" t="str">
        <f t="shared" si="18"/>
        <v>No</v>
      </c>
      <c r="BM16" s="28"/>
    </row>
    <row r="17" spans="1:65" ht="15.75" customHeight="1" x14ac:dyDescent="0.35">
      <c r="A17" s="34">
        <v>44250.854288020833</v>
      </c>
      <c r="B17" s="35">
        <v>3</v>
      </c>
      <c r="C17" s="35">
        <v>1</v>
      </c>
      <c r="D17" s="35">
        <v>1</v>
      </c>
      <c r="E17" s="35">
        <v>2</v>
      </c>
      <c r="F17" s="35">
        <v>6</v>
      </c>
      <c r="G17" s="35">
        <v>5</v>
      </c>
      <c r="H17" s="35">
        <v>3</v>
      </c>
      <c r="I17" s="35">
        <v>2</v>
      </c>
      <c r="J17" s="35">
        <v>2</v>
      </c>
      <c r="K17" s="35">
        <v>6</v>
      </c>
      <c r="L17" s="35">
        <v>0</v>
      </c>
      <c r="M17" s="35">
        <v>10</v>
      </c>
      <c r="N17" s="35">
        <v>8</v>
      </c>
      <c r="O17" s="35">
        <v>2</v>
      </c>
      <c r="P17" s="38"/>
      <c r="Q17" s="35">
        <v>9</v>
      </c>
      <c r="R17" s="35">
        <v>1</v>
      </c>
      <c r="S17" s="35">
        <v>1</v>
      </c>
      <c r="T17" s="35">
        <v>2</v>
      </c>
      <c r="U17" s="35">
        <v>10</v>
      </c>
      <c r="V17" s="35">
        <v>7</v>
      </c>
      <c r="W17" s="35">
        <v>3</v>
      </c>
      <c r="X17" s="35">
        <v>6</v>
      </c>
      <c r="Y17" s="35">
        <v>4</v>
      </c>
      <c r="Z17" s="35">
        <v>3</v>
      </c>
      <c r="AA17" s="35">
        <v>4</v>
      </c>
      <c r="AB17" s="35">
        <v>6</v>
      </c>
      <c r="AC17" s="35">
        <v>0</v>
      </c>
      <c r="AD17" s="12"/>
      <c r="AE17" s="13">
        <f t="shared" si="0"/>
        <v>2.7777777777777777</v>
      </c>
      <c r="AF17" s="14">
        <f t="shared" si="1"/>
        <v>7.2222222222222223</v>
      </c>
      <c r="AG17" s="14">
        <f t="shared" si="2"/>
        <v>3.9</v>
      </c>
      <c r="AH17" s="14">
        <f t="shared" si="3"/>
        <v>6.1</v>
      </c>
      <c r="AI17" s="14">
        <f t="shared" si="4"/>
        <v>4.166666666666667</v>
      </c>
      <c r="AJ17" s="14">
        <f t="shared" si="5"/>
        <v>5.833333333333333</v>
      </c>
      <c r="AK17" s="15" t="str">
        <f t="shared" si="6"/>
        <v>Liberal:</v>
      </c>
      <c r="AL17" s="16">
        <f t="shared" si="7"/>
        <v>7.2222222222222223</v>
      </c>
      <c r="AM17" s="17" t="str">
        <f t="shared" si="8"/>
        <v>Liberal:</v>
      </c>
      <c r="AN17" s="16">
        <f t="shared" si="9"/>
        <v>6.1</v>
      </c>
      <c r="AO17" s="17" t="str">
        <f t="shared" si="10"/>
        <v>Authoritarian:</v>
      </c>
      <c r="AP17" s="16">
        <f t="shared" si="11"/>
        <v>5.833333333333333</v>
      </c>
      <c r="AQ17" s="36" t="s">
        <v>83</v>
      </c>
      <c r="AR17" s="19">
        <f t="shared" si="12"/>
        <v>-4.4400000000000004</v>
      </c>
      <c r="AS17" s="37" t="s">
        <v>83</v>
      </c>
      <c r="AT17" s="19">
        <f t="shared" si="20"/>
        <v>-2.2000000000000002</v>
      </c>
      <c r="AU17" s="37" t="s">
        <v>83</v>
      </c>
      <c r="AV17" s="19">
        <f t="shared" si="21"/>
        <v>-1.67</v>
      </c>
      <c r="AW17" s="21"/>
      <c r="AX17" s="22">
        <f ca="1">IFERROR(__xludf.DUMMYFUNCTION("QUERY('Copy of PoliticalData'!AR$3:AR$55,""select AR where AR &gt; ""&amp;AR17&amp;"" order by AR limit 1"",0)"),-3.58)</f>
        <v>-3.58</v>
      </c>
      <c r="AY17" s="22">
        <f ca="1">IFERROR(__xludf.DUMMYFUNCTION("QUERY('Copy of PoliticalData'!AR$3:AR$55,""select AR where AR &lt; ""&amp;AR17&amp;"" order by AR desc limit 1"",0)"),-4.51)</f>
        <v>-4.51</v>
      </c>
      <c r="AZ17" s="23" t="str">
        <f ca="1">IFERROR(__xludf.DUMMYFUNCTION("IF((ABS(AR17-QUERY('Copy of PoliticalData'!AR$3:AR$55,""select AR where AR &gt; ""&amp;AR17&amp;"" order by AR limit 1"",0))) &gt; ABS(AR17-QUERY('Copy of PoliticalData'!AR$3:AR$55,""select AR where AR &lt; ""&amp;AR17&amp;"" order by AR desc limit 1"",0)), QUERY('Copy of Politic"&amp;"alData'!AQ$3:AR$55,""select AQ where AR = ""&amp;AY17&amp;"""",0), QUERY('Copy of PoliticalData'!AQ$3:AR$55,""select AQ where AR = ""&amp;AX17&amp;"""",0))"),"zimri.prutschi@tcstudents.org")</f>
        <v>zimri.prutschi@tcstudents.org</v>
      </c>
      <c r="BA17" s="24">
        <f ca="1">IFERROR(__xludf.DUMMYFUNCTION("QUERY('Copy of PoliticalData'!AT$3:AT$34,""select AT where AT &gt; ""&amp;AT17&amp;"" order by AT limit 1"",0)"),-1.4)</f>
        <v>-1.4</v>
      </c>
      <c r="BB17" s="24">
        <f ca="1">IFERROR(__xludf.DUMMYFUNCTION("QUERY('Copy of PoliticalData'!AT$3:AT$50,""select AT where AT &lt; ""&amp;AT17&amp;"" order by AT desc limit 1"",0)"),-2.3)</f>
        <v>-2.2999999999999998</v>
      </c>
      <c r="BC17" s="25" t="str">
        <f ca="1">IFERROR(__xludf.DUMMYFUNCTION("IF((ABS(AT17-QUERY('Copy of PoliticalData'!AT$3:AT$55,""select AT where AT &gt; ""&amp;AT17&amp;"" order by AT limit 1"",0))) &gt; ABS(AT17-QUERY('Copy of PoliticalData'!AT$3:AT$55,""select AT where AT &lt; ""&amp;AT17&amp;"" order by AT desc limit 1"",0)), QUERY('Copy of Politic"&amp;"alData'!AS$3:AT$55,""select AS where AT = ""&amp;BB17&amp;"""",0), QUERY('Copy of PoliticalData'!AS$3:AT$55,""select AS where AT = ""&amp;BA17&amp;"""",0))"),"hayley.kupinsky@tcstudents.org")</f>
        <v>hayley.kupinsky@tcstudents.org</v>
      </c>
      <c r="BD17" s="24">
        <f ca="1">IFERROR(__xludf.DUMMYFUNCTION("QUERY('Copy of PoliticalData'!AV$3:AV$34,""select AV where AV &gt; ""&amp;AV17&amp;"" order by AV limit 1"",0)"),-1.16)</f>
        <v>-1.1599999999999999</v>
      </c>
      <c r="BE17" s="24">
        <f ca="1">IFERROR(__xludf.DUMMYFUNCTION("QUERY('Copy of PoliticalData'!AV$3:AV$50,""select AV where AV &lt; ""&amp;AV17&amp;"" order by AV desc limit 1"",0)"),-1.79)</f>
        <v>-1.79</v>
      </c>
      <c r="BF17" s="26" t="str">
        <f ca="1">IFERROR(__xludf.DUMMYFUNCTION("IF((ABS(AV17-QUERY('Copy of PoliticalData'!AV$3:AV$55,""select AV where AV &gt; ""&amp;AV17&amp;"" order by AV limit 1"",0))) &gt; ABS(AV17-QUERY('Copy of PoliticalData'!AV$3:AV$55,""select AV where AV &lt; ""&amp;AV17&amp;"" order by AV desc limit 1"",0)), QUERY('Copy of Politic"&amp;"alData'!AU$3:AV$55,""select AU where AV = ""&amp;BE17&amp;"""",0), QUERY('Copy of PoliticalData'!AU$3:AV$55,""select AU where AV = ""&amp;BD17&amp;"""",0))"),"hayley.kupinsky@tcstudents.org")</f>
        <v>hayley.kupinsky@tcstudents.org</v>
      </c>
      <c r="BG17" s="19"/>
      <c r="BH17" s="24" t="e">
        <f t="shared" ca="1" si="14"/>
        <v>#NAME?</v>
      </c>
      <c r="BI17" s="19" t="str">
        <f t="shared" si="15"/>
        <v>No</v>
      </c>
      <c r="BJ17" s="19" t="str">
        <f t="shared" si="16"/>
        <v>Yes</v>
      </c>
      <c r="BK17" s="19" t="str">
        <f t="shared" si="17"/>
        <v>No</v>
      </c>
      <c r="BL17" s="19" t="str">
        <f t="shared" si="18"/>
        <v>No</v>
      </c>
      <c r="BM17" s="28"/>
    </row>
    <row r="18" spans="1:65" ht="15.75" customHeight="1" x14ac:dyDescent="0.35">
      <c r="A18" s="34">
        <v>44250.855841273151</v>
      </c>
      <c r="B18" s="35">
        <v>0</v>
      </c>
      <c r="C18" s="35">
        <v>10</v>
      </c>
      <c r="D18" s="35">
        <v>10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10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10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10</v>
      </c>
      <c r="AB18" s="35">
        <v>0</v>
      </c>
      <c r="AC18" s="35">
        <v>0</v>
      </c>
      <c r="AD18" s="12"/>
      <c r="AE18" s="13">
        <f t="shared" si="0"/>
        <v>2.6315789473684212</v>
      </c>
      <c r="AF18" s="14">
        <f t="shared" si="1"/>
        <v>7.3684210526315788</v>
      </c>
      <c r="AG18" s="14">
        <f t="shared" si="2"/>
        <v>2</v>
      </c>
      <c r="AH18" s="14">
        <f t="shared" si="3"/>
        <v>8</v>
      </c>
      <c r="AI18" s="14">
        <f t="shared" si="4"/>
        <v>1.5789473684210527</v>
      </c>
      <c r="AJ18" s="14">
        <f t="shared" si="5"/>
        <v>8.4210526315789469</v>
      </c>
      <c r="AK18" s="15" t="str">
        <f t="shared" si="6"/>
        <v>Liberal:</v>
      </c>
      <c r="AL18" s="16">
        <f t="shared" si="7"/>
        <v>7.3684210526315788</v>
      </c>
      <c r="AM18" s="17" t="str">
        <f t="shared" si="8"/>
        <v>Liberal:</v>
      </c>
      <c r="AN18" s="16">
        <f t="shared" si="9"/>
        <v>8</v>
      </c>
      <c r="AO18" s="17" t="str">
        <f t="shared" si="10"/>
        <v>Authoritarian:</v>
      </c>
      <c r="AP18" s="16">
        <f t="shared" si="11"/>
        <v>8.4210526315789469</v>
      </c>
      <c r="AQ18" s="36" t="s">
        <v>84</v>
      </c>
      <c r="AR18" s="19">
        <f>ROUND(IF(AE18 &gt; 5, (AE18*2)-10, (-AF18*2)+10.01), 2)</f>
        <v>-4.7300000000000004</v>
      </c>
      <c r="AS18" s="37" t="s">
        <v>84</v>
      </c>
      <c r="AT18" s="19">
        <f t="shared" si="20"/>
        <v>-6</v>
      </c>
      <c r="AU18" s="37" t="s">
        <v>84</v>
      </c>
      <c r="AV18" s="19">
        <f t="shared" si="21"/>
        <v>-6.84</v>
      </c>
      <c r="AW18" s="21"/>
      <c r="AX18" s="22">
        <f ca="1">IFERROR(__xludf.DUMMYFUNCTION("QUERY('Copy of PoliticalData'!AR$3:AR$55,""select AR where AR &gt; ""&amp;AR18&amp;"" order by AR limit 1"",0)"),-4.72)</f>
        <v>-4.72</v>
      </c>
      <c r="AY18" s="22">
        <f ca="1">IFERROR(__xludf.DUMMYFUNCTION("QUERY('Copy of PoliticalData'!AR$3:AR$55,""select AR where AR &lt; ""&amp;AR18&amp;"" order by AR desc limit 1"",0)"),-5.47)</f>
        <v>-5.47</v>
      </c>
      <c r="AZ18" s="23" t="str">
        <f ca="1">IFERROR(__xludf.DUMMYFUNCTION("IF((ABS(AR18-QUERY('Copy of PoliticalData'!AR$3:AR$55,""select AR where AR &gt; ""&amp;AR18&amp;"" order by AR limit 1"",0))) &gt; ABS(AR18-QUERY('Copy of PoliticalData'!AR$3:AR$55,""select AR where AR &lt; ""&amp;AR18&amp;"" order by AR desc limit 1"",0)), QUERY('Copy of Politic"&amp;"alData'!AQ$3:AR$55,""select AQ where AR = ""&amp;AY18&amp;"""",0), QUERY('Copy of PoliticalData'!AQ$3:AR$55,""select AQ where AR = ""&amp;AX18&amp;"""",0))"),"nate.manis@tcstudents.org")</f>
        <v>nate.manis@tcstudents.org</v>
      </c>
      <c r="BA18" s="24">
        <f ca="1">IFERROR(__xludf.DUMMYFUNCTION("QUERY('Copy of PoliticalData'!AT$3:AT$34,""select AT where AT &gt; ""&amp;AT18&amp;"" order by AT limit 1"",0)"),-4.1)</f>
        <v>-4.0999999999999996</v>
      </c>
      <c r="BB18" s="24" t="str">
        <f ca="1">IFERROR(__xludf.DUMMYFUNCTION("QUERY('Copy of PoliticalData'!AT$3:AT$50,""select AT where AT &lt; ""&amp;AT18&amp;"" order by AT desc limit 1"",0)"),"")</f>
        <v/>
      </c>
      <c r="BC18" s="25" t="str">
        <f ca="1">IFERROR(__xludf.DUMMYFUNCTION("IF((ABS(AT18-QUERY('Copy of PoliticalData'!AT$3:AT$55,""select AT where AT &gt; ""&amp;AT18&amp;"" order by AT limit 1"",0))) &gt; ABS(AT18-QUERY('Copy of PoliticalData'!AT$3:AT$55,""select AT where AT &lt; ""&amp;AT18&amp;"" order by AT desc limit 1"",0)), QUERY('Copy of Politic"&amp;"alData'!AS$3:AT$55,""select AS where AT = ""&amp;BB18&amp;"""",0), QUERY('Copy of PoliticalData'!AS$3:AT$55,""select AS where AT = ""&amp;BA18&amp;"""",0))"),"noah.shaffir@tcstudents.org")</f>
        <v>noah.shaffir@tcstudents.org</v>
      </c>
      <c r="BD18" s="24">
        <f ca="1">IFERROR(__xludf.DUMMYFUNCTION("QUERY('Copy of PoliticalData'!AV$3:AV$34,""select AV where AV &gt; ""&amp;AV18&amp;"" order by AV limit 1"",0)"),-3.79)</f>
        <v>-3.79</v>
      </c>
      <c r="BE18" s="24" t="str">
        <f ca="1">IFERROR(__xludf.DUMMYFUNCTION("QUERY('Copy of PoliticalData'!AV$3:AV$50,""select AV where AV &lt; ""&amp;AV18&amp;"" order by AV desc limit 1"",0)"),"")</f>
        <v/>
      </c>
      <c r="BF18" s="26" t="str">
        <f ca="1">IFERROR(__xludf.DUMMYFUNCTION("IF((ABS(AV18-QUERY('Copy of PoliticalData'!AV$3:AV$55,""select AV where AV &gt; ""&amp;AV18&amp;"" order by AV limit 1"",0))) &gt; ABS(AV18-QUERY('Copy of PoliticalData'!AV$3:AV$55,""select AV where AV &lt; ""&amp;AV18&amp;"" order by AV desc limit 1"",0)), QUERY('Copy of Politic"&amp;"alData'!AU$3:AV$55,""select AU where AV = ""&amp;BE18&amp;"""",0), QUERY('Copy of PoliticalData'!AU$3:AV$55,""select AU where AV = ""&amp;BD18&amp;"""",0))"),"nate.manis@tcstudents.org")</f>
        <v>nate.manis@tcstudents.org</v>
      </c>
      <c r="BG18" s="19"/>
      <c r="BH18" s="24" t="e">
        <f t="shared" ca="1" si="14"/>
        <v>#NAME?</v>
      </c>
      <c r="BI18" s="19" t="str">
        <f t="shared" si="15"/>
        <v>No</v>
      </c>
      <c r="BJ18" s="19" t="str">
        <f t="shared" si="16"/>
        <v>Yes</v>
      </c>
      <c r="BK18" s="19" t="str">
        <f t="shared" si="17"/>
        <v>No</v>
      </c>
      <c r="BL18" s="19" t="str">
        <f t="shared" si="18"/>
        <v>No</v>
      </c>
      <c r="BM18" s="28"/>
    </row>
    <row r="19" spans="1:65" ht="15.75" customHeight="1" x14ac:dyDescent="0.35">
      <c r="A19" s="34">
        <v>44250.857074027779</v>
      </c>
      <c r="B19" s="35">
        <v>7</v>
      </c>
      <c r="C19" s="35">
        <v>6</v>
      </c>
      <c r="D19" s="35">
        <v>5</v>
      </c>
      <c r="E19" s="35">
        <v>7</v>
      </c>
      <c r="F19" s="35">
        <v>9</v>
      </c>
      <c r="G19" s="35">
        <v>8</v>
      </c>
      <c r="H19" s="35">
        <v>7</v>
      </c>
      <c r="I19" s="35">
        <v>10</v>
      </c>
      <c r="J19" s="35">
        <v>6</v>
      </c>
      <c r="K19" s="35">
        <v>3</v>
      </c>
      <c r="L19" s="35">
        <v>8</v>
      </c>
      <c r="M19" s="35">
        <v>1</v>
      </c>
      <c r="N19" s="35">
        <v>10</v>
      </c>
      <c r="O19" s="35">
        <v>6</v>
      </c>
      <c r="P19" s="35">
        <v>7</v>
      </c>
      <c r="Q19" s="35">
        <v>6</v>
      </c>
      <c r="R19" s="35">
        <v>7</v>
      </c>
      <c r="S19" s="35">
        <v>9</v>
      </c>
      <c r="T19" s="35">
        <v>8</v>
      </c>
      <c r="U19" s="35">
        <v>10</v>
      </c>
      <c r="V19" s="35">
        <v>9</v>
      </c>
      <c r="W19" s="35">
        <v>5</v>
      </c>
      <c r="X19" s="35">
        <v>6</v>
      </c>
      <c r="Y19" s="35">
        <v>3</v>
      </c>
      <c r="Z19" s="35">
        <v>7</v>
      </c>
      <c r="AA19" s="35">
        <v>4</v>
      </c>
      <c r="AB19" s="35">
        <v>8</v>
      </c>
      <c r="AC19" s="35">
        <v>0</v>
      </c>
      <c r="AD19" s="12"/>
      <c r="AE19" s="13">
        <f t="shared" si="0"/>
        <v>6.9473684210526319</v>
      </c>
      <c r="AF19" s="14">
        <f t="shared" si="1"/>
        <v>3.0526315789473681</v>
      </c>
      <c r="AG19" s="14">
        <f t="shared" si="2"/>
        <v>6.85</v>
      </c>
      <c r="AH19" s="14">
        <f t="shared" si="3"/>
        <v>3.1500000000000004</v>
      </c>
      <c r="AI19" s="14">
        <f t="shared" si="4"/>
        <v>7.2105263157894735</v>
      </c>
      <c r="AJ19" s="14">
        <f t="shared" si="5"/>
        <v>2.7894736842105265</v>
      </c>
      <c r="AK19" s="15" t="str">
        <f t="shared" si="6"/>
        <v>Conservative:</v>
      </c>
      <c r="AL19" s="16">
        <f t="shared" si="7"/>
        <v>6.9473684210526319</v>
      </c>
      <c r="AM19" s="17" t="str">
        <f t="shared" si="8"/>
        <v>Conservative:</v>
      </c>
      <c r="AN19" s="16">
        <f t="shared" si="9"/>
        <v>6.85</v>
      </c>
      <c r="AO19" s="17" t="str">
        <f t="shared" si="10"/>
        <v>Libertarian:</v>
      </c>
      <c r="AP19" s="16">
        <f t="shared" si="11"/>
        <v>7.2105263157894735</v>
      </c>
      <c r="AQ19" s="36" t="s">
        <v>85</v>
      </c>
      <c r="AR19" s="19">
        <f t="shared" ref="AR19:AR24" si="22">ROUND(IF(AE19 &gt; 5, (AE19*2)-10, (-AF19*2)+10), 2)</f>
        <v>3.89</v>
      </c>
      <c r="AS19" s="37" t="s">
        <v>85</v>
      </c>
      <c r="AT19" s="19">
        <f t="shared" si="20"/>
        <v>3.7</v>
      </c>
      <c r="AU19" s="37" t="s">
        <v>85</v>
      </c>
      <c r="AV19" s="19">
        <f t="shared" si="21"/>
        <v>4.42</v>
      </c>
      <c r="AW19" s="21"/>
      <c r="AX19" s="22">
        <f ca="1">IFERROR(__xludf.DUMMYFUNCTION("QUERY('Copy of PoliticalData'!AR$3:AR$55,""select AR where AR &gt; ""&amp;AR19&amp;"" order by AR limit 1"",0)"),4)</f>
        <v>4</v>
      </c>
      <c r="AY19" s="22">
        <f ca="1">IFERROR(__xludf.DUMMYFUNCTION("QUERY('Copy of PoliticalData'!AR$3:AR$55,""select AR where AR &lt; ""&amp;AR19&amp;"" order by AR desc limit 1"",0)"),3.68)</f>
        <v>3.68</v>
      </c>
      <c r="AZ19" s="23" t="str">
        <f ca="1">IFERROR(__xludf.DUMMYFUNCTION("IF((ABS(AR19-QUERY('Copy of PoliticalData'!AR$3:AR$55,""select AR where AR &gt; ""&amp;AR19&amp;"" order by AR limit 1"",0))) &gt; ABS(AR19-QUERY('Copy of PoliticalData'!AR$3:AR$55,""select AR where AR &lt; ""&amp;AR19&amp;"" order by AR desc limit 1"",0)), QUERY('Copy of Politic"&amp;"alData'!AQ$3:AR$55,""select AQ where AR = ""&amp;AY19&amp;"""",0), QUERY('Copy of PoliticalData'!AQ$3:AR$55,""select AQ where AR = ""&amp;AX19&amp;"""",0))"),"zev.bell@tcstudents.org")</f>
        <v>zev.bell@tcstudents.org</v>
      </c>
      <c r="BA19" s="24">
        <f ca="1">IFERROR(__xludf.DUMMYFUNCTION("QUERY('Copy of PoliticalData'!AT$3:AT$34,""select AT where AT &gt; ""&amp;AT19&amp;"" order by AT limit 1"",0)"),3.99)</f>
        <v>3.99</v>
      </c>
      <c r="BB19" s="24">
        <f ca="1">IFERROR(__xludf.DUMMYFUNCTION("QUERY('Copy of PoliticalData'!AT$3:AT$50,""select AT where AT &lt; ""&amp;AT19&amp;"" order by AT desc limit 1"",0)"),3.3)</f>
        <v>3.3</v>
      </c>
      <c r="BC19" s="25" t="str">
        <f ca="1">IFERROR(__xludf.DUMMYFUNCTION("IF((ABS(AT19-QUERY('Copy of PoliticalData'!AT$3:AT$55,""select AT where AT &gt; ""&amp;AT19&amp;"" order by AT limit 1"",0))) &gt; ABS(AT19-QUERY('Copy of PoliticalData'!AT$3:AT$55,""select AT where AT &lt; ""&amp;AT19&amp;"" order by AT desc limit 1"",0)), QUERY('Copy of Politic"&amp;"alData'!AS$3:AT$55,""select AS where AT = ""&amp;BB19&amp;"""",0), QUERY('Copy of PoliticalData'!AS$3:AT$55,""select AS where AT = ""&amp;BA19&amp;"""",0))"),"zachary.muraven@tcstudents.org")</f>
        <v>zachary.muraven@tcstudents.org</v>
      </c>
      <c r="BD19" s="24">
        <f ca="1">IFERROR(__xludf.DUMMYFUNCTION("QUERY('Copy of PoliticalData'!AV$3:AV$34,""select AV where AV &gt; ""&amp;AV19&amp;"" order by AV limit 1"",0)"),4.84)</f>
        <v>4.84</v>
      </c>
      <c r="BE19" s="24">
        <f ca="1">IFERROR(__xludf.DUMMYFUNCTION("QUERY('Copy of PoliticalData'!AV$3:AV$50,""select AV where AV &lt; ""&amp;AV19&amp;"" order by AV desc limit 1"",0)"),4.4)</f>
        <v>4.4000000000000004</v>
      </c>
      <c r="BF19" s="26" t="str">
        <f ca="1">IFERROR(__xludf.DUMMYFUNCTION("IF((ABS(AV19-QUERY('Copy of PoliticalData'!AV$3:AV$55,""select AV where AV &gt; ""&amp;AV19&amp;"" order by AV limit 1"",0))) &gt; ABS(AV19-QUERY('Copy of PoliticalData'!AV$3:AV$55,""select AV where AV &lt; ""&amp;AV19&amp;"" order by AV desc limit 1"",0)), QUERY('Copy of Politic"&amp;"alData'!AU$3:AV$55,""select AU where AV = ""&amp;BE19&amp;"""",0), QUERY('Copy of PoliticalData'!AU$3:AV$55,""select AU where AV = ""&amp;BD19&amp;"""",0))"),"eliyahu.freudenstein@tcstudents.org")</f>
        <v>eliyahu.freudenstein@tcstudents.org</v>
      </c>
      <c r="BG19" s="19"/>
      <c r="BH19" s="24" t="e">
        <f t="shared" ca="1" si="14"/>
        <v>#NAME?</v>
      </c>
      <c r="BI19" s="19" t="str">
        <f t="shared" si="15"/>
        <v>No</v>
      </c>
      <c r="BJ19" s="19" t="str">
        <f t="shared" si="16"/>
        <v>No</v>
      </c>
      <c r="BK19" s="19" t="str">
        <f t="shared" si="17"/>
        <v>No</v>
      </c>
      <c r="BL19" s="19" t="str">
        <f t="shared" si="18"/>
        <v>No</v>
      </c>
      <c r="BM19" s="28"/>
    </row>
    <row r="20" spans="1:65" ht="15.75" customHeight="1" x14ac:dyDescent="0.35">
      <c r="A20" s="39">
        <v>44250.860963310188</v>
      </c>
      <c r="B20" s="40">
        <v>9</v>
      </c>
      <c r="C20" s="40">
        <v>8</v>
      </c>
      <c r="D20" s="40">
        <v>4</v>
      </c>
      <c r="E20" s="40">
        <v>8</v>
      </c>
      <c r="F20" s="40">
        <v>5</v>
      </c>
      <c r="G20" s="40">
        <v>10</v>
      </c>
      <c r="H20" s="40">
        <v>7</v>
      </c>
      <c r="I20" s="40">
        <v>8</v>
      </c>
      <c r="J20" s="40">
        <v>9</v>
      </c>
      <c r="K20" s="40">
        <v>7</v>
      </c>
      <c r="L20" s="40">
        <v>4</v>
      </c>
      <c r="M20" s="40">
        <v>10</v>
      </c>
      <c r="N20" s="40">
        <v>7</v>
      </c>
      <c r="O20" s="40">
        <v>8</v>
      </c>
      <c r="P20" s="40">
        <v>5</v>
      </c>
      <c r="Q20" s="40">
        <v>8</v>
      </c>
      <c r="R20" s="40">
        <v>8</v>
      </c>
      <c r="S20" s="40">
        <v>10</v>
      </c>
      <c r="T20" s="40">
        <v>10</v>
      </c>
      <c r="U20" s="40">
        <v>8</v>
      </c>
      <c r="V20" s="40">
        <v>3</v>
      </c>
      <c r="W20" s="40">
        <v>2</v>
      </c>
      <c r="X20" s="40">
        <v>2</v>
      </c>
      <c r="Y20" s="40">
        <v>6</v>
      </c>
      <c r="Z20" s="41"/>
      <c r="AA20" s="40">
        <v>10</v>
      </c>
      <c r="AB20" s="40">
        <v>9</v>
      </c>
      <c r="AC20" s="40">
        <v>3</v>
      </c>
      <c r="AD20" s="12"/>
      <c r="AE20" s="13">
        <f t="shared" si="0"/>
        <v>7.7222222222222223</v>
      </c>
      <c r="AF20" s="14">
        <f t="shared" si="1"/>
        <v>2.2777777777777777</v>
      </c>
      <c r="AG20" s="14">
        <f t="shared" si="2"/>
        <v>6.6315789473684212</v>
      </c>
      <c r="AH20" s="14">
        <f t="shared" si="3"/>
        <v>3.3684210526315788</v>
      </c>
      <c r="AI20" s="14">
        <f t="shared" si="4"/>
        <v>8.0526315789473681</v>
      </c>
      <c r="AJ20" s="14">
        <f t="shared" si="5"/>
        <v>1.9473684210526319</v>
      </c>
      <c r="AK20" s="15" t="str">
        <f t="shared" si="6"/>
        <v>Conservative:</v>
      </c>
      <c r="AL20" s="16">
        <f t="shared" si="7"/>
        <v>7.7222222222222223</v>
      </c>
      <c r="AM20" s="17" t="str">
        <f t="shared" si="8"/>
        <v>Conservative:</v>
      </c>
      <c r="AN20" s="16">
        <f t="shared" si="9"/>
        <v>6.6315789473684212</v>
      </c>
      <c r="AO20" s="17" t="str">
        <f t="shared" si="10"/>
        <v>Libertarian:</v>
      </c>
      <c r="AP20" s="16">
        <f t="shared" si="11"/>
        <v>8.0526315789473681</v>
      </c>
      <c r="AQ20" s="36" t="s">
        <v>86</v>
      </c>
      <c r="AR20" s="19">
        <f t="shared" si="22"/>
        <v>5.44</v>
      </c>
      <c r="AS20" s="37" t="s">
        <v>86</v>
      </c>
      <c r="AT20" s="19">
        <f t="shared" si="20"/>
        <v>3.26</v>
      </c>
      <c r="AU20" s="37" t="s">
        <v>86</v>
      </c>
      <c r="AV20" s="19">
        <f t="shared" si="21"/>
        <v>6.11</v>
      </c>
      <c r="AW20" s="21"/>
      <c r="AX20" s="22">
        <f ca="1">IFERROR(__xludf.DUMMYFUNCTION("QUERY('Copy of PoliticalData'!AR$3:AR$55,""select AR where AR &gt; ""&amp;AR20&amp;"" order by AR limit 1"",0)"),5.89)</f>
        <v>5.89</v>
      </c>
      <c r="AY20" s="22">
        <f ca="1">IFERROR(__xludf.DUMMYFUNCTION("QUERY('Copy of PoliticalData'!AR$3:AR$55,""select AR where AR &lt; ""&amp;AR20&amp;"" order by AR desc limit 1"",0)"),5.26)</f>
        <v>5.26</v>
      </c>
      <c r="AZ20" s="23" t="str">
        <f ca="1">IFERROR(__xludf.DUMMYFUNCTION("IF((ABS(AR20-QUERY('Copy of PoliticalData'!AR$3:AR$55,""select AR where AR &gt; ""&amp;AR20&amp;"" order by AR limit 1"",0))) &gt; ABS(AR20-QUERY('Copy of PoliticalData'!AR$3:AR$55,""select AR where AR &lt; ""&amp;AR20&amp;"" order by AR desc limit 1"",0)), QUERY('Copy of Politic"&amp;"alData'!AQ$3:AR$55,""select AQ where AR = ""&amp;AY20&amp;"""",0), QUERY('Copy of PoliticalData'!AQ$3:AR$55,""select AQ where AR = ""&amp;AX20&amp;"""",0))"),"lev.pollock@tcstudents.org")</f>
        <v>lev.pollock@tcstudents.org</v>
      </c>
      <c r="BA20" s="24">
        <f ca="1">IFERROR(__xludf.DUMMYFUNCTION("QUERY('Copy of PoliticalData'!AT$3:AT$34,""select AT where AT &gt; ""&amp;AT20&amp;"" order by AT limit 1"",0)"),3.3)</f>
        <v>3.3</v>
      </c>
      <c r="BB20" s="24">
        <f ca="1">IFERROR(__xludf.DUMMYFUNCTION("QUERY('Copy of PoliticalData'!AT$3:AT$50,""select AT where AT &lt; ""&amp;AT20&amp;"" order by AT desc limit 1"",0)"),2.2)</f>
        <v>2.2000000000000002</v>
      </c>
      <c r="BC20" s="25" t="str">
        <f ca="1">IFERROR(__xludf.DUMMYFUNCTION("IF((ABS(AT20-QUERY('Copy of PoliticalData'!AT$3:AT$55,""select AT where AT &gt; ""&amp;AT20&amp;"" order by AT limit 1"",0))) &gt; ABS(AT20-QUERY('Copy of PoliticalData'!AT$3:AT$55,""select AT where AT &lt; ""&amp;AT20&amp;"" order by AT desc limit 1"",0)), QUERY('Copy of Politic"&amp;"alData'!AS$3:AT$55,""select AS where AT = ""&amp;BB20&amp;"""",0), QUERY('Copy of PoliticalData'!AS$3:AT$55,""select AS where AT = ""&amp;BA20&amp;"""",0))"),"eliyahu.freudenstein@tcstudents.org")</f>
        <v>eliyahu.freudenstein@tcstudents.org</v>
      </c>
      <c r="BD20" s="24">
        <f ca="1">IFERROR(__xludf.DUMMYFUNCTION("QUERY('Copy of PoliticalData'!AV$3:AV$34,""select AV where AV &gt; ""&amp;AV20&amp;"" order by AV limit 1"",0)"),6.42)</f>
        <v>6.42</v>
      </c>
      <c r="BE20" s="24">
        <f ca="1">IFERROR(__xludf.DUMMYFUNCTION("QUERY('Copy of PoliticalData'!AV$3:AV$50,""select AV where AV &lt; ""&amp;AV20&amp;"" order by AV desc limit 1"",0)"),5.58)</f>
        <v>5.58</v>
      </c>
      <c r="BF20" s="26" t="str">
        <f ca="1">IFERROR(__xludf.DUMMYFUNCTION("IF((ABS(AV20-QUERY('Copy of PoliticalData'!AV$3:AV$55,""select AV where AV &gt; ""&amp;AV20&amp;"" order by AV limit 1"",0))) &gt; ABS(AV20-QUERY('Copy of PoliticalData'!AV$3:AV$55,""select AV where AV &lt; ""&amp;AV20&amp;"" order by AV desc limit 1"",0)), QUERY('Copy of Politic"&amp;"alData'!AU$3:AV$55,""select AU where AV = ""&amp;BE20&amp;"""",0), QUERY('Copy of PoliticalData'!AU$3:AV$55,""select AU where AV = ""&amp;BD20&amp;"""",0))"),"isaac.mansell@tcstudents.org")</f>
        <v>isaac.mansell@tcstudents.org</v>
      </c>
      <c r="BG20" s="19"/>
      <c r="BH20" s="24" t="e">
        <f t="shared" ca="1" si="14"/>
        <v>#NAME?</v>
      </c>
      <c r="BI20" s="19" t="str">
        <f t="shared" si="15"/>
        <v>No</v>
      </c>
      <c r="BJ20" s="19" t="str">
        <f t="shared" si="16"/>
        <v>No</v>
      </c>
      <c r="BK20" s="19" t="str">
        <f t="shared" si="17"/>
        <v>No</v>
      </c>
      <c r="BL20" s="19" t="str">
        <f t="shared" si="18"/>
        <v>Yes</v>
      </c>
      <c r="BM20" s="28"/>
    </row>
    <row r="21" spans="1:65" ht="15.75" customHeight="1" x14ac:dyDescent="0.35">
      <c r="A21" s="39">
        <v>44250.873498263885</v>
      </c>
      <c r="B21" s="40">
        <v>7</v>
      </c>
      <c r="C21" s="40">
        <v>3</v>
      </c>
      <c r="D21" s="40">
        <v>3</v>
      </c>
      <c r="E21" s="40">
        <v>6</v>
      </c>
      <c r="F21" s="40">
        <v>7</v>
      </c>
      <c r="G21" s="40">
        <v>8</v>
      </c>
      <c r="H21" s="40">
        <v>6</v>
      </c>
      <c r="I21" s="40">
        <v>7</v>
      </c>
      <c r="J21" s="40">
        <v>7</v>
      </c>
      <c r="K21" s="40">
        <v>6</v>
      </c>
      <c r="L21" s="40">
        <v>7</v>
      </c>
      <c r="M21" s="40">
        <v>0</v>
      </c>
      <c r="N21" s="40">
        <v>6</v>
      </c>
      <c r="O21" s="40">
        <v>6</v>
      </c>
      <c r="P21" s="40">
        <v>0</v>
      </c>
      <c r="Q21" s="40">
        <v>9</v>
      </c>
      <c r="R21" s="40">
        <v>4</v>
      </c>
      <c r="S21" s="40">
        <v>7</v>
      </c>
      <c r="T21" s="40">
        <v>8</v>
      </c>
      <c r="U21" s="40">
        <v>10</v>
      </c>
      <c r="V21" s="40">
        <v>10</v>
      </c>
      <c r="W21" s="40">
        <v>6</v>
      </c>
      <c r="X21" s="40">
        <v>8</v>
      </c>
      <c r="Y21" s="40">
        <v>10</v>
      </c>
      <c r="Z21" s="40">
        <v>7</v>
      </c>
      <c r="AA21" s="40">
        <v>8</v>
      </c>
      <c r="AB21" s="40">
        <v>6</v>
      </c>
      <c r="AC21" s="40">
        <v>0</v>
      </c>
      <c r="AD21" s="12"/>
      <c r="AE21" s="13">
        <f t="shared" si="0"/>
        <v>5.9473684210526319</v>
      </c>
      <c r="AF21" s="14">
        <f t="shared" si="1"/>
        <v>4.0526315789473681</v>
      </c>
      <c r="AG21" s="14">
        <f t="shared" si="2"/>
        <v>7.35</v>
      </c>
      <c r="AH21" s="14">
        <f t="shared" si="3"/>
        <v>2.6500000000000004</v>
      </c>
      <c r="AI21" s="14">
        <f t="shared" si="4"/>
        <v>6.1052631578947372</v>
      </c>
      <c r="AJ21" s="14">
        <f t="shared" si="5"/>
        <v>3.8947368421052628</v>
      </c>
      <c r="AK21" s="15" t="str">
        <f t="shared" si="6"/>
        <v>Conservative:</v>
      </c>
      <c r="AL21" s="16">
        <f t="shared" si="7"/>
        <v>5.9473684210526319</v>
      </c>
      <c r="AM21" s="17" t="str">
        <f t="shared" si="8"/>
        <v>Conservative:</v>
      </c>
      <c r="AN21" s="16">
        <f t="shared" si="9"/>
        <v>7.35</v>
      </c>
      <c r="AO21" s="17" t="str">
        <f t="shared" si="10"/>
        <v>Libertarian:</v>
      </c>
      <c r="AP21" s="16">
        <f t="shared" si="11"/>
        <v>6.1052631578947372</v>
      </c>
      <c r="AQ21" s="36" t="s">
        <v>87</v>
      </c>
      <c r="AR21" s="19">
        <f t="shared" si="22"/>
        <v>1.89</v>
      </c>
      <c r="AS21" s="37" t="s">
        <v>87</v>
      </c>
      <c r="AT21" s="19">
        <f t="shared" si="20"/>
        <v>4.7</v>
      </c>
      <c r="AU21" s="37" t="s">
        <v>87</v>
      </c>
      <c r="AV21" s="19">
        <f t="shared" si="21"/>
        <v>2.21</v>
      </c>
      <c r="AW21" s="21"/>
      <c r="AX21" s="22">
        <f ca="1">IFERROR(__xludf.DUMMYFUNCTION("QUERY('Copy of PoliticalData'!AR$3:AR$55,""select AR where AR &gt; ""&amp;AR21&amp;"" order by AR limit 1"",0)"),2.74)</f>
        <v>2.74</v>
      </c>
      <c r="AY21" s="22">
        <f ca="1">IFERROR(__xludf.DUMMYFUNCTION("QUERY('Copy of PoliticalData'!AR$3:AR$55,""select AR where AR &lt; ""&amp;AR21&amp;"" order by AR desc limit 1"",0)"),1.58)</f>
        <v>1.58</v>
      </c>
      <c r="AZ21" s="23" t="str">
        <f ca="1">IFERROR(__xludf.DUMMYFUNCTION("IF((ABS(AR21-QUERY('Copy of PoliticalData'!AR$3:AR$55,""select AR where AR &gt; ""&amp;AR21&amp;"" order by AR limit 1"",0))) &gt; ABS(AR21-QUERY('Copy of PoliticalData'!AR$3:AR$55,""select AR where AR &lt; ""&amp;AR21&amp;"" order by AR desc limit 1"",0)), QUERY('Copy of Politic"&amp;"alData'!AQ$3:AR$55,""select AQ where AR = ""&amp;AY21&amp;"""",0), QUERY('Copy of PoliticalData'!AQ$3:AR$55,""select AQ where AR = ""&amp;AX21&amp;"""",0))"),"kyle.goldenberg@tcstudents.org")</f>
        <v>kyle.goldenberg@tcstudents.org</v>
      </c>
      <c r="BA21" s="24">
        <f ca="1">IFERROR(__xludf.DUMMYFUNCTION("QUERY('Copy of PoliticalData'!AT$3:AT$34,""select AT where AT &gt; ""&amp;AT21&amp;"" order by AT limit 1"",0)"),4.79)</f>
        <v>4.79</v>
      </c>
      <c r="BB21" s="24">
        <f ca="1">IFERROR(__xludf.DUMMYFUNCTION("QUERY('Copy of PoliticalData'!AT$3:AT$50,""select AT where AT &lt; ""&amp;AT21&amp;"" order by AT desc limit 1"",0)"),4.5)</f>
        <v>4.5</v>
      </c>
      <c r="BC21" s="25" t="str">
        <f ca="1">IFERROR(__xludf.DUMMYFUNCTION("IF((ABS(AT21-QUERY('Copy of PoliticalData'!AT$3:AT$55,""select AT where AT &gt; ""&amp;AT21&amp;"" order by AT limit 1"",0))) &gt; ABS(AT21-QUERY('Copy of PoliticalData'!AT$3:AT$55,""select AT where AT &lt; ""&amp;AT21&amp;"" order by AT desc limit 1"",0)), QUERY('Copy of Politic"&amp;"alData'!AS$3:AT$55,""select AS where AT = ""&amp;BB21&amp;"""",0), QUERY('Copy of PoliticalData'!AS$3:AT$55,""select AS where AT = ""&amp;BA21&amp;"""",0))"),"lev.pollock@tcstudents.org")</f>
        <v>lev.pollock@tcstudents.org</v>
      </c>
      <c r="BD21" s="24">
        <f ca="1">IFERROR(__xludf.DUMMYFUNCTION("QUERY('Copy of PoliticalData'!AV$3:AV$34,""select AV where AV &gt; ""&amp;AV21&amp;"" order by AV limit 1"",0)"),2.63)</f>
        <v>2.63</v>
      </c>
      <c r="BE21" s="24">
        <f ca="1">IFERROR(__xludf.DUMMYFUNCTION("QUERY('Copy of PoliticalData'!AV$3:AV$50,""select AV where AV &lt; ""&amp;AV21&amp;"" order by AV desc limit 1"",0)"),2.2)</f>
        <v>2.2000000000000002</v>
      </c>
      <c r="BF21" s="26" t="str">
        <f ca="1">IFERROR(__xludf.DUMMYFUNCTION("IF((ABS(AV21-QUERY('Copy of PoliticalData'!AV$3:AV$55,""select AV where AV &gt; ""&amp;AV21&amp;"" order by AV limit 1"",0))) &gt; ABS(AV21-QUERY('Copy of PoliticalData'!AV$3:AV$55,""select AV where AV &lt; ""&amp;AV21&amp;"" order by AV desc limit 1"",0)), QUERY('Copy of Politic"&amp;"alData'!AU$3:AV$55,""select AU where AV = ""&amp;BE21&amp;"""",0), QUERY('Copy of PoliticalData'!AU$3:AV$55,""select AU where AV = ""&amp;BD21&amp;"""",0))"),"ori.epstien@tcstudents.org")</f>
        <v>ori.epstien@tcstudents.org</v>
      </c>
      <c r="BG21" s="19"/>
      <c r="BH21" s="24" t="e">
        <f t="shared" ca="1" si="14"/>
        <v>#NAME?</v>
      </c>
      <c r="BI21" s="19" t="str">
        <f t="shared" si="15"/>
        <v>No</v>
      </c>
      <c r="BJ21" s="19" t="str">
        <f t="shared" si="16"/>
        <v>No</v>
      </c>
      <c r="BK21" s="19" t="str">
        <f t="shared" si="17"/>
        <v>No</v>
      </c>
      <c r="BL21" s="19" t="str">
        <f t="shared" si="18"/>
        <v>No</v>
      </c>
      <c r="BM21" s="28"/>
    </row>
    <row r="22" spans="1:65" ht="15.75" customHeight="1" x14ac:dyDescent="0.35">
      <c r="A22" s="39">
        <v>44250.88159715278</v>
      </c>
      <c r="B22" s="40">
        <v>10</v>
      </c>
      <c r="C22" s="40">
        <v>10</v>
      </c>
      <c r="D22" s="40">
        <v>10</v>
      </c>
      <c r="E22" s="40">
        <v>10</v>
      </c>
      <c r="F22" s="40">
        <v>10</v>
      </c>
      <c r="G22" s="40">
        <v>10</v>
      </c>
      <c r="H22" s="40">
        <v>10</v>
      </c>
      <c r="I22" s="40">
        <v>10</v>
      </c>
      <c r="J22" s="40">
        <v>10</v>
      </c>
      <c r="K22" s="40">
        <v>10</v>
      </c>
      <c r="L22" s="40">
        <v>10</v>
      </c>
      <c r="M22" s="40">
        <v>10</v>
      </c>
      <c r="N22" s="40">
        <v>10</v>
      </c>
      <c r="O22" s="40">
        <v>10</v>
      </c>
      <c r="P22" s="40">
        <v>10</v>
      </c>
      <c r="Q22" s="40">
        <v>10</v>
      </c>
      <c r="R22" s="40">
        <v>10</v>
      </c>
      <c r="S22" s="40">
        <v>10</v>
      </c>
      <c r="T22" s="40">
        <v>10</v>
      </c>
      <c r="U22" s="40">
        <v>10</v>
      </c>
      <c r="V22" s="40">
        <v>10</v>
      </c>
      <c r="W22" s="40">
        <v>10</v>
      </c>
      <c r="X22" s="40">
        <v>10</v>
      </c>
      <c r="Y22" s="40">
        <v>10</v>
      </c>
      <c r="Z22" s="40">
        <v>10</v>
      </c>
      <c r="AA22" s="40">
        <v>10</v>
      </c>
      <c r="AB22" s="40">
        <v>10</v>
      </c>
      <c r="AC22" s="40">
        <v>10</v>
      </c>
      <c r="AD22" s="12"/>
      <c r="AE22" s="13">
        <f t="shared" si="0"/>
        <v>10</v>
      </c>
      <c r="AF22" s="14">
        <f t="shared" si="1"/>
        <v>0</v>
      </c>
      <c r="AG22" s="14">
        <f t="shared" si="2"/>
        <v>9.5</v>
      </c>
      <c r="AH22" s="14">
        <f t="shared" si="3"/>
        <v>0.5</v>
      </c>
      <c r="AI22" s="14">
        <f t="shared" si="4"/>
        <v>10</v>
      </c>
      <c r="AJ22" s="14">
        <f t="shared" si="5"/>
        <v>0</v>
      </c>
      <c r="AK22" s="15" t="str">
        <f t="shared" si="6"/>
        <v>Conservative:</v>
      </c>
      <c r="AL22" s="16">
        <f t="shared" si="7"/>
        <v>10</v>
      </c>
      <c r="AM22" s="17" t="str">
        <f t="shared" si="8"/>
        <v>Conservative:</v>
      </c>
      <c r="AN22" s="16">
        <f t="shared" si="9"/>
        <v>9.5</v>
      </c>
      <c r="AO22" s="17" t="str">
        <f t="shared" si="10"/>
        <v>Libertarian:</v>
      </c>
      <c r="AP22" s="16">
        <f t="shared" si="11"/>
        <v>10</v>
      </c>
      <c r="AQ22" s="36" t="s">
        <v>88</v>
      </c>
      <c r="AR22" s="19">
        <f t="shared" si="22"/>
        <v>10</v>
      </c>
      <c r="AS22" s="37" t="s">
        <v>88</v>
      </c>
      <c r="AT22" s="19">
        <f t="shared" si="20"/>
        <v>9</v>
      </c>
      <c r="AU22" s="37" t="s">
        <v>88</v>
      </c>
      <c r="AV22" s="19">
        <f t="shared" si="21"/>
        <v>10</v>
      </c>
      <c r="AW22" s="21"/>
      <c r="AX22" s="42" t="str">
        <f ca="1">IFERROR(__xludf.DUMMYFUNCTION("QUERY('Copy of PoliticalData'!AR$3:AR$55,""select AR where AR &gt; ""&amp;AR22&amp;"" order by AR limit 1"",1)"),"5.9")</f>
        <v>5.9</v>
      </c>
      <c r="AY22" s="22">
        <f ca="1">IFERROR(__xludf.DUMMYFUNCTION("QUERY('Copy of PoliticalData'!AR$3:AR$55,""select AR where AR &lt; ""&amp;AR22&amp;"" order by AR desc limit 1"",0)"),6.32)</f>
        <v>6.32</v>
      </c>
      <c r="AZ22" s="23" t="str">
        <f ca="1">IFERROR(__xludf.DUMMYFUNCTION("IF((ABS(AR22-QUERY('Copy of PoliticalData'!AR$3:AR$55,""select AR where AR &gt; ""&amp;AR22&amp;"" order by AR limit 1"",1))) &gt; ABS(AR22-QUERY('Copy of PoliticalData'!AR$3:AR$55,""select AR where AR &lt; ""&amp;AR22&amp;"" order by AR desc limit 1"",0)), QUERY('Copy of Politic"&amp;"alData'!AQ$3:AR$55,""select AQ where AR = ""&amp;AY22&amp;"""",0), QUERY('Copy of PoliticalData'!AQ$3:AR$55,""select AQ where AR = ""&amp;AX22&amp;"""",0))"),"ethan.gasee@tcstudents.org")</f>
        <v>ethan.gasee@tcstudents.org</v>
      </c>
      <c r="BA22" s="43" t="str">
        <f ca="1">IFERROR(__xludf.DUMMYFUNCTION("QUERY('Copy of PoliticalData'!AT$3:AT$34,""select AT where AT &gt; ""&amp;AT22&amp;"" order by AT limit 1"",1)"),"5.3")</f>
        <v>5.3</v>
      </c>
      <c r="BB22" s="24">
        <f ca="1">IFERROR(__xludf.DUMMYFUNCTION("QUERY('Copy of PoliticalData'!AT$3:AT$50,""select AT where AT &lt; ""&amp;AT22&amp;"" order by AT desc limit 1"",0)"),6.6)</f>
        <v>6.6</v>
      </c>
      <c r="BC22" s="25" t="str">
        <f ca="1">IFERROR(__xludf.DUMMYFUNCTION("IF((ABS(AT22-QUERY('Copy of PoliticalData'!AT$3:AT$55,""select AT where AT &gt; ""&amp;AT22&amp;"" order by AT limit 1"",1))) &gt; ABS(AT22-QUERY('Copy of PoliticalData'!AT$3:AT$55,""select AT where AT &lt; ""&amp;AT22&amp;"" order by AT desc limit 1"",0)), QUERY('Copy of Politic"&amp;"alData'!AS$3:AT$55,""select AS where AT = ""&amp;BB22&amp;"""",0), QUERY('Copy of PoliticalData'!AS$3:AT$55,""select AS where AT = ""&amp;BA22&amp;"""",0))"),"ethan.gasee@tcstudents.org")</f>
        <v>ethan.gasee@tcstudents.org</v>
      </c>
      <c r="BD22" s="43" t="str">
        <f ca="1">IFERROR(__xludf.DUMMYFUNCTION("QUERY('Copy of PoliticalData'!AV$3:AV$34,""select AV where AV &gt; ""&amp;AV22&amp;"" order by AV limit 1"",1)"),"6.4")</f>
        <v>6.4</v>
      </c>
      <c r="BE22" s="24">
        <f ca="1">IFERROR(__xludf.DUMMYFUNCTION("QUERY('Copy of PoliticalData'!AV$3:AV$50,""select AV where AV &lt; ""&amp;AV22&amp;"" order by AV desc limit 1"",0)"),6.42)</f>
        <v>6.42</v>
      </c>
      <c r="BF22" s="26" t="str">
        <f ca="1">IFERROR(__xludf.DUMMYFUNCTION("IF((ABS(AV22-QUERY('Copy of PoliticalData'!AV$3:AV$55,""select AV where AV &gt; ""&amp;AV22&amp;"" order by AV limit 1"",1))) &gt; ABS(AV22-QUERY('Copy of PoliticalData'!AV$3:AV$55,""select AV where AV &lt; ""&amp;AV22&amp;"" order by AV desc limit 1"",0)), QUERY('Copy of Politic"&amp;"alData'!AU$3:AV$55,""select AU where AV = ""&amp;BE22&amp;"""",0), QUERY('Copy of PoliticalData'!AU$3:AV$55,""select AU where AV = ""&amp;BD22&amp;"""",0))"),"isaac.mansell@tcstudents.org")</f>
        <v>isaac.mansell@tcstudents.org</v>
      </c>
      <c r="BG22" s="19"/>
      <c r="BH22" s="24" t="e">
        <f t="shared" ca="1" si="14"/>
        <v>#NAME?</v>
      </c>
      <c r="BI22" s="19" t="str">
        <f t="shared" si="15"/>
        <v>Yes</v>
      </c>
      <c r="BJ22" s="19" t="str">
        <f t="shared" si="16"/>
        <v>No</v>
      </c>
      <c r="BK22" s="19" t="str">
        <f t="shared" si="17"/>
        <v>Yes</v>
      </c>
      <c r="BL22" s="19" t="str">
        <f t="shared" si="18"/>
        <v>Yes</v>
      </c>
      <c r="BM22" s="28"/>
    </row>
    <row r="23" spans="1:65" ht="15.75" customHeight="1" x14ac:dyDescent="0.35">
      <c r="A23" s="39">
        <v>44250.883395266203</v>
      </c>
      <c r="B23" s="40">
        <v>10</v>
      </c>
      <c r="C23" s="40">
        <v>10</v>
      </c>
      <c r="D23" s="40">
        <v>8</v>
      </c>
      <c r="E23" s="40">
        <v>10</v>
      </c>
      <c r="F23" s="40">
        <v>10</v>
      </c>
      <c r="G23" s="40">
        <v>8</v>
      </c>
      <c r="H23" s="40">
        <v>8</v>
      </c>
      <c r="I23" s="40">
        <v>8</v>
      </c>
      <c r="J23" s="40">
        <v>9</v>
      </c>
      <c r="K23" s="40">
        <v>10</v>
      </c>
      <c r="L23" s="40">
        <v>10</v>
      </c>
      <c r="M23" s="40">
        <v>0</v>
      </c>
      <c r="N23" s="40">
        <v>10</v>
      </c>
      <c r="O23" s="40">
        <v>1</v>
      </c>
      <c r="P23" s="40">
        <v>8</v>
      </c>
      <c r="Q23" s="40">
        <v>9</v>
      </c>
      <c r="R23" s="40">
        <v>0</v>
      </c>
      <c r="S23" s="40">
        <v>8</v>
      </c>
      <c r="T23" s="40">
        <v>9</v>
      </c>
      <c r="U23" s="40">
        <v>10</v>
      </c>
      <c r="V23" s="40">
        <v>10</v>
      </c>
      <c r="W23" s="40">
        <v>8</v>
      </c>
      <c r="X23" s="40">
        <v>0</v>
      </c>
      <c r="Y23" s="40">
        <v>10</v>
      </c>
      <c r="Z23" s="40">
        <v>8</v>
      </c>
      <c r="AA23" s="40">
        <v>10</v>
      </c>
      <c r="AB23" s="40">
        <v>10</v>
      </c>
      <c r="AC23" s="40">
        <v>6</v>
      </c>
      <c r="AD23" s="12"/>
      <c r="AE23" s="13">
        <f t="shared" si="0"/>
        <v>8.1578947368421044</v>
      </c>
      <c r="AF23" s="14">
        <f t="shared" si="1"/>
        <v>1.8421052631578956</v>
      </c>
      <c r="AG23" s="14">
        <f t="shared" si="2"/>
        <v>8.3000000000000007</v>
      </c>
      <c r="AH23" s="14">
        <f t="shared" si="3"/>
        <v>1.6999999999999993</v>
      </c>
      <c r="AI23" s="14">
        <f t="shared" si="4"/>
        <v>7.7894736842105265</v>
      </c>
      <c r="AJ23" s="14">
        <f t="shared" si="5"/>
        <v>2.2105263157894735</v>
      </c>
      <c r="AK23" s="15" t="str">
        <f t="shared" si="6"/>
        <v>Conservative:</v>
      </c>
      <c r="AL23" s="16">
        <f t="shared" si="7"/>
        <v>8.1578947368421044</v>
      </c>
      <c r="AM23" s="17" t="str">
        <f t="shared" si="8"/>
        <v>Conservative:</v>
      </c>
      <c r="AN23" s="16">
        <f t="shared" si="9"/>
        <v>8.3000000000000007</v>
      </c>
      <c r="AO23" s="17" t="str">
        <f t="shared" si="10"/>
        <v>Libertarian:</v>
      </c>
      <c r="AP23" s="16">
        <f t="shared" si="11"/>
        <v>7.7894736842105265</v>
      </c>
      <c r="AQ23" s="36" t="s">
        <v>89</v>
      </c>
      <c r="AR23" s="19">
        <f t="shared" si="22"/>
        <v>6.32</v>
      </c>
      <c r="AS23" s="37" t="s">
        <v>89</v>
      </c>
      <c r="AT23" s="19">
        <f t="shared" si="20"/>
        <v>6.6</v>
      </c>
      <c r="AU23" s="37" t="s">
        <v>89</v>
      </c>
      <c r="AV23" s="19">
        <f t="shared" si="21"/>
        <v>5.58</v>
      </c>
      <c r="AW23" s="21"/>
      <c r="AX23" s="22">
        <f ca="1">IFERROR(__xludf.DUMMYFUNCTION("QUERY('Copy of PoliticalData'!AR$3:AR$55,""select AR where AR &gt; ""&amp;AR23&amp;"" order by AR limit 1"",0)"),10)</f>
        <v>10</v>
      </c>
      <c r="AY23" s="22">
        <f ca="1">IFERROR(__xludf.DUMMYFUNCTION("QUERY('Copy of PoliticalData'!AR$3:AR$55,""select AR where AR &lt; ""&amp;AR23&amp;"" order by AR desc limit 1"",0)"),5.89)</f>
        <v>5.89</v>
      </c>
      <c r="AZ23" s="23" t="str">
        <f ca="1">IFERROR(__xludf.DUMMYFUNCTION("IF((ABS(AR23-QUERY('Copy of PoliticalData'!AR$3:AR$55,""select AR where AR &gt; ""&amp;AR23&amp;"" order by AR limit 1"",0))) &gt; ABS(AR23-QUERY('Copy of PoliticalData'!AR$3:AR$55,""select AR where AR &lt; ""&amp;AR23&amp;"" order by AR desc limit 1"",0)), QUERY('Copy of Politic"&amp;"alData'!AQ$3:AR$55,""select AQ where AR = ""&amp;AY23&amp;"""",0), QUERY('Copy of PoliticalData'!AQ$3:AR$55,""select AQ where AR = ""&amp;AX23&amp;"""",0))"),"isaac.mansell@tcstudents.org")</f>
        <v>isaac.mansell@tcstudents.org</v>
      </c>
      <c r="BA23" s="24">
        <f ca="1">IFERROR(__xludf.DUMMYFUNCTION("QUERY('Copy of PoliticalData'!AT$3:AT$34,""select AT where AT &gt; ""&amp;AT23&amp;"" order by AT limit 1"",0)"),9)</f>
        <v>9</v>
      </c>
      <c r="BB23" s="24">
        <f ca="1">IFERROR(__xludf.DUMMYFUNCTION("QUERY('Copy of PoliticalData'!AT$3:AT$50,""select AT where AT &lt; ""&amp;AT23&amp;"" order by AT desc limit 1"",0)"),5.9)</f>
        <v>5.9</v>
      </c>
      <c r="BC23" s="25" t="str">
        <f ca="1">IFERROR(__xludf.DUMMYFUNCTION("IF((ABS(AT23-QUERY('Copy of PoliticalData'!AT$3:AT$55,""select AT where AT &gt; ""&amp;AT23&amp;"" order by AT limit 1"",0))) &gt; ABS(AT23-QUERY('Copy of PoliticalData'!AT$3:AT$55,""select AT where AT &lt; ""&amp;AT23&amp;"" order by AT desc limit 1"",0)), QUERY('Copy of Politic"&amp;"alData'!AS$3:AT$55,""select AS where AT = ""&amp;BB23&amp;"""",0), QUERY('Copy of PoliticalData'!AS$3:AT$55,""select AS where AT = ""&amp;BA23&amp;"""",0))"),"isaac.slavens@tcstudents.org")</f>
        <v>isaac.slavens@tcstudents.org</v>
      </c>
      <c r="BD23" s="24">
        <f ca="1">IFERROR(__xludf.DUMMYFUNCTION("QUERY('Copy of PoliticalData'!AV$3:AV$34,""select AV where AV &gt; ""&amp;AV23&amp;"" order by AV limit 1"",0)"),6.11)</f>
        <v>6.11</v>
      </c>
      <c r="BE23" s="24">
        <f ca="1">IFERROR(__xludf.DUMMYFUNCTION("QUERY('Copy of PoliticalData'!AV$3:AV$50,""select AV where AV &lt; ""&amp;AV23&amp;"" order by AV desc limit 1"",0)"),5.47)</f>
        <v>5.47</v>
      </c>
      <c r="BF23" s="26" t="str">
        <f ca="1">IFERROR(__xludf.DUMMYFUNCTION("IF((ABS(AV23-QUERY('Copy of PoliticalData'!AV$3:AV$55,""select AV where AV &gt; ""&amp;AV23&amp;"" order by AV limit 1"",0))) &gt; ABS(AV23-QUERY('Copy of PoliticalData'!AV$3:AV$55,""select AV where AV &lt; ""&amp;AV23&amp;"" order by AV desc limit 1"",0)), QUERY('Copy of Politic"&amp;"alData'!AU$3:AV$55,""select AU where AV = ""&amp;BE23&amp;"""",0), QUERY('Copy of PoliticalData'!AU$3:AV$55,""select AU where AV = ""&amp;BD23&amp;"""",0))"),"lev.pollock@tcstudents.org")</f>
        <v>lev.pollock@tcstudents.org</v>
      </c>
      <c r="BG23" s="19"/>
      <c r="BH23" s="24" t="e">
        <f t="shared" ca="1" si="14"/>
        <v>#NAME?</v>
      </c>
      <c r="BI23" s="19" t="str">
        <f t="shared" si="15"/>
        <v>No</v>
      </c>
      <c r="BJ23" s="19" t="str">
        <f t="shared" si="16"/>
        <v>No</v>
      </c>
      <c r="BK23" s="19" t="str">
        <f t="shared" si="17"/>
        <v>Yes</v>
      </c>
      <c r="BL23" s="19" t="str">
        <f t="shared" si="18"/>
        <v>Yes</v>
      </c>
      <c r="BM23" s="28"/>
    </row>
    <row r="24" spans="1:65" ht="14.5" x14ac:dyDescent="0.35">
      <c r="A24" s="39">
        <v>44250.890543472226</v>
      </c>
      <c r="B24" s="40">
        <v>8</v>
      </c>
      <c r="C24" s="40">
        <v>3</v>
      </c>
      <c r="D24" s="40">
        <v>5</v>
      </c>
      <c r="E24" s="40">
        <v>8</v>
      </c>
      <c r="F24" s="40">
        <v>8</v>
      </c>
      <c r="G24" s="40">
        <v>8</v>
      </c>
      <c r="H24" s="40">
        <v>7</v>
      </c>
      <c r="I24" s="40">
        <v>7</v>
      </c>
      <c r="J24" s="40">
        <v>7</v>
      </c>
      <c r="K24" s="40">
        <v>7</v>
      </c>
      <c r="L24" s="40">
        <v>8</v>
      </c>
      <c r="M24" s="40">
        <v>9</v>
      </c>
      <c r="N24" s="40">
        <v>8</v>
      </c>
      <c r="O24" s="40">
        <v>5</v>
      </c>
      <c r="P24" s="40">
        <v>3</v>
      </c>
      <c r="Q24" s="40">
        <v>10</v>
      </c>
      <c r="R24" s="40">
        <v>10</v>
      </c>
      <c r="S24" s="40">
        <v>7</v>
      </c>
      <c r="T24" s="40">
        <v>9</v>
      </c>
      <c r="U24" s="40">
        <v>10</v>
      </c>
      <c r="V24" s="40">
        <v>10</v>
      </c>
      <c r="W24" s="40">
        <v>2</v>
      </c>
      <c r="X24" s="40">
        <v>9</v>
      </c>
      <c r="Y24" s="40">
        <v>9</v>
      </c>
      <c r="Z24" s="40">
        <v>7</v>
      </c>
      <c r="AA24" s="40">
        <v>7</v>
      </c>
      <c r="AB24" s="40">
        <v>9</v>
      </c>
      <c r="AC24" s="40">
        <v>2</v>
      </c>
      <c r="AD24" s="12"/>
      <c r="AE24" s="13">
        <f t="shared" si="0"/>
        <v>7</v>
      </c>
      <c r="AF24" s="14">
        <f t="shared" si="1"/>
        <v>3</v>
      </c>
      <c r="AG24" s="14">
        <f t="shared" si="2"/>
        <v>7.15</v>
      </c>
      <c r="AH24" s="14">
        <f t="shared" si="3"/>
        <v>2.8499999999999996</v>
      </c>
      <c r="AI24" s="14">
        <f t="shared" si="4"/>
        <v>7.5263157894736841</v>
      </c>
      <c r="AJ24" s="14">
        <f t="shared" si="5"/>
        <v>2.4736842105263159</v>
      </c>
      <c r="AK24" s="15" t="str">
        <f t="shared" si="6"/>
        <v>Conservative:</v>
      </c>
      <c r="AL24" s="16">
        <f t="shared" si="7"/>
        <v>7</v>
      </c>
      <c r="AM24" s="17" t="str">
        <f t="shared" si="8"/>
        <v>Conservative:</v>
      </c>
      <c r="AN24" s="16">
        <f t="shared" si="9"/>
        <v>7.15</v>
      </c>
      <c r="AO24" s="17" t="str">
        <f t="shared" si="10"/>
        <v>Libertarian:</v>
      </c>
      <c r="AP24" s="16">
        <f t="shared" si="11"/>
        <v>7.5263157894736841</v>
      </c>
      <c r="AQ24" s="36" t="s">
        <v>90</v>
      </c>
      <c r="AR24" s="19">
        <f t="shared" si="22"/>
        <v>4</v>
      </c>
      <c r="AS24" s="37" t="s">
        <v>90</v>
      </c>
      <c r="AT24" s="19">
        <f t="shared" si="20"/>
        <v>4.3</v>
      </c>
      <c r="AU24" s="37" t="s">
        <v>90</v>
      </c>
      <c r="AV24" s="19">
        <f t="shared" si="21"/>
        <v>5.05</v>
      </c>
      <c r="AW24" s="21"/>
      <c r="AX24" s="22">
        <f ca="1">IFERROR(__xludf.DUMMYFUNCTION("QUERY('Copy of PoliticalData'!AR$3:AR$55,""select AR where AR &gt; ""&amp;AR24&amp;"" order by AR limit 1"",0)"),4.01)</f>
        <v>4.01</v>
      </c>
      <c r="AY24" s="22">
        <f ca="1">IFERROR(__xludf.DUMMYFUNCTION("QUERY('Copy of PoliticalData'!AR$3:AR$55,""select AR where AR &lt; ""&amp;AR24&amp;"" order by AR desc limit 1"",0)"),3.89)</f>
        <v>3.89</v>
      </c>
      <c r="AZ24" s="23" t="str">
        <f ca="1">IFERROR(__xludf.DUMMYFUNCTION("IF((ABS(AR24-QUERY('Copy of PoliticalData'!AR$3:AR$55,""select AR where AR &gt; ""&amp;AR24&amp;"" order by AR limit 1"",0))) &gt; ABS(AR24-QUERY('Copy of PoliticalData'!AR$3:AR$55,""select AR where AR &lt; ""&amp;AR24&amp;"" order by AR desc limit 1"",0)), QUERY('Copy of Politic"&amp;"alData'!AQ$3:AR$55,""select AQ where AR = ""&amp;AY24&amp;"""",0), QUERY('Copy of PoliticalData'!AQ$3:AR$55,""select AQ where AR = ""&amp;AX24&amp;"""",0))"),"isaac.slavens@tcstudents.org")</f>
        <v>isaac.slavens@tcstudents.org</v>
      </c>
      <c r="BA24" s="24">
        <f ca="1">IFERROR(__xludf.DUMMYFUNCTION("QUERY('Copy of PoliticalData'!AT$3:AT$34,""select AT where AT &gt; ""&amp;AT24&amp;"" order by AT limit 1"",0)"),4.5)</f>
        <v>4.5</v>
      </c>
      <c r="BB24" s="24">
        <f ca="1">IFERROR(__xludf.DUMMYFUNCTION("QUERY('Copy of PoliticalData'!AT$3:AT$50,""select AT where AT &lt; ""&amp;AT24&amp;"" order by AT desc limit 1"",0)"),4.1)</f>
        <v>4.0999999999999996</v>
      </c>
      <c r="BC24" s="25" t="str">
        <f ca="1">IFERROR(__xludf.DUMMYFUNCTION("IF((ABS(AT24-QUERY('Copy of PoliticalData'!AT$3:AT$55,""select AT where AT &gt; ""&amp;AT24&amp;"" order by AT limit 1"",0))) &gt; ABS(AT24-QUERY('Copy of PoliticalData'!AT$3:AT$55,""select AT where AT &lt; ""&amp;AT24&amp;"" order by AT desc limit 1"",0)), QUERY('Copy of Politic"&amp;"alData'!AS$3:AT$55,""select AS where AT = ""&amp;BB24&amp;"""",0), QUERY('Copy of PoliticalData'!AS$3:AT$55,""select AS where AT = ""&amp;BA24&amp;"""",0))"),"caleb.mansell@tcstudents.org")</f>
        <v>caleb.mansell@tcstudents.org</v>
      </c>
      <c r="BD24" s="24">
        <f ca="1">IFERROR(__xludf.DUMMYFUNCTION("QUERY('Copy of PoliticalData'!AV$3:AV$34,""select AV where AV &gt; ""&amp;AV24&amp;"" order by AV limit 1"",0)"),5.46)</f>
        <v>5.46</v>
      </c>
      <c r="BE24" s="24">
        <f ca="1">IFERROR(__xludf.DUMMYFUNCTION("QUERY('Copy of PoliticalData'!AV$3:AV$50,""select AV where AV &lt; ""&amp;AV24&amp;"" order by AV desc limit 1"",0)"),4.84)</f>
        <v>4.84</v>
      </c>
      <c r="BF24" s="26" t="str">
        <f ca="1">IFERROR(__xludf.DUMMYFUNCTION("IF((ABS(AV24-QUERY('Copy of PoliticalData'!AV$3:AV$55,""select AV where AV &gt; ""&amp;AV24&amp;"" order by AV limit 1"",0))) &gt; ABS(AV24-QUERY('Copy of PoliticalData'!AV$3:AV$55,""select AV where AV &lt; ""&amp;AV24&amp;"" order by AV desc limit 1"",0)), QUERY('Copy of Politic"&amp;"alData'!AU$3:AV$55,""select AU where AV = ""&amp;BE24&amp;"""",0), QUERY('Copy of PoliticalData'!AU$3:AV$55,""select AU where AV = ""&amp;BD24&amp;"""",0))"),"isaac.slavens@tcstudents.org")</f>
        <v>isaac.slavens@tcstudents.org</v>
      </c>
      <c r="BG24" s="19"/>
      <c r="BH24" s="24" t="e">
        <f t="shared" ca="1" si="14"/>
        <v>#NAME?</v>
      </c>
      <c r="BI24" s="19" t="str">
        <f t="shared" si="15"/>
        <v>No</v>
      </c>
      <c r="BJ24" s="19" t="str">
        <f t="shared" si="16"/>
        <v>No</v>
      </c>
      <c r="BK24" s="19" t="str">
        <f t="shared" si="17"/>
        <v>No</v>
      </c>
      <c r="BL24" s="19" t="str">
        <f t="shared" si="18"/>
        <v>Yes</v>
      </c>
      <c r="BM24" s="28"/>
    </row>
    <row r="25" spans="1:65" ht="14.5" x14ac:dyDescent="0.35">
      <c r="A25" s="44">
        <v>44250.917583796298</v>
      </c>
      <c r="B25" s="45">
        <v>10</v>
      </c>
      <c r="C25" s="45">
        <v>6</v>
      </c>
      <c r="D25" s="45">
        <v>5</v>
      </c>
      <c r="E25" s="45">
        <v>6</v>
      </c>
      <c r="F25" s="45">
        <v>7</v>
      </c>
      <c r="G25" s="45">
        <v>9</v>
      </c>
      <c r="H25" s="45">
        <v>5</v>
      </c>
      <c r="I25" s="45">
        <v>8</v>
      </c>
      <c r="J25" s="45">
        <v>8</v>
      </c>
      <c r="K25" s="45">
        <v>6</v>
      </c>
      <c r="L25" s="45">
        <v>5</v>
      </c>
      <c r="M25" s="45">
        <v>6</v>
      </c>
      <c r="N25" s="45">
        <v>8</v>
      </c>
      <c r="O25" s="45">
        <v>8</v>
      </c>
      <c r="P25" s="45">
        <v>2</v>
      </c>
      <c r="Q25" s="45">
        <v>10</v>
      </c>
      <c r="R25" s="45">
        <v>8</v>
      </c>
      <c r="S25" s="45">
        <v>8</v>
      </c>
      <c r="T25" s="45">
        <v>7</v>
      </c>
      <c r="U25" s="45">
        <v>10</v>
      </c>
      <c r="V25" s="45">
        <v>10</v>
      </c>
      <c r="W25" s="45">
        <v>8</v>
      </c>
      <c r="X25" s="45">
        <v>10</v>
      </c>
      <c r="Y25" s="45">
        <v>10</v>
      </c>
      <c r="Z25" s="45">
        <v>10</v>
      </c>
      <c r="AA25" s="45">
        <v>8</v>
      </c>
      <c r="AB25" s="45">
        <v>8</v>
      </c>
      <c r="AC25" s="45">
        <v>0</v>
      </c>
      <c r="AD25" s="12"/>
      <c r="AE25" s="13">
        <f t="shared" si="0"/>
        <v>7.0526315789473681</v>
      </c>
      <c r="AF25" s="14">
        <f t="shared" si="1"/>
        <v>2.9473684210526319</v>
      </c>
      <c r="AG25" s="14">
        <f t="shared" si="2"/>
        <v>7.95</v>
      </c>
      <c r="AH25" s="14">
        <f t="shared" si="3"/>
        <v>2.0499999999999998</v>
      </c>
      <c r="AI25" s="14">
        <f t="shared" si="4"/>
        <v>7.4210526315789478</v>
      </c>
      <c r="AJ25" s="14">
        <f t="shared" si="5"/>
        <v>2.5789473684210522</v>
      </c>
      <c r="AK25" s="15" t="str">
        <f t="shared" si="6"/>
        <v>Conservative:</v>
      </c>
      <c r="AL25" s="16">
        <f t="shared" si="7"/>
        <v>7.0526315789473681</v>
      </c>
      <c r="AM25" s="17" t="str">
        <f t="shared" si="8"/>
        <v>Conservative:</v>
      </c>
      <c r="AN25" s="16">
        <f t="shared" si="9"/>
        <v>7.95</v>
      </c>
      <c r="AO25" s="17" t="str">
        <f t="shared" si="10"/>
        <v>Libertarian:</v>
      </c>
      <c r="AP25" s="16">
        <f t="shared" si="11"/>
        <v>7.4210526315789478</v>
      </c>
      <c r="AQ25" s="46" t="s">
        <v>91</v>
      </c>
      <c r="AR25" s="19">
        <f>ROUND(IF(AE25 &gt; 5, (AE25*2)-10.1, (-AF25*2)+10), 2)</f>
        <v>4.01</v>
      </c>
      <c r="AS25" s="37" t="s">
        <v>91</v>
      </c>
      <c r="AT25" s="19">
        <f t="shared" si="20"/>
        <v>5.9</v>
      </c>
      <c r="AU25" s="37" t="s">
        <v>91</v>
      </c>
      <c r="AV25" s="19">
        <f t="shared" si="21"/>
        <v>4.84</v>
      </c>
      <c r="AW25" s="21"/>
      <c r="AX25" s="22">
        <f ca="1">IFERROR(__xludf.DUMMYFUNCTION("QUERY('Copy of PoliticalData'!AR$3:AR$55,""select AR where AR &gt; ""&amp;AR25&amp;"" order by AR limit 1"",0)"),4.11)</f>
        <v>4.1100000000000003</v>
      </c>
      <c r="AY25" s="22">
        <f ca="1">IFERROR(__xludf.DUMMYFUNCTION("QUERY('Copy of PoliticalData'!AR$3:AR$55,""select AR where AR &lt; ""&amp;AR25&amp;"" order by AR desc limit 1"",0)"),4)</f>
        <v>4</v>
      </c>
      <c r="AZ25" s="23" t="str">
        <f ca="1">IFERROR(__xludf.DUMMYFUNCTION("IF((ABS(AR25-QUERY('Copy of PoliticalData'!AR$3:AR$55,""select AR where AR &gt; ""&amp;AR25&amp;"" order by AR limit 1"",0))) &gt; ABS(AR25-QUERY('Copy of PoliticalData'!AR$3:AR$55,""select AR where AR &lt; ""&amp;AR25&amp;"" order by AR desc limit 1"",0)), QUERY('Copy of Politic"&amp;"alData'!AQ$3:AR$55,""select AQ where AR = ""&amp;AY25&amp;"""",0), QUERY('Copy of PoliticalData'!AQ$3:AR$55,""select AQ where AR = ""&amp;AX25&amp;"""",0))"),"zev.bell@tcstudents.org")</f>
        <v>zev.bell@tcstudents.org</v>
      </c>
      <c r="BA25" s="24">
        <f ca="1">IFERROR(__xludf.DUMMYFUNCTION("QUERY('Copy of PoliticalData'!AT$3:AT$34,""select AT where AT &gt; ""&amp;AT25&amp;"" order by AT limit 1"",0)"),6.6)</f>
        <v>6.6</v>
      </c>
      <c r="BB25" s="24">
        <f ca="1">IFERROR(__xludf.DUMMYFUNCTION("QUERY('Copy of PoliticalData'!AT$3:AT$50,""select AT where AT &lt; ""&amp;AT25&amp;"" order by AT desc limit 1"",0)"),5.3)</f>
        <v>5.3</v>
      </c>
      <c r="BC25" s="25" t="str">
        <f ca="1">IFERROR(__xludf.DUMMYFUNCTION("IF((ABS(AT25-QUERY('Copy of PoliticalData'!AT$3:AT$55,""select AT where AT &gt; ""&amp;AT25&amp;"" order by AT limit 1"",0))) &gt; ABS(AT25-QUERY('Copy of PoliticalData'!AT$3:AT$55,""select AT where AT &lt; ""&amp;AT25&amp;"" order by AT desc limit 1"",0)), QUERY('Copy of Politic"&amp;"alData'!AS$3:AT$55,""select AS where AT = ""&amp;BB25&amp;"""",0), QUERY('Copy of PoliticalData'!AS$3:AT$55,""select AS where AT = ""&amp;BA25&amp;"""",0))"),"isaac.mansell@tcstudents.org")</f>
        <v>isaac.mansell@tcstudents.org</v>
      </c>
      <c r="BD25" s="24">
        <f ca="1">IFERROR(__xludf.DUMMYFUNCTION("QUERY('Copy of PoliticalData'!AV$3:AV$34,""select AV where AV &gt; ""&amp;AV25&amp;"" order by AV limit 1"",0)"),5.05)</f>
        <v>5.05</v>
      </c>
      <c r="BE25" s="24">
        <f ca="1">IFERROR(__xludf.DUMMYFUNCTION("QUERY('Copy of PoliticalData'!AV$3:AV$50,""select AV where AV &lt; ""&amp;AV25&amp;"" order by AV desc limit 1"",0)"),4.42)</f>
        <v>4.42</v>
      </c>
      <c r="BF25" s="26" t="str">
        <f ca="1">IFERROR(__xludf.DUMMYFUNCTION("IF((ABS(AV25-QUERY('Copy of PoliticalData'!AV$3:AV$55,""select AV where AV &gt; ""&amp;AV25&amp;"" order by AV limit 1"",0))) &gt; ABS(AV25-QUERY('Copy of PoliticalData'!AV$3:AV$55,""select AV where AV &lt; ""&amp;AV25&amp;"" order by AV desc limit 1"",0)), QUERY('Copy of Politic"&amp;"alData'!AU$3:AV$55,""select AU where AV = ""&amp;BE25&amp;"""",0), QUERY('Copy of PoliticalData'!AU$3:AV$55,""select AU where AV = ""&amp;BD25&amp;"""",0))"),"zev.bell@tcstudents.org")</f>
        <v>zev.bell@tcstudents.org</v>
      </c>
      <c r="BG25" s="19"/>
      <c r="BH25" s="24" t="e">
        <f t="shared" ca="1" si="14"/>
        <v>#NAME?</v>
      </c>
      <c r="BI25" s="19" t="str">
        <f t="shared" si="15"/>
        <v>No</v>
      </c>
      <c r="BJ25" s="19" t="str">
        <f t="shared" si="16"/>
        <v>No</v>
      </c>
      <c r="BK25" s="19" t="str">
        <f t="shared" si="17"/>
        <v>Yes</v>
      </c>
      <c r="BL25" s="19" t="str">
        <f t="shared" si="18"/>
        <v>No</v>
      </c>
      <c r="BM25" s="28"/>
    </row>
    <row r="26" spans="1:65" ht="14.5" x14ac:dyDescent="0.35">
      <c r="A26" s="44">
        <v>44250.969107743054</v>
      </c>
      <c r="B26" s="45">
        <v>2</v>
      </c>
      <c r="C26" s="45">
        <v>2</v>
      </c>
      <c r="D26" s="45">
        <v>1</v>
      </c>
      <c r="E26" s="45">
        <v>1</v>
      </c>
      <c r="F26" s="45">
        <v>0</v>
      </c>
      <c r="G26" s="45">
        <v>2</v>
      </c>
      <c r="H26" s="45">
        <v>5</v>
      </c>
      <c r="I26" s="45">
        <v>1</v>
      </c>
      <c r="J26" s="45">
        <v>1</v>
      </c>
      <c r="K26" s="45">
        <v>6</v>
      </c>
      <c r="L26" s="45">
        <v>0</v>
      </c>
      <c r="M26" s="45">
        <v>8</v>
      </c>
      <c r="N26" s="45">
        <v>7</v>
      </c>
      <c r="O26" s="45">
        <v>0</v>
      </c>
      <c r="P26" s="45">
        <v>9</v>
      </c>
      <c r="Q26" s="45">
        <v>3</v>
      </c>
      <c r="R26" s="45">
        <v>2</v>
      </c>
      <c r="S26" s="45">
        <v>3</v>
      </c>
      <c r="T26" s="45">
        <v>2</v>
      </c>
      <c r="U26" s="45">
        <v>4</v>
      </c>
      <c r="V26" s="45">
        <v>8</v>
      </c>
      <c r="W26" s="45">
        <v>2</v>
      </c>
      <c r="X26" s="45">
        <v>5</v>
      </c>
      <c r="Y26" s="45">
        <v>5</v>
      </c>
      <c r="Z26" s="45">
        <v>5</v>
      </c>
      <c r="AA26" s="45">
        <v>5</v>
      </c>
      <c r="AB26" s="45">
        <v>3</v>
      </c>
      <c r="AC26" s="45">
        <v>0</v>
      </c>
      <c r="AD26" s="12"/>
      <c r="AE26" s="13">
        <f t="shared" si="0"/>
        <v>2.6315789473684212</v>
      </c>
      <c r="AF26" s="14">
        <f t="shared" si="1"/>
        <v>7.3684210526315788</v>
      </c>
      <c r="AG26" s="14">
        <f t="shared" si="2"/>
        <v>3.4</v>
      </c>
      <c r="AH26" s="14">
        <f t="shared" si="3"/>
        <v>6.6</v>
      </c>
      <c r="AI26" s="14">
        <f t="shared" si="4"/>
        <v>3.1052631578947367</v>
      </c>
      <c r="AJ26" s="14">
        <f t="shared" si="5"/>
        <v>6.8947368421052637</v>
      </c>
      <c r="AK26" s="15" t="str">
        <f t="shared" si="6"/>
        <v>Liberal:</v>
      </c>
      <c r="AL26" s="16">
        <f t="shared" si="7"/>
        <v>7.3684210526315788</v>
      </c>
      <c r="AM26" s="17" t="str">
        <f t="shared" si="8"/>
        <v>Liberal:</v>
      </c>
      <c r="AN26" s="16">
        <f t="shared" si="9"/>
        <v>6.6</v>
      </c>
      <c r="AO26" s="17" t="str">
        <f t="shared" si="10"/>
        <v>Authoritarian:</v>
      </c>
      <c r="AP26" s="16">
        <f t="shared" si="11"/>
        <v>6.8947368421052637</v>
      </c>
      <c r="AQ26" s="46" t="s">
        <v>92</v>
      </c>
      <c r="AR26" s="19">
        <f>ROUND(IF(AE26 &gt; 5, (AE26*2)-10, (-AF26*2)+10.02), 2)</f>
        <v>-4.72</v>
      </c>
      <c r="AS26" s="37" t="s">
        <v>92</v>
      </c>
      <c r="AT26" s="19">
        <f t="shared" si="20"/>
        <v>-3.2</v>
      </c>
      <c r="AU26" s="37" t="s">
        <v>92</v>
      </c>
      <c r="AV26" s="19">
        <f t="shared" si="21"/>
        <v>-3.79</v>
      </c>
      <c r="AW26" s="21"/>
      <c r="AX26" s="22">
        <f ca="1">IFERROR(__xludf.DUMMYFUNCTION("QUERY('Copy of PoliticalData'!AR$3:AR$55,""select AR where AR &gt; ""&amp;AR26&amp;"" order by AR limit 1"",0)"),-4.53)</f>
        <v>-4.53</v>
      </c>
      <c r="AY26" s="22">
        <f ca="1">IFERROR(__xludf.DUMMYFUNCTION("QUERY('Copy of PoliticalData'!AR$3:AR$55,""select AR where AR &lt; ""&amp;AR26&amp;"" order by AR desc limit 1"",0)"),-4.73)</f>
        <v>-4.7300000000000004</v>
      </c>
      <c r="AZ26" s="23" t="str">
        <f ca="1">IFERROR(__xludf.DUMMYFUNCTION("IF((ABS(AR26-QUERY('Copy of PoliticalData'!AR$3:AR$55,""select AR where AR &gt; ""&amp;AR26&amp;"" order by AR limit 1"",0))) &gt; ABS(AR26-QUERY('Copy of PoliticalData'!AR$3:AR$55,""select AR where AR &lt; ""&amp;AR26&amp;"" order by AR desc limit 1"",0)), QUERY('Copy of Politic"&amp;"alData'!AQ$3:AR$55,""select AQ where AR = ""&amp;AY26&amp;"""",0), QUERY('Copy of PoliticalData'!AQ$3:AR$55,""select AQ where AR = ""&amp;AX26&amp;"""",0))"),"menachem.guttmann@tcstudents.org")</f>
        <v>menachem.guttmann@tcstudents.org</v>
      </c>
      <c r="BA26" s="24">
        <f ca="1">IFERROR(__xludf.DUMMYFUNCTION("QUERY('Copy of PoliticalData'!AT$3:AT$34,""select AT where AT &gt; ""&amp;AT26&amp;"" order by AT limit 1"",0)"),-3.1)</f>
        <v>-3.1</v>
      </c>
      <c r="BB26" s="24">
        <f ca="1">IFERROR(__xludf.DUMMYFUNCTION("QUERY('Copy of PoliticalData'!AT$3:AT$50,""select AT where AT &lt; ""&amp;AT26&amp;"" order by AT desc limit 1"",0)"),-3.5)</f>
        <v>-3.5</v>
      </c>
      <c r="BC26" s="25" t="str">
        <f ca="1">IFERROR(__xludf.DUMMYFUNCTION("IF((ABS(AT26-QUERY('Copy of PoliticalData'!AT$3:AT$55,""select AT where AT &gt; ""&amp;AT26&amp;"" order by AT limit 1"",0))) &gt; ABS(AT26-QUERY('Copy of PoliticalData'!AT$3:AT$55,""select AT where AT &lt; ""&amp;AT26&amp;"" order by AT desc limit 1"",0)), QUERY('Copy of Politic"&amp;"alData'!AS$3:AT$55,""select AS where AT = ""&amp;BB26&amp;"""",0), QUERY('Copy of PoliticalData'!AS$3:AT$55,""select AS where AT = ""&amp;BA26&amp;"""",0))"),"maya.mammon@tcstudents.org")</f>
        <v>maya.mammon@tcstudents.org</v>
      </c>
      <c r="BD26" s="24">
        <f ca="1">IFERROR(__xludf.DUMMYFUNCTION("QUERY('Copy of PoliticalData'!AV$3:AV$34,""select AV where AV &gt; ""&amp;AV26&amp;"" order by AV limit 1"",0)"),-3.05)</f>
        <v>-3.05</v>
      </c>
      <c r="BE26" s="24">
        <f ca="1">IFERROR(__xludf.DUMMYFUNCTION("QUERY('Copy of PoliticalData'!AV$3:AV$50,""select AV where AV &lt; ""&amp;AV26&amp;"" order by AV desc limit 1"",0)"),-6.84)</f>
        <v>-6.84</v>
      </c>
      <c r="BF26" s="26" t="str">
        <f ca="1">IFERROR(__xludf.DUMMYFUNCTION("IF((ABS(AV26-QUERY('Copy of PoliticalData'!AV$3:AV$55,""select AV where AV &gt; ""&amp;AV26&amp;"" order by AV limit 1"",0))) &gt; ABS(AV26-QUERY('Copy of PoliticalData'!AV$3:AV$55,""select AV where AV &lt; ""&amp;AV26&amp;"" order by AV desc limit 1"",0)), QUERY('Copy of Politic"&amp;"alData'!AU$3:AV$55,""select AU where AV = ""&amp;BE26&amp;"""",0), QUERY('Copy of PoliticalData'!AU$3:AV$55,""select AU where AV = ""&amp;BD26&amp;"""",0))"),"maya.mammon@tcstudents.org")</f>
        <v>maya.mammon@tcstudents.org</v>
      </c>
      <c r="BG26" s="19"/>
      <c r="BH26" s="24" t="e">
        <f t="shared" ca="1" si="14"/>
        <v>#NAME?</v>
      </c>
      <c r="BI26" s="19" t="str">
        <f t="shared" si="15"/>
        <v>No</v>
      </c>
      <c r="BJ26" s="19" t="str">
        <f t="shared" si="16"/>
        <v>Yes</v>
      </c>
      <c r="BK26" s="19" t="str">
        <f t="shared" si="17"/>
        <v>No</v>
      </c>
      <c r="BL26" s="19" t="str">
        <f t="shared" si="18"/>
        <v>No</v>
      </c>
      <c r="BM26" s="28"/>
    </row>
    <row r="27" spans="1:65" ht="14.5" x14ac:dyDescent="0.35">
      <c r="A27" s="44">
        <v>44251.001956296299</v>
      </c>
      <c r="B27" s="45">
        <v>9</v>
      </c>
      <c r="C27" s="45">
        <v>6</v>
      </c>
      <c r="D27" s="45">
        <v>7</v>
      </c>
      <c r="E27" s="45">
        <v>9</v>
      </c>
      <c r="F27" s="45">
        <v>6</v>
      </c>
      <c r="G27" s="45">
        <v>9</v>
      </c>
      <c r="H27" s="45">
        <v>7</v>
      </c>
      <c r="I27" s="45">
        <v>5</v>
      </c>
      <c r="J27" s="45">
        <v>8</v>
      </c>
      <c r="K27" s="47"/>
      <c r="L27" s="45">
        <v>5</v>
      </c>
      <c r="M27" s="45">
        <v>8</v>
      </c>
      <c r="N27" s="47"/>
      <c r="O27" s="45">
        <v>2</v>
      </c>
      <c r="P27" s="47"/>
      <c r="Q27" s="45">
        <v>10</v>
      </c>
      <c r="R27" s="45">
        <v>0</v>
      </c>
      <c r="S27" s="45">
        <v>8</v>
      </c>
      <c r="T27" s="45">
        <v>10</v>
      </c>
      <c r="U27" s="45">
        <v>10</v>
      </c>
      <c r="V27" s="45">
        <v>8</v>
      </c>
      <c r="W27" s="45">
        <v>4</v>
      </c>
      <c r="X27" s="45">
        <v>6</v>
      </c>
      <c r="Y27" s="47"/>
      <c r="Z27" s="47"/>
      <c r="AA27" s="45">
        <v>7</v>
      </c>
      <c r="AB27" s="45">
        <v>7</v>
      </c>
      <c r="AC27" s="45">
        <v>3</v>
      </c>
      <c r="AD27" s="12"/>
      <c r="AE27" s="13">
        <f t="shared" si="0"/>
        <v>6.5625</v>
      </c>
      <c r="AF27" s="14">
        <f t="shared" si="1"/>
        <v>3.4375</v>
      </c>
      <c r="AG27" s="14">
        <f t="shared" si="2"/>
        <v>7</v>
      </c>
      <c r="AH27" s="14">
        <f t="shared" si="3"/>
        <v>3</v>
      </c>
      <c r="AI27" s="14">
        <f t="shared" si="4"/>
        <v>6.882352941176471</v>
      </c>
      <c r="AJ27" s="14">
        <f t="shared" si="5"/>
        <v>3.117647058823529</v>
      </c>
      <c r="AK27" s="15" t="str">
        <f t="shared" si="6"/>
        <v>Conservative:</v>
      </c>
      <c r="AL27" s="16">
        <f t="shared" si="7"/>
        <v>6.5625</v>
      </c>
      <c r="AM27" s="17" t="str">
        <f t="shared" si="8"/>
        <v>Conservative:</v>
      </c>
      <c r="AN27" s="16">
        <f t="shared" si="9"/>
        <v>7</v>
      </c>
      <c r="AO27" s="17" t="str">
        <f t="shared" si="10"/>
        <v>Libertarian:</v>
      </c>
      <c r="AP27" s="16">
        <f t="shared" si="11"/>
        <v>6.882352941176471</v>
      </c>
      <c r="AQ27" s="46" t="s">
        <v>93</v>
      </c>
      <c r="AR27" s="19">
        <f>ROUND(IF(AE27 &gt; 5, (AE27*2)-10, (-AF27*2)+10), 2)</f>
        <v>3.13</v>
      </c>
      <c r="AS27" s="37" t="s">
        <v>93</v>
      </c>
      <c r="AT27" s="19">
        <f>ROUND(IF(AG27 &gt; 5, (AG27*2)-10-0.01, (-AH27*2)+10), 2)</f>
        <v>3.99</v>
      </c>
      <c r="AU27" s="37" t="s">
        <v>93</v>
      </c>
      <c r="AV27" s="19">
        <f t="shared" si="21"/>
        <v>3.76</v>
      </c>
      <c r="AW27" s="21"/>
      <c r="AX27" s="22">
        <f ca="1">IFERROR(__xludf.DUMMYFUNCTION("QUERY('Copy of PoliticalData'!AR$3:AR$55,""select AR where AR &gt; ""&amp;AR27&amp;"" order by AR limit 1"",0)"),3.68)</f>
        <v>3.68</v>
      </c>
      <c r="AY27" s="22">
        <f ca="1">IFERROR(__xludf.DUMMYFUNCTION("QUERY('Copy of PoliticalData'!AR$3:AR$55,""select AR where AR &lt; ""&amp;AR27&amp;"" order by AR desc limit 1"",0)"),3.05)</f>
        <v>3.05</v>
      </c>
      <c r="AZ27" s="23" t="str">
        <f ca="1">IFERROR(__xludf.DUMMYFUNCTION("IF((ABS(AR27-QUERY('Copy of PoliticalData'!AR$3:AR$55,""select AR where AR &gt; ""&amp;AR27&amp;"" order by AR limit 1"",0))) &gt; ABS(AR27-QUERY('Copy of PoliticalData'!AR$3:AR$55,""select AR where AR &lt; ""&amp;AR27&amp;"" order by AR desc limit 1"",0)), QUERY('Copy of Politic"&amp;"alData'!AQ$3:AR$55,""select AQ where AR = ""&amp;AY27&amp;"""",0), QUERY('Copy of PoliticalData'!AQ$3:AR$55,""select AQ where AR = ""&amp;AX27&amp;"""",0))"),"daniel.rubinoff@tcstudents.org")</f>
        <v>daniel.rubinoff@tcstudents.org</v>
      </c>
      <c r="BA27" s="24">
        <f ca="1">IFERROR(__xludf.DUMMYFUNCTION("QUERY('Copy of PoliticalData'!AT$3:AT$34,""select AT where AT &gt; ""&amp;AT27&amp;"" order by AT limit 1"",0)"),4)</f>
        <v>4</v>
      </c>
      <c r="BB27" s="24">
        <f ca="1">IFERROR(__xludf.DUMMYFUNCTION("QUERY('Copy of PoliticalData'!AT$3:AT$50,""select AT where AT &lt; ""&amp;AT27&amp;"" order by AT desc limit 1"",0)"),3.7)</f>
        <v>3.7</v>
      </c>
      <c r="BC27" s="25" t="str">
        <f ca="1">IFERROR(__xludf.DUMMYFUNCTION("IF((ABS(AT27-QUERY('Copy of PoliticalData'!AT$3:AT$55,""select AT where AT &gt; ""&amp;AT27&amp;"" order by AT limit 1"",0))) &gt; ABS(AT27-QUERY('Copy of PoliticalData'!AT$3:AT$55,""select AT where AT &lt; ""&amp;AT27&amp;"" order by AT desc limit 1"",0)), QUERY('Copy of Politic"&amp;"alData'!AS$3:AT$55,""select AS where AT = ""&amp;BB27&amp;"""",0), QUERY('Copy of PoliticalData'!AS$3:AT$55,""select AS where AT = ""&amp;BA27&amp;"""",0))"),"ori.epstien@tcstudents.org")</f>
        <v>ori.epstien@tcstudents.org</v>
      </c>
      <c r="BD27" s="24">
        <f ca="1">IFERROR(__xludf.DUMMYFUNCTION("QUERY('Copy of PoliticalData'!AV$3:AV$34,""select AV where AV &gt; ""&amp;AV27&amp;"" order by AV limit 1"",0)"),4)</f>
        <v>4</v>
      </c>
      <c r="BE27" s="24">
        <f ca="1">IFERROR(__xludf.DUMMYFUNCTION("QUERY('Copy of PoliticalData'!AV$3:AV$50,""select AV where AV &lt; ""&amp;AV27&amp;"" order by AV desc limit 1"",0)"),2.63)</f>
        <v>2.63</v>
      </c>
      <c r="BF27" s="26" t="str">
        <f ca="1">IFERROR(__xludf.DUMMYFUNCTION("IF((ABS(AV27-QUERY('Copy of PoliticalData'!AV$3:AV$55,""select AV where AV &gt; ""&amp;AV27&amp;"" order by AV limit 1"",0))) &gt; ABS(AV27-QUERY('Copy of PoliticalData'!AV$3:AV$55,""select AV where AV &lt; ""&amp;AV27&amp;"" order by AV desc limit 1"",0)), QUERY('Copy of Politic"&amp;"alData'!AU$3:AV$55,""select AU where AV = ""&amp;BE27&amp;"""",0), QUERY('Copy of PoliticalData'!AU$3:AV$55,""select AU where AV = ""&amp;BD27&amp;"""",0))"),"caleb.mansell@tcstudents.org")</f>
        <v>caleb.mansell@tcstudents.org</v>
      </c>
      <c r="BG27" s="19"/>
      <c r="BH27" s="24" t="e">
        <f t="shared" ca="1" si="14"/>
        <v>#NAME?</v>
      </c>
      <c r="BI27" s="19" t="str">
        <f t="shared" si="15"/>
        <v>No</v>
      </c>
      <c r="BJ27" s="19" t="str">
        <f t="shared" si="16"/>
        <v>No</v>
      </c>
      <c r="BK27" s="19" t="str">
        <f t="shared" si="17"/>
        <v>No</v>
      </c>
      <c r="BL27" s="19" t="str">
        <f t="shared" si="18"/>
        <v>No</v>
      </c>
      <c r="BM27" s="28"/>
    </row>
    <row r="28" spans="1:65" ht="14.5" x14ac:dyDescent="0.35">
      <c r="A28" s="44">
        <v>44251.396746400467</v>
      </c>
      <c r="B28" s="45">
        <v>3</v>
      </c>
      <c r="C28" s="45">
        <v>2</v>
      </c>
      <c r="D28" s="45">
        <v>2</v>
      </c>
      <c r="E28" s="45">
        <v>2</v>
      </c>
      <c r="F28" s="45">
        <v>2</v>
      </c>
      <c r="G28" s="45">
        <v>4</v>
      </c>
      <c r="H28" s="45">
        <v>3</v>
      </c>
      <c r="I28" s="45">
        <v>5</v>
      </c>
      <c r="J28" s="45">
        <v>2</v>
      </c>
      <c r="K28" s="45">
        <v>3</v>
      </c>
      <c r="L28" s="45">
        <v>1</v>
      </c>
      <c r="M28" s="45">
        <v>9</v>
      </c>
      <c r="N28" s="45">
        <v>5</v>
      </c>
      <c r="O28" s="45">
        <v>1</v>
      </c>
      <c r="P28" s="45">
        <v>5</v>
      </c>
      <c r="Q28" s="45">
        <v>4</v>
      </c>
      <c r="R28" s="45">
        <v>1</v>
      </c>
      <c r="S28" s="45">
        <v>2</v>
      </c>
      <c r="T28" s="45">
        <v>5</v>
      </c>
      <c r="U28" s="45">
        <v>7</v>
      </c>
      <c r="V28" s="45">
        <v>0</v>
      </c>
      <c r="W28" s="45">
        <v>0</v>
      </c>
      <c r="X28" s="45">
        <v>7</v>
      </c>
      <c r="Y28" s="45">
        <v>5</v>
      </c>
      <c r="Z28" s="45">
        <v>4</v>
      </c>
      <c r="AA28" s="45">
        <v>0</v>
      </c>
      <c r="AB28" s="45">
        <v>5</v>
      </c>
      <c r="AC28" s="45">
        <v>10</v>
      </c>
      <c r="AD28" s="12"/>
      <c r="AE28" s="13">
        <f t="shared" si="0"/>
        <v>2.736842105263158</v>
      </c>
      <c r="AF28" s="14">
        <f t="shared" si="1"/>
        <v>7.2631578947368425</v>
      </c>
      <c r="AG28" s="14">
        <f t="shared" si="2"/>
        <v>3.05</v>
      </c>
      <c r="AH28" s="14">
        <f t="shared" si="3"/>
        <v>6.95</v>
      </c>
      <c r="AI28" s="14">
        <f t="shared" si="4"/>
        <v>3.4736842105263159</v>
      </c>
      <c r="AJ28" s="14">
        <f t="shared" si="5"/>
        <v>6.5263157894736841</v>
      </c>
      <c r="AK28" s="15" t="str">
        <f t="shared" si="6"/>
        <v>Liberal:</v>
      </c>
      <c r="AL28" s="16">
        <f t="shared" si="7"/>
        <v>7.2631578947368425</v>
      </c>
      <c r="AM28" s="17" t="str">
        <f t="shared" si="8"/>
        <v>Liberal:</v>
      </c>
      <c r="AN28" s="16">
        <f t="shared" si="9"/>
        <v>6.95</v>
      </c>
      <c r="AO28" s="17" t="str">
        <f t="shared" si="10"/>
        <v>Authoritarian:</v>
      </c>
      <c r="AP28" s="16">
        <f t="shared" si="11"/>
        <v>6.5263157894736841</v>
      </c>
      <c r="AQ28" s="46" t="s">
        <v>94</v>
      </c>
      <c r="AR28" s="19">
        <f>ROUND(IF(AE28 &gt; 5, (AE28*2)-10, (-AF28*2)+10.02), 2)</f>
        <v>-4.51</v>
      </c>
      <c r="AS28" s="37" t="s">
        <v>94</v>
      </c>
      <c r="AT28" s="19">
        <f t="shared" ref="AT28:AT29" si="23">ROUND(IF(AG28 &gt; 5, (AG28*2)-10, (-AH28*2)+10), 2)</f>
        <v>-3.9</v>
      </c>
      <c r="AU28" s="37" t="s">
        <v>94</v>
      </c>
      <c r="AV28" s="19">
        <f>ROUND(IF(AI28 &gt; 5, (AI28*2)-10, (-AJ28*2)+10.01), 2)</f>
        <v>-3.04</v>
      </c>
      <c r="AW28" s="21"/>
      <c r="AX28" s="22">
        <f ca="1">IFERROR(__xludf.DUMMYFUNCTION("QUERY('Copy of PoliticalData'!AR$3:AR$55,""select AR where AR &gt; ""&amp;AR28&amp;"" order by AR limit 1"",0)"),-4.44)</f>
        <v>-4.4400000000000004</v>
      </c>
      <c r="AY28" s="22">
        <f ca="1">IFERROR(__xludf.DUMMYFUNCTION("QUERY('Copy of PoliticalData'!AR$3:AR$55,""select AR where AR &lt; ""&amp;AR28&amp;"" order by AR desc limit 1"",0)"),-4.53)</f>
        <v>-4.53</v>
      </c>
      <c r="AZ28" s="23" t="str">
        <f ca="1">IFERROR(__xludf.DUMMYFUNCTION("IF((ABS(AR28-QUERY('Copy of PoliticalData'!AR$3:AR$55,""select AR where AR &gt; ""&amp;AR28&amp;"" order by AR limit 1"",0))) &gt; ABS(AR28-QUERY('Copy of PoliticalData'!AR$3:AR$55,""select AR where AR &lt; ""&amp;AR28&amp;"" order by AR desc limit 1"",0)), QUERY('Copy of Politic"&amp;"alData'!AQ$3:AR$55,""select AQ where AR = ""&amp;AY28&amp;"""",0), QUERY('Copy of PoliticalData'!AQ$3:AR$55,""select AQ where AR = ""&amp;AX28&amp;"""",0))"),"maya.mammon@tcstudents.org")</f>
        <v>maya.mammon@tcstudents.org</v>
      </c>
      <c r="BA28" s="24">
        <f ca="1">IFERROR(__xludf.DUMMYFUNCTION("QUERY('Copy of PoliticalData'!AT$3:AT$34,""select AT where AT &gt; ""&amp;AT28&amp;"" order by AT limit 1"",0)"),-3.5)</f>
        <v>-3.5</v>
      </c>
      <c r="BB28" s="24">
        <f ca="1">IFERROR(__xludf.DUMMYFUNCTION("QUERY('Copy of PoliticalData'!AT$3:AT$50,""select AT where AT &lt; ""&amp;AT28&amp;"" order by AT desc limit 1"",0)"),-4.1)</f>
        <v>-4.0999999999999996</v>
      </c>
      <c r="BC28" s="25" t="str">
        <f ca="1">IFERROR(__xludf.DUMMYFUNCTION("IF((ABS(AT28-QUERY('Copy of PoliticalData'!AT$3:AT$55,""select AT where AT &gt; ""&amp;AT28&amp;"" order by AT limit 1"",0))) &gt; ABS(AT28-QUERY('Copy of PoliticalData'!AT$3:AT$55,""select AT where AT &lt; ""&amp;AT28&amp;"" order by AT desc limit 1"",0)), QUERY('Copy of Politic"&amp;"alData'!AS$3:AT$55,""select AS where AT = ""&amp;BB28&amp;"""",0), QUERY('Copy of PoliticalData'!AS$3:AT$55,""select AS where AT = ""&amp;BA28&amp;"""",0))"),"noah.shaffir@tcstudents.org")</f>
        <v>noah.shaffir@tcstudents.org</v>
      </c>
      <c r="BD28" s="24">
        <f ca="1">IFERROR(__xludf.DUMMYFUNCTION("QUERY('Copy of PoliticalData'!AV$3:AV$34,""select AV where AV &gt; ""&amp;AV28&amp;"" order by AV limit 1"",0)"),-2.84)</f>
        <v>-2.84</v>
      </c>
      <c r="BE28" s="24">
        <f ca="1">IFERROR(__xludf.DUMMYFUNCTION("QUERY('Copy of PoliticalData'!AV$3:AV$50,""select AV where AV &lt; ""&amp;AV28&amp;"" order by AV desc limit 1"",0)"),-3.05)</f>
        <v>-3.05</v>
      </c>
      <c r="BF28" s="26" t="str">
        <f ca="1">IFERROR(__xludf.DUMMYFUNCTION("IF((ABS(AV28-QUERY('Copy of PoliticalData'!AV$3:AV$55,""select AV where AV &gt; ""&amp;AV28&amp;"" order by AV limit 1"",0))) &gt; ABS(AV28-QUERY('Copy of PoliticalData'!AV$3:AV$55,""select AV where AV &lt; ""&amp;AV28&amp;"" order by AV desc limit 1"",0)), QUERY('Copy of Politic"&amp;"alData'!AU$3:AV$55,""select AU where AV = ""&amp;BE28&amp;"""",0), QUERY('Copy of PoliticalData'!AU$3:AV$55,""select AU where AV = ""&amp;BD28&amp;"""",0))"),"maya.mammon@tcstudents.org")</f>
        <v>maya.mammon@tcstudents.org</v>
      </c>
      <c r="BG28" s="19"/>
      <c r="BH28" s="24" t="e">
        <f t="shared" ca="1" si="14"/>
        <v>#NAME?</v>
      </c>
      <c r="BI28" s="19" t="str">
        <f t="shared" si="15"/>
        <v>Yes</v>
      </c>
      <c r="BJ28" s="19" t="str">
        <f t="shared" si="16"/>
        <v>Yes</v>
      </c>
      <c r="BK28" s="19" t="str">
        <f t="shared" si="17"/>
        <v>No</v>
      </c>
      <c r="BL28" s="19" t="str">
        <f t="shared" si="18"/>
        <v>No</v>
      </c>
      <c r="BM28" s="28"/>
    </row>
    <row r="29" spans="1:65" ht="14.5" x14ac:dyDescent="0.35">
      <c r="A29" s="44">
        <v>44251.412662743052</v>
      </c>
      <c r="B29" s="45">
        <v>5</v>
      </c>
      <c r="C29" s="45">
        <v>8</v>
      </c>
      <c r="D29" s="45">
        <v>8</v>
      </c>
      <c r="E29" s="45">
        <v>8</v>
      </c>
      <c r="F29" s="45">
        <v>9</v>
      </c>
      <c r="G29" s="45">
        <v>9</v>
      </c>
      <c r="H29" s="45">
        <v>9</v>
      </c>
      <c r="I29" s="45">
        <v>9</v>
      </c>
      <c r="J29" s="45">
        <v>9</v>
      </c>
      <c r="K29" s="45">
        <v>5</v>
      </c>
      <c r="L29" s="45">
        <v>5</v>
      </c>
      <c r="M29" s="45">
        <v>10</v>
      </c>
      <c r="N29" s="45">
        <v>7</v>
      </c>
      <c r="O29" s="45">
        <v>8</v>
      </c>
      <c r="P29" s="45">
        <v>7</v>
      </c>
      <c r="Q29" s="45">
        <v>7</v>
      </c>
      <c r="R29" s="45">
        <v>4</v>
      </c>
      <c r="S29" s="45">
        <v>8</v>
      </c>
      <c r="T29" s="45">
        <v>7</v>
      </c>
      <c r="U29" s="45">
        <v>9</v>
      </c>
      <c r="V29" s="45">
        <v>9</v>
      </c>
      <c r="W29" s="45">
        <v>6</v>
      </c>
      <c r="X29" s="45">
        <v>7</v>
      </c>
      <c r="Y29" s="45">
        <v>9</v>
      </c>
      <c r="Z29" s="45">
        <v>10</v>
      </c>
      <c r="AA29" s="45">
        <v>8</v>
      </c>
      <c r="AB29" s="45">
        <v>9</v>
      </c>
      <c r="AC29" s="45">
        <v>0</v>
      </c>
      <c r="AD29" s="12"/>
      <c r="AE29" s="13">
        <f t="shared" si="0"/>
        <v>7.6315789473684212</v>
      </c>
      <c r="AF29" s="14">
        <f t="shared" si="1"/>
        <v>2.3684210526315788</v>
      </c>
      <c r="AG29" s="14">
        <f t="shared" si="2"/>
        <v>7.4</v>
      </c>
      <c r="AH29" s="14">
        <f t="shared" si="3"/>
        <v>2.5999999999999996</v>
      </c>
      <c r="AI29" s="14">
        <f t="shared" si="4"/>
        <v>7.7368421052631575</v>
      </c>
      <c r="AJ29" s="14">
        <f t="shared" si="5"/>
        <v>2.2631578947368425</v>
      </c>
      <c r="AK29" s="15" t="str">
        <f t="shared" si="6"/>
        <v>Conservative:</v>
      </c>
      <c r="AL29" s="16">
        <f t="shared" si="7"/>
        <v>7.6315789473684212</v>
      </c>
      <c r="AM29" s="17" t="str">
        <f t="shared" si="8"/>
        <v>Conservative:</v>
      </c>
      <c r="AN29" s="16">
        <f t="shared" si="9"/>
        <v>7.4</v>
      </c>
      <c r="AO29" s="17" t="str">
        <f t="shared" si="10"/>
        <v>Libertarian:</v>
      </c>
      <c r="AP29" s="16">
        <f t="shared" si="11"/>
        <v>7.7368421052631575</v>
      </c>
      <c r="AQ29" s="46" t="s">
        <v>95</v>
      </c>
      <c r="AR29" s="19">
        <f>ROUND(IF(AE29 &gt; 5, (AE29*2)-10, (-AF29*2)+10), 2)</f>
        <v>5.26</v>
      </c>
      <c r="AS29" s="37" t="s">
        <v>95</v>
      </c>
      <c r="AT29" s="19">
        <f t="shared" si="23"/>
        <v>4.8</v>
      </c>
      <c r="AU29" s="37" t="s">
        <v>95</v>
      </c>
      <c r="AV29" s="19">
        <f>ROUND(IF(AI29 &gt; 5, (AI29*2)-10, (-AJ29*2)+10), 2)</f>
        <v>5.47</v>
      </c>
      <c r="AW29" s="21"/>
      <c r="AX29" s="22">
        <f ca="1">IFERROR(__xludf.DUMMYFUNCTION("QUERY('Copy of PoliticalData'!AR$3:AR$55,""select AR where AR &gt; ""&amp;AR29&amp;"" order by AR limit 1"",0)"),5.44)</f>
        <v>5.44</v>
      </c>
      <c r="AY29" s="22">
        <f ca="1">IFERROR(__xludf.DUMMYFUNCTION("QUERY('Copy of PoliticalData'!AR$3:AR$55,""select AR where AR &lt; ""&amp;AR29&amp;"" order by AR desc limit 1"",0)"),5.25)</f>
        <v>5.25</v>
      </c>
      <c r="AZ29" s="23" t="str">
        <f ca="1">IFERROR(__xludf.DUMMYFUNCTION("IF((ABS(AR29-QUERY('Copy of PoliticalData'!AR$3:AR$55,""select AR where AR &gt; ""&amp;AR29&amp;"" order by AR limit 1"",0))) &gt; ABS(AR29-QUERY('Copy of PoliticalData'!AR$3:AR$55,""select AR where AR &lt; ""&amp;AR29&amp;"" order by AR desc limit 1"",0)), QUERY('Copy of Politic"&amp;"alData'!AQ$3:AR$55,""select AQ where AR = ""&amp;AY29&amp;"""",0), QUERY('Copy of PoliticalData'!AQ$3:AR$55,""select AQ where AR = ""&amp;AX29&amp;"""",0))"),"lev.pollock@tcstudents.org")</f>
        <v>lev.pollock@tcstudents.org</v>
      </c>
      <c r="BA29" s="24">
        <f ca="1">IFERROR(__xludf.DUMMYFUNCTION("QUERY('Copy of PoliticalData'!AT$3:AT$34,""select AT where AT &gt; ""&amp;AT29&amp;"" order by AT limit 1"",0)"),5.3)</f>
        <v>5.3</v>
      </c>
      <c r="BB29" s="24">
        <f ca="1">IFERROR(__xludf.DUMMYFUNCTION("QUERY('Copy of PoliticalData'!AT$3:AT$50,""select AT where AT &lt; ""&amp;AT29&amp;"" order by AT desc limit 1"",0)"),4.79)</f>
        <v>4.79</v>
      </c>
      <c r="BC29" s="25" t="str">
        <f ca="1">IFERROR(__xludf.DUMMYFUNCTION("IF((ABS(AT29-QUERY('Copy of PoliticalData'!AT$3:AT$55,""select AT where AT &gt; ""&amp;AT29&amp;"" order by AT limit 1"",0))) &gt; ABS(AT29-QUERY('Copy of PoliticalData'!AT$3:AT$55,""select AT where AT &lt; ""&amp;AT29&amp;"" order by AT desc limit 1"",0)), QUERY('Copy of Politic"&amp;"alData'!AS$3:AT$55,""select AS where AT = ""&amp;BB29&amp;"""",0), QUERY('Copy of PoliticalData'!AS$3:AT$55,""select AS where AT = ""&amp;BA29&amp;"""",0))"),"lev.pollock@tcstudents.org")</f>
        <v>lev.pollock@tcstudents.org</v>
      </c>
      <c r="BD29" s="24">
        <f ca="1">IFERROR(__xludf.DUMMYFUNCTION("QUERY('Copy of PoliticalData'!AV$3:AV$34,""select AV where AV &gt; ""&amp;AV29&amp;"" order by AV limit 1"",0)"),5.58)</f>
        <v>5.58</v>
      </c>
      <c r="BE29" s="24">
        <f ca="1">IFERROR(__xludf.DUMMYFUNCTION("QUERY('Copy of PoliticalData'!AV$3:AV$50,""select AV where AV &lt; ""&amp;AV29&amp;"" order by AV desc limit 1"",0)"),5.46)</f>
        <v>5.46</v>
      </c>
      <c r="BF29" s="26" t="str">
        <f ca="1">IFERROR(__xludf.DUMMYFUNCTION("IF((ABS(AV29-QUERY('Copy of PoliticalData'!AV$3:AV$55,""select AV where AV &gt; ""&amp;AV29&amp;"" order by AV limit 1"",0))) &gt; ABS(AV29-QUERY('Copy of PoliticalData'!AV$3:AV$55,""select AV where AV &lt; ""&amp;AV29&amp;"" order by AV desc limit 1"",0)), QUERY('Copy of Politic"&amp;"alData'!AU$3:AV$55,""select AU where AV = ""&amp;BE29&amp;"""",0), QUERY('Copy of PoliticalData'!AU$3:AV$55,""select AU where AV = ""&amp;BD29&amp;"""",0))"),"lev.pollock@tcstudents.org")</f>
        <v>lev.pollock@tcstudents.org</v>
      </c>
      <c r="BG29" s="19"/>
      <c r="BH29" s="24" t="e">
        <f t="shared" ca="1" si="14"/>
        <v>#NAME?</v>
      </c>
      <c r="BI29" s="19" t="str">
        <f t="shared" si="15"/>
        <v>No</v>
      </c>
      <c r="BJ29" s="19" t="str">
        <f t="shared" si="16"/>
        <v>No</v>
      </c>
      <c r="BK29" s="19" t="str">
        <f t="shared" si="17"/>
        <v>No</v>
      </c>
      <c r="BL29" s="19" t="str">
        <f t="shared" si="18"/>
        <v>Yes</v>
      </c>
      <c r="BM29" s="28"/>
    </row>
    <row r="30" spans="1:65" ht="14.5" x14ac:dyDescent="0.35">
      <c r="A30" s="44">
        <v>44251.413119062505</v>
      </c>
      <c r="B30" s="45">
        <v>5</v>
      </c>
      <c r="C30" s="45">
        <v>8</v>
      </c>
      <c r="D30" s="45">
        <v>8</v>
      </c>
      <c r="E30" s="45">
        <v>8</v>
      </c>
      <c r="F30" s="45">
        <v>9</v>
      </c>
      <c r="G30" s="45">
        <v>9</v>
      </c>
      <c r="H30" s="45">
        <v>9</v>
      </c>
      <c r="I30" s="45">
        <v>9</v>
      </c>
      <c r="J30" s="45">
        <v>9</v>
      </c>
      <c r="K30" s="45">
        <v>5</v>
      </c>
      <c r="L30" s="45">
        <v>5</v>
      </c>
      <c r="M30" s="45">
        <v>10</v>
      </c>
      <c r="N30" s="45">
        <v>7</v>
      </c>
      <c r="O30" s="45">
        <v>8</v>
      </c>
      <c r="P30" s="45">
        <v>7</v>
      </c>
      <c r="Q30" s="45">
        <v>7</v>
      </c>
      <c r="R30" s="45">
        <v>4</v>
      </c>
      <c r="S30" s="45">
        <v>8</v>
      </c>
      <c r="T30" s="45">
        <v>7</v>
      </c>
      <c r="U30" s="45">
        <v>9</v>
      </c>
      <c r="V30" s="45">
        <v>9</v>
      </c>
      <c r="W30" s="45">
        <v>6</v>
      </c>
      <c r="X30" s="45">
        <v>7</v>
      </c>
      <c r="Y30" s="45">
        <v>9</v>
      </c>
      <c r="Z30" s="45">
        <v>10</v>
      </c>
      <c r="AA30" s="45">
        <v>8</v>
      </c>
      <c r="AB30" s="45">
        <v>9</v>
      </c>
      <c r="AC30" s="45">
        <v>0</v>
      </c>
      <c r="AD30" s="12"/>
      <c r="AE30" s="13">
        <f t="shared" si="0"/>
        <v>7.6315789473684212</v>
      </c>
      <c r="AF30" s="14">
        <f t="shared" si="1"/>
        <v>2.3684210526315788</v>
      </c>
      <c r="AG30" s="14">
        <f t="shared" si="2"/>
        <v>7.4</v>
      </c>
      <c r="AH30" s="14">
        <f t="shared" si="3"/>
        <v>2.5999999999999996</v>
      </c>
      <c r="AI30" s="14">
        <f t="shared" si="4"/>
        <v>7.7368421052631575</v>
      </c>
      <c r="AJ30" s="14">
        <f t="shared" si="5"/>
        <v>2.2631578947368425</v>
      </c>
      <c r="AK30" s="15" t="str">
        <f t="shared" si="6"/>
        <v>Conservative:</v>
      </c>
      <c r="AL30" s="16">
        <f t="shared" si="7"/>
        <v>7.6315789473684212</v>
      </c>
      <c r="AM30" s="17" t="str">
        <f t="shared" si="8"/>
        <v>Conservative:</v>
      </c>
      <c r="AN30" s="16">
        <f t="shared" si="9"/>
        <v>7.4</v>
      </c>
      <c r="AO30" s="17" t="str">
        <f t="shared" si="10"/>
        <v>Libertarian:</v>
      </c>
      <c r="AP30" s="16">
        <f t="shared" si="11"/>
        <v>7.7368421052631575</v>
      </c>
      <c r="AQ30" s="46" t="s">
        <v>95</v>
      </c>
      <c r="AR30" s="19">
        <f>ROUND(IF(AE30 &gt; 5, (AE30*2)-10.01, (-AF30*2)+10), 2)</f>
        <v>5.25</v>
      </c>
      <c r="AS30" s="37" t="s">
        <v>95</v>
      </c>
      <c r="AT30" s="19">
        <f>ROUND(IF(AG30 &gt; 5, (AG30*2)-10.01, (-AH30*2)+10), 2)</f>
        <v>4.79</v>
      </c>
      <c r="AU30" s="37" t="s">
        <v>95</v>
      </c>
      <c r="AV30" s="19">
        <f>ROUND(IF(AI30 &gt; 5, (AI30*2)-10.01, (-AJ30*2)+10), 2)</f>
        <v>5.46</v>
      </c>
      <c r="AW30" s="21"/>
      <c r="AX30" s="22">
        <f ca="1">IFERROR(__xludf.DUMMYFUNCTION("QUERY('Copy of PoliticalData'!AR$3:AR$55,""select AR where AR &gt; ""&amp;AR30&amp;"" order by AR limit 1"",0)"),5.26)</f>
        <v>5.26</v>
      </c>
      <c r="AY30" s="22">
        <f ca="1">IFERROR(__xludf.DUMMYFUNCTION("QUERY('Copy of PoliticalData'!AR$3:AR$55,""select AR where AR &lt; ""&amp;AR30&amp;"" order by AR desc limit 1"",0)"),4.11)</f>
        <v>4.1100000000000003</v>
      </c>
      <c r="AZ30" s="23" t="str">
        <f ca="1">IFERROR(__xludf.DUMMYFUNCTION("IF((ABS(AR30-QUERY('Copy of PoliticalData'!AR$3:AR$55,""select AR where AR &gt; ""&amp;AR30&amp;"" order by AR limit 1"",0))) &gt; ABS(AR30-QUERY('Copy of PoliticalData'!AR$3:AR$55,""select AR where AR &lt; ""&amp;AR30&amp;"" order by AR desc limit 1"",0)), QUERY('Copy of Politic"&amp;"alData'!AQ$3:AR$55,""select AQ where AR = ""&amp;AY30&amp;"""",0), QUERY('Copy of PoliticalData'!AQ$3:AR$55,""select AQ where AR = ""&amp;AX30&amp;"""",0))"),"lev.pollock@tcstudents.org")</f>
        <v>lev.pollock@tcstudents.org</v>
      </c>
      <c r="BA30" s="24">
        <f ca="1">IFERROR(__xludf.DUMMYFUNCTION("QUERY('Copy of PoliticalData'!AT$3:AT$34,""select AT where AT &gt; ""&amp;AT30&amp;"" order by AT limit 1"",0)"),4.8)</f>
        <v>4.8</v>
      </c>
      <c r="BB30" s="24">
        <f ca="1">IFERROR(__xludf.DUMMYFUNCTION("QUERY('Copy of PoliticalData'!AT$3:AT$50,""select AT where AT &lt; ""&amp;AT30&amp;"" order by AT desc limit 1"",0)"),4.7)</f>
        <v>4.7</v>
      </c>
      <c r="BC30" s="25" t="str">
        <f ca="1">IFERROR(__xludf.DUMMYFUNCTION("IF((ABS(AT30-QUERY('Copy of PoliticalData'!AT$3:AT$55,""select AT where AT &gt; ""&amp;AT30&amp;"" order by AT limit 1"",0))) &gt; ABS(AT30-QUERY('Copy of PoliticalData'!AT$3:AT$55,""select AT where AT &lt; ""&amp;AT30&amp;"" order by AT desc limit 1"",0)), QUERY('Copy of Politic"&amp;"alData'!AS$3:AT$55,""select AS where AT = ""&amp;BB30&amp;"""",0), QUERY('Copy of PoliticalData'!AS$3:AT$55,""select AS where AT = ""&amp;BA30&amp;"""",0))"),"lev.pollock@tcstudents.org")</f>
        <v>lev.pollock@tcstudents.org</v>
      </c>
      <c r="BD30" s="24">
        <f ca="1">IFERROR(__xludf.DUMMYFUNCTION("QUERY('Copy of PoliticalData'!AV$3:AV$34,""select AV where AV &gt; ""&amp;AV30&amp;"" order by AV limit 1"",0)"),5.47)</f>
        <v>5.47</v>
      </c>
      <c r="BE30" s="24">
        <f ca="1">IFERROR(__xludf.DUMMYFUNCTION("QUERY('Copy of PoliticalData'!AV$3:AV$50,""select AV where AV &lt; ""&amp;AV30&amp;"" order by AV desc limit 1"",0)"),5.05)</f>
        <v>5.05</v>
      </c>
      <c r="BF30" s="26" t="str">
        <f ca="1">IFERROR(__xludf.DUMMYFUNCTION("IF((ABS(AV30-QUERY('Copy of PoliticalData'!AV$3:AV$55,""select AV where AV &gt; ""&amp;AV30&amp;"" order by AV limit 1"",0))) &gt; ABS(AV30-QUERY('Copy of PoliticalData'!AV$3:AV$55,""select AV where AV &lt; ""&amp;AV30&amp;"" order by AV desc limit 1"",0)), QUERY('Copy of Politic"&amp;"alData'!AU$3:AV$55,""select AU where AV = ""&amp;BE30&amp;"""",0), QUERY('Copy of PoliticalData'!AU$3:AV$55,""select AU where AV = ""&amp;BD30&amp;"""",0))"),"lev.pollock@tcstudents.org")</f>
        <v>lev.pollock@tcstudents.org</v>
      </c>
      <c r="BG30" s="19"/>
      <c r="BH30" s="24" t="e">
        <f t="shared" ca="1" si="14"/>
        <v>#NAME?</v>
      </c>
      <c r="BI30" s="19" t="str">
        <f t="shared" si="15"/>
        <v>No</v>
      </c>
      <c r="BJ30" s="19" t="str">
        <f t="shared" si="16"/>
        <v>No</v>
      </c>
      <c r="BK30" s="19" t="str">
        <f t="shared" si="17"/>
        <v>No</v>
      </c>
      <c r="BL30" s="19" t="str">
        <f t="shared" si="18"/>
        <v>Yes</v>
      </c>
      <c r="BM30" s="28"/>
    </row>
    <row r="31" spans="1:65" ht="14.5" x14ac:dyDescent="0.35">
      <c r="A31" s="44">
        <v>44251.508690567134</v>
      </c>
      <c r="B31" s="45">
        <v>8</v>
      </c>
      <c r="C31" s="45">
        <v>6</v>
      </c>
      <c r="D31" s="45">
        <v>9</v>
      </c>
      <c r="E31" s="45">
        <v>2</v>
      </c>
      <c r="F31" s="45">
        <v>10</v>
      </c>
      <c r="G31" s="45">
        <v>10</v>
      </c>
      <c r="H31" s="45">
        <v>1</v>
      </c>
      <c r="I31" s="45">
        <v>8</v>
      </c>
      <c r="J31" s="45">
        <v>5</v>
      </c>
      <c r="K31" s="45">
        <v>5</v>
      </c>
      <c r="L31" s="45">
        <v>0</v>
      </c>
      <c r="M31" s="45">
        <v>0</v>
      </c>
      <c r="N31" s="45">
        <v>10</v>
      </c>
      <c r="O31" s="45">
        <v>9</v>
      </c>
      <c r="P31" s="45">
        <v>3</v>
      </c>
      <c r="Q31" s="45">
        <v>10</v>
      </c>
      <c r="R31" s="45">
        <v>0</v>
      </c>
      <c r="S31" s="45">
        <v>1</v>
      </c>
      <c r="T31" s="45">
        <v>0</v>
      </c>
      <c r="U31" s="45">
        <v>10</v>
      </c>
      <c r="V31" s="45">
        <v>0</v>
      </c>
      <c r="W31" s="45">
        <v>5</v>
      </c>
      <c r="X31" s="45">
        <v>10</v>
      </c>
      <c r="Y31" s="45">
        <v>1</v>
      </c>
      <c r="Z31" s="45">
        <v>10</v>
      </c>
      <c r="AA31" s="45">
        <v>0</v>
      </c>
      <c r="AB31" s="45">
        <v>6</v>
      </c>
      <c r="AC31" s="45">
        <v>10</v>
      </c>
      <c r="AD31" s="12"/>
      <c r="AE31" s="13">
        <f t="shared" si="0"/>
        <v>4.8947368421052628</v>
      </c>
      <c r="AF31" s="14">
        <f t="shared" si="1"/>
        <v>5.1052631578947372</v>
      </c>
      <c r="AG31" s="14">
        <f t="shared" si="2"/>
        <v>5.7</v>
      </c>
      <c r="AH31" s="14">
        <f t="shared" si="3"/>
        <v>4.3</v>
      </c>
      <c r="AI31" s="14">
        <f t="shared" si="4"/>
        <v>5.1052631578947372</v>
      </c>
      <c r="AJ31" s="14">
        <f t="shared" si="5"/>
        <v>4.8947368421052628</v>
      </c>
      <c r="AK31" s="15" t="str">
        <f t="shared" si="6"/>
        <v>Liberal:</v>
      </c>
      <c r="AL31" s="16">
        <f t="shared" si="7"/>
        <v>5.1052631578947372</v>
      </c>
      <c r="AM31" s="17" t="str">
        <f t="shared" si="8"/>
        <v>Conservative:</v>
      </c>
      <c r="AN31" s="16">
        <f t="shared" si="9"/>
        <v>5.7</v>
      </c>
      <c r="AO31" s="17" t="str">
        <f t="shared" si="10"/>
        <v>Libertarian:</v>
      </c>
      <c r="AP31" s="16">
        <f t="shared" si="11"/>
        <v>5.1052631578947372</v>
      </c>
      <c r="AQ31" s="46" t="s">
        <v>96</v>
      </c>
      <c r="AR31" s="19">
        <f t="shared" ref="AR31:AR34" si="24">ROUND(IF(AE31 &gt; 5, (AE31*2)-10, (-AF31*2)+10), 2)</f>
        <v>-0.21</v>
      </c>
      <c r="AS31" s="37" t="s">
        <v>96</v>
      </c>
      <c r="AT31" s="19">
        <f t="shared" ref="AT31:AT34" si="25">ROUND(IF(AG31 &gt; 5, (AG31*2)-10, (-AH31*2)+10), 2)</f>
        <v>1.4</v>
      </c>
      <c r="AU31" s="37" t="s">
        <v>96</v>
      </c>
      <c r="AV31" s="19">
        <f t="shared" ref="AV31:AV33" si="26">ROUND(IF(AI31 &gt; 5, (AI31*2)-10, (-AJ31*2)+10), 2)</f>
        <v>0.21</v>
      </c>
      <c r="AW31" s="21"/>
      <c r="AX31" s="22">
        <f ca="1">IFERROR(__xludf.DUMMYFUNCTION("QUERY('Copy of PoliticalData'!AR$3:AR$55,""select AR where AR &gt; ""&amp;AR31&amp;"" order by AR limit 1"",0)"),0.84)</f>
        <v>0.84</v>
      </c>
      <c r="AY31" s="22">
        <f ca="1">IFERROR(__xludf.DUMMYFUNCTION("QUERY('Copy of PoliticalData'!AR$3:AR$55,""select AR where AR &lt; ""&amp;AR31&amp;"" order by AR desc limit 1"",0)"),-0.44)</f>
        <v>-0.44</v>
      </c>
      <c r="AZ31" s="23" t="str">
        <f ca="1">IFERROR(__xludf.DUMMYFUNCTION("IF((ABS(AR31-QUERY('Copy of PoliticalData'!AR$3:AR$55,""select AR where AR &gt; ""&amp;AR31&amp;"" order by AR limit 1"",0))) &gt; ABS(AR31-QUERY('Copy of PoliticalData'!AR$3:AR$55,""select AR where AR &lt; ""&amp;AR31&amp;"" order by AR desc limit 1"",0)), QUERY('Copy of Politic"&amp;"alData'!AQ$3:AR$55,""select AQ where AR = ""&amp;AY31&amp;"""",0), QUERY('Copy of PoliticalData'!AQ$3:AR$55,""select AQ where AR = ""&amp;AX31&amp;"""",0))"),"greg.schneider@tcstudents.org")</f>
        <v>greg.schneider@tcstudents.org</v>
      </c>
      <c r="BA31" s="24">
        <f ca="1">IFERROR(__xludf.DUMMYFUNCTION("QUERY('Copy of PoliticalData'!AT$3:AT$34,""select AT where AT &gt; ""&amp;AT31&amp;"" order by AT limit 1"",0)"),1.7)</f>
        <v>1.7</v>
      </c>
      <c r="BB31" s="24">
        <f ca="1">IFERROR(__xludf.DUMMYFUNCTION("QUERY('Copy of PoliticalData'!AT$3:AT$50,""select AT where AT &lt; ""&amp;AT31&amp;"" order by AT desc limit 1"",0)"),1.26)</f>
        <v>1.26</v>
      </c>
      <c r="BC31" s="25" t="str">
        <f ca="1">IFERROR(__xludf.DUMMYFUNCTION("IF((ABS(AT31-QUERY('Copy of PoliticalData'!AT$3:AT$55,""select AT where AT &gt; ""&amp;AT31&amp;"" order by AT limit 1"",0))) &gt; ABS(AT31-QUERY('Copy of PoliticalData'!AT$3:AT$55,""select AT where AT &lt; ""&amp;AT31&amp;"" order by AT desc limit 1"",0)), QUERY('Copy of Politic"&amp;"alData'!AS$3:AT$55,""select AS where AT = ""&amp;BB31&amp;"""",0), QUERY('Copy of PoliticalData'!AS$3:AT$55,""select AS where AT = ""&amp;BA31&amp;"""",0))"),"greg.schneider@tcstudents.org")</f>
        <v>greg.schneider@tcstudents.org</v>
      </c>
      <c r="BD31" s="24">
        <f ca="1">IFERROR(__xludf.DUMMYFUNCTION("QUERY('Copy of PoliticalData'!AV$3:AV$34,""select AV where AV &gt; ""&amp;AV31&amp;"" order by AV limit 1"",0)"),1.25)</f>
        <v>1.25</v>
      </c>
      <c r="BE31" s="24">
        <f ca="1">IFERROR(__xludf.DUMMYFUNCTION("QUERY('Copy of PoliticalData'!AV$3:AV$50,""select AV where AV &lt; ""&amp;AV31&amp;"" order by AV desc limit 1"",0)"),-0.53)</f>
        <v>-0.53</v>
      </c>
      <c r="BF31" s="26" t="str">
        <f ca="1">IFERROR(__xludf.DUMMYFUNCTION("IF((ABS(AV31-QUERY('Copy of PoliticalData'!AV$3:AV$55,""select AV where AV &gt; ""&amp;AV31&amp;"" order by AV limit 1"",0))) &gt; ABS(AV31-QUERY('Copy of PoliticalData'!AV$3:AV$55,""select AV where AV &lt; ""&amp;AV31&amp;"" order by AV desc limit 1"",0)), QUERY('Copy of Politic"&amp;"alData'!AU$3:AV$55,""select AU where AV = ""&amp;BE31&amp;"""",0), QUERY('Copy of PoliticalData'!AU$3:AV$55,""select AU where AV = ""&amp;BD31&amp;"""",0))"),"greg.schneider@tcstudents.org")</f>
        <v>greg.schneider@tcstudents.org</v>
      </c>
      <c r="BG31" s="19"/>
      <c r="BH31" s="24" t="e">
        <f t="shared" ca="1" si="14"/>
        <v>#NAME?</v>
      </c>
      <c r="BI31" s="19" t="str">
        <f t="shared" si="15"/>
        <v>Yes</v>
      </c>
      <c r="BJ31" s="19" t="str">
        <f t="shared" si="16"/>
        <v>Yes</v>
      </c>
      <c r="BK31" s="19" t="str">
        <f t="shared" si="17"/>
        <v>No</v>
      </c>
      <c r="BL31" s="19" t="str">
        <f t="shared" si="18"/>
        <v>No</v>
      </c>
      <c r="BM31" s="28"/>
    </row>
    <row r="32" spans="1:65" ht="14.5" x14ac:dyDescent="0.35">
      <c r="A32" s="44">
        <v>44251.608414097223</v>
      </c>
      <c r="B32" s="45">
        <v>6</v>
      </c>
      <c r="C32" s="45">
        <v>7</v>
      </c>
      <c r="D32" s="45">
        <v>8</v>
      </c>
      <c r="E32" s="45">
        <v>9</v>
      </c>
      <c r="F32" s="45">
        <v>9</v>
      </c>
      <c r="G32" s="45">
        <v>7</v>
      </c>
      <c r="H32" s="45">
        <v>4</v>
      </c>
      <c r="I32" s="45">
        <v>8</v>
      </c>
      <c r="J32" s="45">
        <v>4</v>
      </c>
      <c r="K32" s="45">
        <v>9</v>
      </c>
      <c r="L32" s="45">
        <v>3</v>
      </c>
      <c r="M32" s="45">
        <v>8</v>
      </c>
      <c r="N32" s="45">
        <v>9</v>
      </c>
      <c r="O32" s="45">
        <v>9</v>
      </c>
      <c r="P32" s="45">
        <v>7</v>
      </c>
      <c r="Q32" s="45">
        <v>10</v>
      </c>
      <c r="R32" s="45">
        <v>2</v>
      </c>
      <c r="S32" s="45">
        <v>8</v>
      </c>
      <c r="T32" s="45">
        <v>7</v>
      </c>
      <c r="U32" s="45">
        <v>9</v>
      </c>
      <c r="V32" s="45">
        <v>5</v>
      </c>
      <c r="W32" s="45">
        <v>7</v>
      </c>
      <c r="X32" s="45">
        <v>7</v>
      </c>
      <c r="Y32" s="45">
        <v>10</v>
      </c>
      <c r="Z32" s="45">
        <v>7</v>
      </c>
      <c r="AA32" s="45">
        <v>7</v>
      </c>
      <c r="AB32" s="45">
        <v>9</v>
      </c>
      <c r="AC32" s="45">
        <v>5</v>
      </c>
      <c r="AD32" s="12"/>
      <c r="AE32" s="13">
        <f t="shared" si="0"/>
        <v>6.8421052631578947</v>
      </c>
      <c r="AF32" s="14">
        <f t="shared" si="1"/>
        <v>3.1578947368421053</v>
      </c>
      <c r="AG32" s="14">
        <f t="shared" si="2"/>
        <v>7.25</v>
      </c>
      <c r="AH32" s="14">
        <f t="shared" si="3"/>
        <v>2.75</v>
      </c>
      <c r="AI32" s="14">
        <f t="shared" si="4"/>
        <v>7</v>
      </c>
      <c r="AJ32" s="14">
        <f t="shared" si="5"/>
        <v>3</v>
      </c>
      <c r="AK32" s="15" t="str">
        <f t="shared" si="6"/>
        <v>Conservative:</v>
      </c>
      <c r="AL32" s="16">
        <f t="shared" si="7"/>
        <v>6.8421052631578947</v>
      </c>
      <c r="AM32" s="17" t="str">
        <f t="shared" si="8"/>
        <v>Conservative:</v>
      </c>
      <c r="AN32" s="16">
        <f t="shared" si="9"/>
        <v>7.25</v>
      </c>
      <c r="AO32" s="17" t="str">
        <f t="shared" si="10"/>
        <v>Libertarian:</v>
      </c>
      <c r="AP32" s="16">
        <f t="shared" si="11"/>
        <v>7</v>
      </c>
      <c r="AQ32" s="46" t="s">
        <v>97</v>
      </c>
      <c r="AR32" s="19">
        <f t="shared" si="24"/>
        <v>3.68</v>
      </c>
      <c r="AS32" s="37" t="s">
        <v>97</v>
      </c>
      <c r="AT32" s="19">
        <f t="shared" si="25"/>
        <v>4.5</v>
      </c>
      <c r="AU32" s="37" t="s">
        <v>97</v>
      </c>
      <c r="AV32" s="19">
        <f t="shared" si="26"/>
        <v>4</v>
      </c>
      <c r="AW32" s="21"/>
      <c r="AX32" s="22">
        <f ca="1">IFERROR(__xludf.DUMMYFUNCTION("QUERY('Copy of PoliticalData'!AR$3:AR$55,""select AR where AR &gt; ""&amp;AR32&amp;"" order by AR limit 1"",0)"),3.89)</f>
        <v>3.89</v>
      </c>
      <c r="AY32" s="22">
        <f ca="1">IFERROR(__xludf.DUMMYFUNCTION("QUERY('Copy of PoliticalData'!AR$3:AR$55,""select AR where AR &lt; ""&amp;AR32&amp;"" order by AR desc limit 1"",0)"),3.13)</f>
        <v>3.13</v>
      </c>
      <c r="AZ32" s="23" t="str">
        <f ca="1">IFERROR(__xludf.DUMMYFUNCTION("IF((ABS(AR32-QUERY('Copy of PoliticalData'!AR$3:AR$55,""select AR where AR &gt; ""&amp;AR32&amp;"" order by AR limit 1"",0))) &gt; ABS(AR32-QUERY('Copy of PoliticalData'!AR$3:AR$55,""select AR where AR &lt; ""&amp;AR32&amp;"" order by AR desc limit 1"",0)), QUERY('Copy of Politic"&amp;"alData'!AQ$3:AR$55,""select AQ where AR = ""&amp;AY32&amp;"""",0), QUERY('Copy of PoliticalData'!AQ$3:AR$55,""select AQ where AR = ""&amp;AX32&amp;"""",0))"),"kyle.zaldin@tcstudents.org")</f>
        <v>kyle.zaldin@tcstudents.org</v>
      </c>
      <c r="BA32" s="24">
        <f ca="1">IFERROR(__xludf.DUMMYFUNCTION("QUERY('Copy of PoliticalData'!AT$3:AT$34,""select AT where AT &gt; ""&amp;AT32&amp;"" order by AT limit 1"",0)"),4.7)</f>
        <v>4.7</v>
      </c>
      <c r="BB32" s="24">
        <f ca="1">IFERROR(__xludf.DUMMYFUNCTION("QUERY('Copy of PoliticalData'!AT$3:AT$50,""select AT where AT &lt; ""&amp;AT32&amp;"" order by AT desc limit 1"",0)"),4.3)</f>
        <v>4.3</v>
      </c>
      <c r="BC32" s="25" t="str">
        <f ca="1">IFERROR(__xludf.DUMMYFUNCTION("IF((ABS(AT32-QUERY('Copy of PoliticalData'!AT$3:AT$55,""select AT where AT &gt; ""&amp;AT32&amp;"" order by AT limit 1"",0))) &gt; ABS(AT32-QUERY('Copy of PoliticalData'!AT$3:AT$55,""select AT where AT &lt; ""&amp;AT32&amp;"" order by AT desc limit 1"",0)), QUERY('Copy of Politic"&amp;"alData'!AS$3:AT$55,""select AS where AT = ""&amp;BB32&amp;"""",0), QUERY('Copy of PoliticalData'!AS$3:AT$55,""select AS where AT = ""&amp;BA32&amp;"""",0))"),"joshua.benbassat@tcstudents.org")</f>
        <v>joshua.benbassat@tcstudents.org</v>
      </c>
      <c r="BD32" s="24">
        <f ca="1">IFERROR(__xludf.DUMMYFUNCTION("QUERY('Copy of PoliticalData'!AV$3:AV$34,""select AV where AV &gt; ""&amp;AV32&amp;"" order by AV limit 1"",0)"),4.4)</f>
        <v>4.4000000000000004</v>
      </c>
      <c r="BE32" s="24">
        <f ca="1">IFERROR(__xludf.DUMMYFUNCTION("QUERY('Copy of PoliticalData'!AV$3:AV$50,""select AV where AV &lt; ""&amp;AV32&amp;"" order by AV desc limit 1"",0)"),3.76)</f>
        <v>3.76</v>
      </c>
      <c r="BF32" s="26" t="str">
        <f ca="1">IFERROR(__xludf.DUMMYFUNCTION("IF((ABS(AV32-QUERY('Copy of PoliticalData'!AV$3:AV$55,""select AV where AV &gt; ""&amp;AV32&amp;"" order by AV limit 1"",0))) &gt; ABS(AV32-QUERY('Copy of PoliticalData'!AV$3:AV$55,""select AV where AV &lt; ""&amp;AV32&amp;"" order by AV desc limit 1"",0)), QUERY('Copy of Politic"&amp;"alData'!AU$3:AV$55,""select AU where AV = ""&amp;BE32&amp;"""",0), QUERY('Copy of PoliticalData'!AU$3:AV$55,""select AU where AV = ""&amp;BD32&amp;"""",0))"),"zachary.muraven@tcstudents.org")</f>
        <v>zachary.muraven@tcstudents.org</v>
      </c>
      <c r="BG32" s="19"/>
      <c r="BH32" s="24" t="e">
        <f t="shared" ca="1" si="14"/>
        <v>#NAME?</v>
      </c>
      <c r="BI32" s="19" t="str">
        <f t="shared" si="15"/>
        <v>No</v>
      </c>
      <c r="BJ32" s="19" t="str">
        <f t="shared" si="16"/>
        <v>No</v>
      </c>
      <c r="BK32" s="19" t="str">
        <f t="shared" si="17"/>
        <v>Yes</v>
      </c>
      <c r="BL32" s="19" t="str">
        <f t="shared" si="18"/>
        <v>No</v>
      </c>
      <c r="BM32" s="28"/>
    </row>
    <row r="33" spans="1:65" ht="14.5" x14ac:dyDescent="0.35">
      <c r="A33" s="44">
        <v>44251.633545034725</v>
      </c>
      <c r="B33" s="45">
        <v>4</v>
      </c>
      <c r="C33" s="45">
        <v>2</v>
      </c>
      <c r="D33" s="45">
        <v>4</v>
      </c>
      <c r="E33" s="45">
        <v>3</v>
      </c>
      <c r="F33" s="45">
        <v>4</v>
      </c>
      <c r="G33" s="45">
        <v>4</v>
      </c>
      <c r="H33" s="45">
        <v>3</v>
      </c>
      <c r="I33" s="45">
        <v>3</v>
      </c>
      <c r="J33" s="45">
        <v>3</v>
      </c>
      <c r="K33" s="45">
        <v>6</v>
      </c>
      <c r="L33" s="45">
        <v>1</v>
      </c>
      <c r="M33" s="45">
        <v>6</v>
      </c>
      <c r="N33" s="45">
        <v>6</v>
      </c>
      <c r="O33" s="45">
        <v>3</v>
      </c>
      <c r="P33" s="45">
        <v>5</v>
      </c>
      <c r="Q33" s="45">
        <v>6</v>
      </c>
      <c r="R33" s="45">
        <v>6</v>
      </c>
      <c r="S33" s="45">
        <v>3</v>
      </c>
      <c r="T33" s="45">
        <v>3</v>
      </c>
      <c r="U33" s="45">
        <v>7</v>
      </c>
      <c r="V33" s="45">
        <v>7</v>
      </c>
      <c r="W33" s="45">
        <v>3</v>
      </c>
      <c r="X33" s="45">
        <v>4</v>
      </c>
      <c r="Y33" s="45">
        <v>7</v>
      </c>
      <c r="Z33" s="45">
        <v>4</v>
      </c>
      <c r="AA33" s="45">
        <v>3</v>
      </c>
      <c r="AB33" s="45">
        <v>5</v>
      </c>
      <c r="AC33" s="45">
        <v>0</v>
      </c>
      <c r="AD33" s="12"/>
      <c r="AE33" s="13">
        <f t="shared" si="0"/>
        <v>3.6315789473684212</v>
      </c>
      <c r="AF33" s="14">
        <f t="shared" si="1"/>
        <v>6.3684210526315788</v>
      </c>
      <c r="AG33" s="14">
        <f t="shared" si="2"/>
        <v>4.3</v>
      </c>
      <c r="AH33" s="14">
        <f t="shared" si="3"/>
        <v>5.7</v>
      </c>
      <c r="AI33" s="14">
        <f t="shared" si="4"/>
        <v>4.0526315789473681</v>
      </c>
      <c r="AJ33" s="14">
        <f t="shared" si="5"/>
        <v>5.9473684210526319</v>
      </c>
      <c r="AK33" s="15" t="str">
        <f t="shared" si="6"/>
        <v>Liberal:</v>
      </c>
      <c r="AL33" s="16">
        <f t="shared" si="7"/>
        <v>6.3684210526315788</v>
      </c>
      <c r="AM33" s="17" t="str">
        <f t="shared" si="8"/>
        <v>Liberal:</v>
      </c>
      <c r="AN33" s="16">
        <f t="shared" si="9"/>
        <v>5.7</v>
      </c>
      <c r="AO33" s="17" t="str">
        <f t="shared" si="10"/>
        <v>Authoritarian:</v>
      </c>
      <c r="AP33" s="16">
        <f t="shared" si="11"/>
        <v>5.9473684210526319</v>
      </c>
      <c r="AQ33" s="46" t="s">
        <v>98</v>
      </c>
      <c r="AR33" s="19">
        <f t="shared" si="24"/>
        <v>-2.74</v>
      </c>
      <c r="AS33" s="37" t="s">
        <v>98</v>
      </c>
      <c r="AT33" s="19">
        <f t="shared" si="25"/>
        <v>-1.4</v>
      </c>
      <c r="AU33" s="37" t="s">
        <v>98</v>
      </c>
      <c r="AV33" s="19">
        <f t="shared" si="26"/>
        <v>-1.89</v>
      </c>
      <c r="AW33" s="21"/>
      <c r="AX33" s="22">
        <f ca="1">IFERROR(__xludf.DUMMYFUNCTION("QUERY('Copy of PoliticalData'!AR$3:AR$55,""select AR where AR &gt; ""&amp;AR33&amp;"" order by AR limit 1"",0)"),-2.53)</f>
        <v>-2.5299999999999998</v>
      </c>
      <c r="AY33" s="22">
        <f ca="1">IFERROR(__xludf.DUMMYFUNCTION("QUERY('Copy of PoliticalData'!AR$3:AR$55,""select AR where AR &lt; ""&amp;AR33&amp;"" order by AR desc limit 1"",0)"),-3.05)</f>
        <v>-3.05</v>
      </c>
      <c r="AZ33" s="23" t="str">
        <f ca="1">IFERROR(__xludf.DUMMYFUNCTION("IF((ABS(AR33-QUERY('Copy of PoliticalData'!AR$3:AR$55,""select AR where AR &gt; ""&amp;AR33&amp;"" order by AR limit 1"",0))) &gt; ABS(AR33-QUERY('Copy of PoliticalData'!AR$3:AR$55,""select AR where AR &lt; ""&amp;AR33&amp;"" order by AR desc limit 1"",0)), QUERY('Copy of Politic"&amp;"alData'!AQ$3:AR$55,""select AQ where AR = ""&amp;AY33&amp;"""",0), QUERY('Copy of PoliticalData'!AQ$3:AR$55,""select AQ where AR = ""&amp;AX33&amp;"""",0))"),"dylan.yagod-ramm@tcstudents.org")</f>
        <v>dylan.yagod-ramm@tcstudents.org</v>
      </c>
      <c r="BA33" s="24">
        <f ca="1">IFERROR(__xludf.DUMMYFUNCTION("QUERY('Copy of PoliticalData'!AT$3:AT$34,""select AT where AT &gt; ""&amp;AT33&amp;"" order by AT limit 1"",0)"),-1.39)</f>
        <v>-1.39</v>
      </c>
      <c r="BB33" s="24">
        <f ca="1">IFERROR(__xludf.DUMMYFUNCTION("QUERY('Copy of PoliticalData'!AT$3:AT$50,""select AT where AT &lt; ""&amp;AT33&amp;"" order by AT desc limit 1"",0)"),-2.2)</f>
        <v>-2.2000000000000002</v>
      </c>
      <c r="BC33" s="25" t="str">
        <f ca="1">IFERROR(__xludf.DUMMYFUNCTION("IF((ABS(AT33-QUERY('Copy of PoliticalData'!AT$3:AT$55,""select AT where AT &gt; ""&amp;AT33&amp;"" order by AT limit 1"",0))) &gt; ABS(AT33-QUERY('Copy of PoliticalData'!AT$3:AT$55,""select AT where AT &lt; ""&amp;AT33&amp;"" order by AT desc limit 1"",0)), QUERY('Copy of Politic"&amp;"alData'!AS$3:AT$55,""select AS where AT = ""&amp;BB33&amp;"""",0), QUERY('Copy of PoliticalData'!AS$3:AT$55,""select AS where AT = ""&amp;BA33&amp;"""",0))"),"avi.tabibian@tcstudents.org")</f>
        <v>avi.tabibian@tcstudents.org</v>
      </c>
      <c r="BD33" s="24">
        <f ca="1">IFERROR(__xludf.DUMMYFUNCTION("QUERY('Copy of PoliticalData'!AV$3:AV$34,""select AV where AV &gt; ""&amp;AV33&amp;"" order by AV limit 1"",0)"),-1.88)</f>
        <v>-1.88</v>
      </c>
      <c r="BE33" s="24">
        <f ca="1">IFERROR(__xludf.DUMMYFUNCTION("QUERY('Copy of PoliticalData'!AV$3:AV$50,""select AV where AV &lt; ""&amp;AV33&amp;"" order by AV desc limit 1"",0)"),-2.84)</f>
        <v>-2.84</v>
      </c>
      <c r="BF33" s="26" t="str">
        <f ca="1">IFERROR(__xludf.DUMMYFUNCTION("IF((ABS(AV33-QUERY('Copy of PoliticalData'!AV$3:AV$55,""select AV where AV &gt; ""&amp;AV33&amp;"" order by AV limit 1"",0))) &gt; ABS(AV33-QUERY('Copy of PoliticalData'!AV$3:AV$55,""select AV where AV &lt; ""&amp;AV33&amp;"" order by AV desc limit 1"",0)), QUERY('Copy of Politic"&amp;"alData'!AU$3:AV$55,""select AU where AV = ""&amp;BE33&amp;"""",0), QUERY('Copy of PoliticalData'!AU$3:AV$55,""select AU where AV = ""&amp;BD33&amp;"""",0))"),"noah.shaffir@tcstudents.org")</f>
        <v>noah.shaffir@tcstudents.org</v>
      </c>
      <c r="BG33" s="47"/>
      <c r="BH33" s="24" t="e">
        <f t="shared" ca="1" si="14"/>
        <v>#NAME?</v>
      </c>
      <c r="BI33" s="19" t="str">
        <f t="shared" si="15"/>
        <v>No</v>
      </c>
      <c r="BJ33" s="19" t="str">
        <f t="shared" si="16"/>
        <v>No</v>
      </c>
      <c r="BK33" s="19" t="str">
        <f t="shared" si="17"/>
        <v>No</v>
      </c>
      <c r="BL33" s="19" t="str">
        <f t="shared" si="18"/>
        <v>No</v>
      </c>
      <c r="BM33" s="28"/>
    </row>
    <row r="34" spans="1:65" ht="14.5" x14ac:dyDescent="0.35">
      <c r="A34" s="44">
        <v>44251.634054641203</v>
      </c>
      <c r="B34" s="45">
        <v>7</v>
      </c>
      <c r="C34" s="45">
        <v>6</v>
      </c>
      <c r="D34" s="45">
        <v>3</v>
      </c>
      <c r="E34" s="45">
        <v>4</v>
      </c>
      <c r="F34" s="45">
        <v>4</v>
      </c>
      <c r="G34" s="45">
        <v>8</v>
      </c>
      <c r="H34" s="45">
        <v>6</v>
      </c>
      <c r="I34" s="45">
        <v>8</v>
      </c>
      <c r="J34" s="45">
        <v>5</v>
      </c>
      <c r="K34" s="45">
        <v>5</v>
      </c>
      <c r="L34" s="45">
        <v>4</v>
      </c>
      <c r="M34" s="45">
        <v>4</v>
      </c>
      <c r="N34" s="45">
        <v>8</v>
      </c>
      <c r="O34" s="45">
        <v>7</v>
      </c>
      <c r="P34" s="45">
        <v>5</v>
      </c>
      <c r="Q34" s="45">
        <v>6</v>
      </c>
      <c r="R34" s="45">
        <v>1</v>
      </c>
      <c r="S34" s="45">
        <v>8</v>
      </c>
      <c r="T34" s="45">
        <v>5</v>
      </c>
      <c r="U34" s="45">
        <v>4</v>
      </c>
      <c r="V34" s="45">
        <v>9</v>
      </c>
      <c r="W34" s="45">
        <v>4</v>
      </c>
      <c r="X34" s="45">
        <v>5</v>
      </c>
      <c r="Y34" s="45">
        <v>5</v>
      </c>
      <c r="Z34" s="45">
        <v>6</v>
      </c>
      <c r="AA34" s="45">
        <v>6</v>
      </c>
      <c r="AB34" s="45">
        <v>5</v>
      </c>
      <c r="AC34" s="45">
        <v>1</v>
      </c>
      <c r="AD34" s="12"/>
      <c r="AE34" s="13">
        <f t="shared" si="0"/>
        <v>5.4210526315789478</v>
      </c>
      <c r="AF34" s="14">
        <f t="shared" si="1"/>
        <v>4.5789473684210522</v>
      </c>
      <c r="AG34" s="14">
        <f t="shared" si="2"/>
        <v>5.85</v>
      </c>
      <c r="AH34" s="14">
        <f t="shared" si="3"/>
        <v>4.1500000000000004</v>
      </c>
      <c r="AI34" s="14">
        <f t="shared" si="4"/>
        <v>5.6315789473684212</v>
      </c>
      <c r="AJ34" s="14">
        <f t="shared" si="5"/>
        <v>4.3684210526315788</v>
      </c>
      <c r="AK34" s="15" t="str">
        <f t="shared" si="6"/>
        <v>Conservative:</v>
      </c>
      <c r="AL34" s="16">
        <f t="shared" si="7"/>
        <v>5.4210526315789478</v>
      </c>
      <c r="AM34" s="17" t="str">
        <f t="shared" si="8"/>
        <v>Conservative:</v>
      </c>
      <c r="AN34" s="16">
        <f t="shared" si="9"/>
        <v>5.85</v>
      </c>
      <c r="AO34" s="17" t="str">
        <f t="shared" si="10"/>
        <v>Libertarian:</v>
      </c>
      <c r="AP34" s="16">
        <f t="shared" si="11"/>
        <v>5.6315789473684212</v>
      </c>
      <c r="AQ34" s="46" t="s">
        <v>99</v>
      </c>
      <c r="AR34" s="19">
        <f t="shared" si="24"/>
        <v>0.84</v>
      </c>
      <c r="AS34" s="37" t="s">
        <v>99</v>
      </c>
      <c r="AT34" s="19">
        <f t="shared" si="25"/>
        <v>1.7</v>
      </c>
      <c r="AU34" s="37" t="s">
        <v>99</v>
      </c>
      <c r="AV34" s="19">
        <f>ROUND(IF(AI34 &gt; 5, (AI34*2)-10.01, (-AJ34*2)+10.01), 2)</f>
        <v>1.25</v>
      </c>
      <c r="AW34" s="21"/>
      <c r="AX34" s="22">
        <f ca="1">IFERROR(__xludf.DUMMYFUNCTION("QUERY('Copy of PoliticalData'!AR$3:AR$55,""select AR where AR &gt; ""&amp;AR34&amp;"" order by AR limit 1"",0)"),1.47)</f>
        <v>1.47</v>
      </c>
      <c r="AY34" s="22">
        <f ca="1">IFERROR(__xludf.DUMMYFUNCTION("QUERY('Copy of PoliticalData'!AR$3:AR$55,""select AR where AR &lt; ""&amp;AR34&amp;"" order by AR desc limit 1"",0)"),-0.21)</f>
        <v>-0.21</v>
      </c>
      <c r="AZ34" s="23" t="str">
        <f ca="1">IFERROR(__xludf.DUMMYFUNCTION("IF((ABS(AR34-QUERY('Copy of PoliticalData'!AR$3:AR$55,""select AR where AR &gt; ""&amp;AR34&amp;"" order by AR limit 1"",0))) &gt; ABS(AR34-QUERY('Copy of PoliticalData'!AR$3:AR$55,""select AR where AR &lt; ""&amp;AR34&amp;"" order by AR desc limit 1"",0)), QUERY('Copy of Politic"&amp;"alData'!AQ$3:AR$55,""select AQ where AR = ""&amp;AY34&amp;"""",0), QUERY('Copy of PoliticalData'!AQ$3:AR$55,""select AQ where AR = ""&amp;AX34&amp;"""",0))"),"jonathan.kagal@tcstudents.org")</f>
        <v>jonathan.kagal@tcstudents.org</v>
      </c>
      <c r="BA34" s="24">
        <f ca="1">IFERROR(__xludf.DUMMYFUNCTION("QUERY('Copy of PoliticalData'!AT$3:AT$34,""select AT where AT &gt; ""&amp;AT34&amp;"" order by AT limit 1"",0)"),1.8)</f>
        <v>1.8</v>
      </c>
      <c r="BB34" s="24">
        <f ca="1">IFERROR(__xludf.DUMMYFUNCTION("QUERY('Copy of PoliticalData'!AT$3:AT$50,""select AT where AT &lt; ""&amp;AT34&amp;"" order by AT desc limit 1"",0)"),1.4)</f>
        <v>1.4</v>
      </c>
      <c r="BC34" s="25" t="str">
        <f ca="1">IFERROR(__xludf.DUMMYFUNCTION("IF((ABS(AT34-QUERY('Copy of PoliticalData'!AT$3:AT$55,""select AT where AT &gt; ""&amp;AT34&amp;"" order by AT limit 1"",0))) &gt; ABS(AT34-QUERY('Copy of PoliticalData'!AT$3:AT$55,""select AT where AT &lt; ""&amp;AT34&amp;"" order by AT desc limit 1"",0)), QUERY('Copy of Politic"&amp;"alData'!AS$3:AT$55,""select AS where AT = ""&amp;BB34&amp;"""",0), QUERY('Copy of PoliticalData'!AS$3:AT$55,""select AS where AT = ""&amp;BA34&amp;"""",0))"),"kyle.goldenberg@tcstudents.org")</f>
        <v>kyle.goldenberg@tcstudents.org</v>
      </c>
      <c r="BD34" s="24">
        <f ca="1">IFERROR(__xludf.DUMMYFUNCTION("QUERY('Copy of PoliticalData'!AV$3:AV$34,""select AV where AV &gt; ""&amp;AV34&amp;"" order by AV limit 1"",0)"),1.26)</f>
        <v>1.26</v>
      </c>
      <c r="BE34" s="24">
        <f ca="1">IFERROR(__xludf.DUMMYFUNCTION("QUERY('Copy of PoliticalData'!AV$3:AV$50,""select AV where AV &lt; ""&amp;AV34&amp;"" order by AV desc limit 1"",0)"),0.21)</f>
        <v>0.21</v>
      </c>
      <c r="BF34" s="26" t="str">
        <f ca="1">IFERROR(__xludf.DUMMYFUNCTION("IF((ABS(AV34-QUERY('Copy of PoliticalData'!AV$3:AV$55,""select AV where AV &gt; ""&amp;AV34&amp;"" order by AV limit 1"",0))) &gt; ABS(AV34-QUERY('Copy of PoliticalData'!AV$3:AV$55,""select AV where AV &lt; ""&amp;AV34&amp;"" order by AV desc limit 1"",0)), QUERY('Copy of Politic"&amp;"alData'!AU$3:AV$55,""select AU where AV = ""&amp;BE34&amp;"""",0), QUERY('Copy of PoliticalData'!AU$3:AV$55,""select AU where AV = ""&amp;BD34&amp;"""",0))"),"kyle.goldenberg@tcstudents.org")</f>
        <v>kyle.goldenberg@tcstudents.org</v>
      </c>
      <c r="BG34" s="47"/>
      <c r="BH34" s="24" t="e">
        <f t="shared" ca="1" si="14"/>
        <v>#NAME?</v>
      </c>
      <c r="BI34" s="19" t="str">
        <f t="shared" si="15"/>
        <v>No</v>
      </c>
      <c r="BJ34" s="19" t="str">
        <f t="shared" si="16"/>
        <v>No</v>
      </c>
      <c r="BK34" s="19" t="str">
        <f t="shared" si="17"/>
        <v>No</v>
      </c>
      <c r="BL34" s="19" t="str">
        <f t="shared" si="18"/>
        <v>No</v>
      </c>
      <c r="BM34" s="28"/>
    </row>
    <row r="35" spans="1:65" ht="14.5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48"/>
      <c r="AR35" s="31"/>
      <c r="AS35" s="49"/>
      <c r="AT35" s="31"/>
      <c r="AU35" s="49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28"/>
      <c r="BI35" s="31"/>
      <c r="BJ35" s="31"/>
      <c r="BK35" s="31"/>
      <c r="BL35" s="31"/>
      <c r="BM35" s="31"/>
    </row>
    <row r="36" spans="1:65" ht="14.5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48"/>
      <c r="AR36" s="31"/>
      <c r="AS36" s="49"/>
      <c r="AT36" s="31"/>
      <c r="AU36" s="49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28"/>
      <c r="BI36" s="31"/>
      <c r="BJ36" s="31"/>
      <c r="BK36" s="31"/>
      <c r="BL36" s="31"/>
      <c r="BM36" s="31"/>
    </row>
    <row r="37" spans="1:65" ht="14.5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48"/>
      <c r="AR37" s="31"/>
      <c r="AS37" s="49"/>
      <c r="AT37" s="31"/>
      <c r="AU37" s="49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28"/>
      <c r="BI37" s="31"/>
      <c r="BJ37" s="31"/>
      <c r="BK37" s="31"/>
      <c r="BL37" s="31"/>
      <c r="BM37" s="31"/>
    </row>
    <row r="38" spans="1:65" ht="14.5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48"/>
      <c r="AR38" s="31"/>
      <c r="AS38" s="49"/>
      <c r="AT38" s="31"/>
      <c r="AU38" s="49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28"/>
      <c r="BI38" s="31"/>
      <c r="BJ38" s="31"/>
      <c r="BK38" s="31"/>
      <c r="BL38" s="31"/>
      <c r="BM38" s="31"/>
    </row>
    <row r="39" spans="1:65" ht="14.5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48"/>
      <c r="AR39" s="31"/>
      <c r="AS39" s="49"/>
      <c r="AT39" s="31"/>
      <c r="AU39" s="49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28"/>
      <c r="BI39" s="31"/>
      <c r="BJ39" s="31"/>
      <c r="BK39" s="31"/>
      <c r="BL39" s="31"/>
      <c r="BM39" s="31"/>
    </row>
    <row r="40" spans="1:65" ht="14.5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48"/>
      <c r="AR40" s="31"/>
      <c r="AS40" s="49"/>
      <c r="AT40" s="31"/>
      <c r="AU40" s="49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28"/>
      <c r="BI40" s="31"/>
      <c r="BJ40" s="31"/>
      <c r="BK40" s="31"/>
      <c r="BL40" s="31"/>
      <c r="BM40" s="31"/>
    </row>
    <row r="41" spans="1:65" ht="14.5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49"/>
      <c r="AT41" s="31"/>
      <c r="AU41" s="49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28"/>
      <c r="BI41" s="31"/>
      <c r="BJ41" s="31"/>
      <c r="BK41" s="31"/>
      <c r="BL41" s="31"/>
      <c r="BM41" s="31"/>
    </row>
    <row r="42" spans="1:65" ht="14.5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49"/>
      <c r="AT42" s="31"/>
      <c r="AU42" s="49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28"/>
      <c r="BI42" s="31"/>
      <c r="BJ42" s="31"/>
      <c r="BK42" s="31"/>
      <c r="BL42" s="31"/>
      <c r="BM42" s="31"/>
    </row>
    <row r="43" spans="1:65" ht="13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49"/>
      <c r="AT43" s="31"/>
      <c r="AU43" s="49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</row>
    <row r="44" spans="1:65" ht="13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49"/>
      <c r="AT44" s="31"/>
      <c r="AU44" s="49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</row>
    <row r="45" spans="1:65" ht="13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49"/>
      <c r="AT45" s="31"/>
      <c r="AU45" s="49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</row>
    <row r="46" spans="1:65" ht="13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49"/>
      <c r="AT46" s="31"/>
      <c r="AU46" s="49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ht="13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49"/>
      <c r="AT47" s="31"/>
      <c r="AU47" s="49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ht="13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49"/>
      <c r="AT48" s="31"/>
      <c r="AU48" s="49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ht="13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49"/>
      <c r="AT49" s="31"/>
      <c r="AU49" s="49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ht="13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49"/>
      <c r="AT50" s="31"/>
      <c r="AU50" s="49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</row>
    <row r="51" spans="1:65" ht="13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49"/>
      <c r="AT51" s="31"/>
      <c r="AU51" s="49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</row>
    <row r="52" spans="1:65" ht="13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49"/>
      <c r="AT52" s="31"/>
      <c r="AU52" s="49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</row>
    <row r="53" spans="1:65" ht="13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49"/>
      <c r="AT53" s="31"/>
      <c r="AU53" s="49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</row>
    <row r="54" spans="1:65" ht="13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49"/>
      <c r="AT54" s="31"/>
      <c r="AU54" s="49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</row>
    <row r="55" spans="1:65" ht="13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49"/>
      <c r="AT55" s="31"/>
      <c r="AU55" s="49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</row>
    <row r="56" spans="1:65" ht="13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49"/>
      <c r="AT56" s="31"/>
      <c r="AU56" s="49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</row>
    <row r="57" spans="1:65" ht="13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49"/>
      <c r="AT57" s="31"/>
      <c r="AU57" s="49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</row>
    <row r="58" spans="1:65" ht="13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31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31"/>
      <c r="AR58" s="50"/>
      <c r="AS58" s="49"/>
      <c r="AT58" s="50"/>
      <c r="AU58" s="49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</row>
    <row r="59" spans="1:65" ht="13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31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31"/>
      <c r="AR59" s="50"/>
      <c r="AS59" s="49"/>
      <c r="AT59" s="50"/>
      <c r="AU59" s="49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</row>
    <row r="60" spans="1:65" ht="13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31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31"/>
      <c r="AR60" s="50"/>
      <c r="AS60" s="49"/>
      <c r="AT60" s="50"/>
      <c r="AU60" s="49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</row>
    <row r="61" spans="1:65" ht="13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31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31"/>
      <c r="AR61" s="50"/>
      <c r="AS61" s="49"/>
      <c r="AT61" s="50"/>
      <c r="AU61" s="49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</row>
    <row r="62" spans="1:65" ht="13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31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31"/>
      <c r="AR62" s="50"/>
      <c r="AS62" s="49"/>
      <c r="AT62" s="50"/>
      <c r="AU62" s="49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</row>
    <row r="63" spans="1:65" ht="12.5" x14ac:dyDescent="0.25">
      <c r="AD63" s="49"/>
      <c r="AQ63" s="49"/>
      <c r="AS63" s="51"/>
      <c r="AU63" s="51"/>
    </row>
    <row r="64" spans="1:65" ht="12.5" x14ac:dyDescent="0.25">
      <c r="AD64" s="49"/>
      <c r="AQ64" s="49"/>
      <c r="AS64" s="51"/>
      <c r="AU64" s="51"/>
    </row>
    <row r="65" spans="30:47" ht="12.5" x14ac:dyDescent="0.25">
      <c r="AD65" s="49"/>
      <c r="AQ65" s="49"/>
      <c r="AS65" s="51"/>
      <c r="AU65" s="51"/>
    </row>
    <row r="66" spans="30:47" ht="12.5" x14ac:dyDescent="0.25">
      <c r="AD66" s="49"/>
      <c r="AQ66" s="49"/>
      <c r="AS66" s="51"/>
      <c r="AU66" s="51"/>
    </row>
    <row r="67" spans="30:47" ht="12.5" x14ac:dyDescent="0.25">
      <c r="AS67" s="52"/>
      <c r="AU67" s="52"/>
    </row>
    <row r="68" spans="30:47" ht="12.5" x14ac:dyDescent="0.25">
      <c r="AS68" s="52"/>
      <c r="AU68" s="52"/>
    </row>
    <row r="69" spans="30:47" ht="12.5" x14ac:dyDescent="0.25">
      <c r="AS69" s="52"/>
      <c r="AU69" s="52"/>
    </row>
    <row r="70" spans="30:47" ht="12.5" x14ac:dyDescent="0.25">
      <c r="AS70" s="52"/>
      <c r="AU70" s="52"/>
    </row>
    <row r="71" spans="30:47" ht="12.5" x14ac:dyDescent="0.25">
      <c r="AS71" s="52"/>
      <c r="AU71" s="52"/>
    </row>
    <row r="72" spans="30:47" ht="12.5" x14ac:dyDescent="0.25">
      <c r="AS72" s="52"/>
      <c r="AU72" s="52"/>
    </row>
    <row r="73" spans="30:47" ht="12.5" x14ac:dyDescent="0.25">
      <c r="AS73" s="52"/>
      <c r="AU73" s="52"/>
    </row>
    <row r="74" spans="30:47" ht="12.5" x14ac:dyDescent="0.25">
      <c r="AS74" s="52"/>
      <c r="AU74" s="52"/>
    </row>
    <row r="75" spans="30:47" ht="12.5" x14ac:dyDescent="0.25">
      <c r="AS75" s="52"/>
      <c r="AU75" s="52"/>
    </row>
    <row r="76" spans="30:47" ht="12.5" x14ac:dyDescent="0.25">
      <c r="AS76" s="52"/>
      <c r="AU76" s="52"/>
    </row>
    <row r="77" spans="30:47" ht="12.5" x14ac:dyDescent="0.25">
      <c r="AS77" s="52"/>
      <c r="AU77" s="52"/>
    </row>
    <row r="78" spans="30:47" ht="12.5" x14ac:dyDescent="0.25">
      <c r="AS78" s="52"/>
      <c r="AU78" s="52"/>
    </row>
    <row r="79" spans="30:47" ht="12.5" x14ac:dyDescent="0.25">
      <c r="AS79" s="52"/>
      <c r="AU79" s="52"/>
    </row>
    <row r="80" spans="30:47" ht="12.5" x14ac:dyDescent="0.25">
      <c r="AS80" s="52"/>
      <c r="AU80" s="52"/>
    </row>
    <row r="81" spans="45:47" ht="12.5" x14ac:dyDescent="0.25">
      <c r="AS81" s="52"/>
      <c r="AU81" s="52"/>
    </row>
    <row r="82" spans="45:47" ht="12.5" x14ac:dyDescent="0.25">
      <c r="AS82" s="52"/>
      <c r="AU82" s="52"/>
    </row>
    <row r="83" spans="45:47" ht="12.5" x14ac:dyDescent="0.25">
      <c r="AS83" s="52"/>
      <c r="AU83" s="52"/>
    </row>
    <row r="84" spans="45:47" ht="12.5" x14ac:dyDescent="0.25">
      <c r="AS84" s="52"/>
      <c r="AU84" s="52"/>
    </row>
    <row r="85" spans="45:47" ht="12.5" x14ac:dyDescent="0.25">
      <c r="AS85" s="52"/>
      <c r="AU85" s="52"/>
    </row>
    <row r="86" spans="45:47" ht="12.5" x14ac:dyDescent="0.25">
      <c r="AS86" s="52"/>
      <c r="AU86" s="52"/>
    </row>
    <row r="87" spans="45:47" ht="12.5" x14ac:dyDescent="0.25">
      <c r="AS87" s="52"/>
      <c r="AU87" s="52"/>
    </row>
    <row r="88" spans="45:47" ht="12.5" x14ac:dyDescent="0.25">
      <c r="AS88" s="52"/>
      <c r="AU88" s="52"/>
    </row>
    <row r="89" spans="45:47" ht="12.5" x14ac:dyDescent="0.25">
      <c r="AS89" s="52"/>
      <c r="AU89" s="52"/>
    </row>
    <row r="90" spans="45:47" ht="12.5" x14ac:dyDescent="0.25">
      <c r="AS90" s="52"/>
      <c r="AU90" s="52"/>
    </row>
    <row r="91" spans="45:47" ht="12.5" x14ac:dyDescent="0.25">
      <c r="AS91" s="52"/>
      <c r="AU91" s="52"/>
    </row>
    <row r="92" spans="45:47" ht="12.5" x14ac:dyDescent="0.25">
      <c r="AS92" s="52"/>
      <c r="AU92" s="52"/>
    </row>
    <row r="93" spans="45:47" ht="12.5" x14ac:dyDescent="0.25">
      <c r="AS93" s="52"/>
      <c r="AU93" s="52"/>
    </row>
    <row r="94" spans="45:47" ht="12.5" x14ac:dyDescent="0.25">
      <c r="AS94" s="52"/>
      <c r="AU94" s="52"/>
    </row>
    <row r="95" spans="45:47" ht="12.5" x14ac:dyDescent="0.25">
      <c r="AS95" s="52"/>
      <c r="AU95" s="52"/>
    </row>
    <row r="96" spans="45:47" ht="12.5" x14ac:dyDescent="0.25">
      <c r="AS96" s="52"/>
      <c r="AU96" s="52"/>
    </row>
    <row r="97" spans="45:47" ht="12.5" x14ac:dyDescent="0.25">
      <c r="AS97" s="52"/>
      <c r="AU97" s="52"/>
    </row>
    <row r="98" spans="45:47" ht="12.5" x14ac:dyDescent="0.25">
      <c r="AS98" s="52"/>
      <c r="AU98" s="52"/>
    </row>
    <row r="99" spans="45:47" ht="12.5" x14ac:dyDescent="0.25">
      <c r="AS99" s="52"/>
      <c r="AU99" s="52"/>
    </row>
    <row r="100" spans="45:47" ht="12.5" x14ac:dyDescent="0.25">
      <c r="AS100" s="52"/>
      <c r="AU100" s="52"/>
    </row>
    <row r="101" spans="45:47" ht="12.5" x14ac:dyDescent="0.25">
      <c r="AS101" s="52"/>
      <c r="AU101" s="52"/>
    </row>
    <row r="102" spans="45:47" ht="12.5" x14ac:dyDescent="0.25">
      <c r="AS102" s="52"/>
      <c r="AU102" s="52"/>
    </row>
    <row r="103" spans="45:47" ht="12.5" x14ac:dyDescent="0.25">
      <c r="AS103" s="52"/>
      <c r="AU103" s="52"/>
    </row>
    <row r="104" spans="45:47" ht="12.5" x14ac:dyDescent="0.25">
      <c r="AS104" s="52"/>
      <c r="AU104" s="52"/>
    </row>
    <row r="105" spans="45:47" ht="12.5" x14ac:dyDescent="0.25">
      <c r="AS105" s="52"/>
      <c r="AU105" s="52"/>
    </row>
    <row r="106" spans="45:47" ht="12.5" x14ac:dyDescent="0.25">
      <c r="AS106" s="52"/>
      <c r="AU106" s="52"/>
    </row>
    <row r="107" spans="45:47" ht="12.5" x14ac:dyDescent="0.25">
      <c r="AS107" s="52"/>
      <c r="AU107" s="52"/>
    </row>
    <row r="108" spans="45:47" ht="12.5" x14ac:dyDescent="0.25">
      <c r="AS108" s="52"/>
      <c r="AU108" s="52"/>
    </row>
    <row r="109" spans="45:47" ht="12.5" x14ac:dyDescent="0.25">
      <c r="AS109" s="52"/>
      <c r="AU109" s="52"/>
    </row>
    <row r="110" spans="45:47" ht="12.5" x14ac:dyDescent="0.25">
      <c r="AS110" s="52"/>
      <c r="AU110" s="52"/>
    </row>
    <row r="111" spans="45:47" ht="12.5" x14ac:dyDescent="0.25">
      <c r="AS111" s="52"/>
      <c r="AU111" s="52"/>
    </row>
    <row r="112" spans="45:47" ht="12.5" x14ac:dyDescent="0.25">
      <c r="AS112" s="52"/>
      <c r="AU112" s="52"/>
    </row>
    <row r="113" spans="45:47" ht="12.5" x14ac:dyDescent="0.25">
      <c r="AS113" s="52"/>
      <c r="AU113" s="52"/>
    </row>
    <row r="114" spans="45:47" ht="12.5" x14ac:dyDescent="0.25">
      <c r="AS114" s="52"/>
      <c r="AU114" s="52"/>
    </row>
    <row r="115" spans="45:47" ht="12.5" x14ac:dyDescent="0.25">
      <c r="AS115" s="52"/>
      <c r="AU115" s="52"/>
    </row>
    <row r="116" spans="45:47" ht="12.5" x14ac:dyDescent="0.25">
      <c r="AS116" s="52"/>
      <c r="AU116" s="52"/>
    </row>
    <row r="117" spans="45:47" ht="12.5" x14ac:dyDescent="0.25">
      <c r="AS117" s="52"/>
      <c r="AU117" s="52"/>
    </row>
    <row r="118" spans="45:47" ht="12.5" x14ac:dyDescent="0.25">
      <c r="AS118" s="52"/>
      <c r="AU118" s="52"/>
    </row>
    <row r="119" spans="45:47" ht="12.5" x14ac:dyDescent="0.25">
      <c r="AS119" s="52"/>
      <c r="AU119" s="52"/>
    </row>
    <row r="120" spans="45:47" ht="12.5" x14ac:dyDescent="0.25">
      <c r="AS120" s="52"/>
      <c r="AU120" s="52"/>
    </row>
    <row r="121" spans="45:47" ht="12.5" x14ac:dyDescent="0.25">
      <c r="AS121" s="52"/>
      <c r="AU121" s="52"/>
    </row>
    <row r="122" spans="45:47" ht="12.5" x14ac:dyDescent="0.25">
      <c r="AS122" s="52"/>
      <c r="AU122" s="52"/>
    </row>
    <row r="123" spans="45:47" ht="12.5" x14ac:dyDescent="0.25">
      <c r="AS123" s="52"/>
      <c r="AU123" s="52"/>
    </row>
    <row r="124" spans="45:47" ht="12.5" x14ac:dyDescent="0.25">
      <c r="AS124" s="52"/>
      <c r="AU124" s="52"/>
    </row>
    <row r="125" spans="45:47" ht="12.5" x14ac:dyDescent="0.25">
      <c r="AS125" s="52"/>
      <c r="AU125" s="52"/>
    </row>
    <row r="126" spans="45:47" ht="12.5" x14ac:dyDescent="0.25">
      <c r="AS126" s="52"/>
      <c r="AU126" s="52"/>
    </row>
    <row r="127" spans="45:47" ht="12.5" x14ac:dyDescent="0.25">
      <c r="AS127" s="52"/>
      <c r="AU127" s="52"/>
    </row>
    <row r="128" spans="45:47" ht="12.5" x14ac:dyDescent="0.25">
      <c r="AS128" s="52"/>
      <c r="AU128" s="52"/>
    </row>
    <row r="129" spans="45:47" ht="12.5" x14ac:dyDescent="0.25">
      <c r="AS129" s="52"/>
      <c r="AU129" s="52"/>
    </row>
    <row r="130" spans="45:47" ht="12.5" x14ac:dyDescent="0.25">
      <c r="AS130" s="52"/>
      <c r="AU130" s="52"/>
    </row>
    <row r="131" spans="45:47" ht="12.5" x14ac:dyDescent="0.25">
      <c r="AS131" s="52"/>
      <c r="AU131" s="52"/>
    </row>
    <row r="132" spans="45:47" ht="12.5" x14ac:dyDescent="0.25">
      <c r="AS132" s="52"/>
      <c r="AU132" s="52"/>
    </row>
    <row r="133" spans="45:47" ht="12.5" x14ac:dyDescent="0.25">
      <c r="AS133" s="52"/>
      <c r="AU133" s="52"/>
    </row>
    <row r="134" spans="45:47" ht="12.5" x14ac:dyDescent="0.25">
      <c r="AS134" s="52"/>
      <c r="AU134" s="52"/>
    </row>
  </sheetData>
  <mergeCells count="3">
    <mergeCell ref="AK2:AL2"/>
    <mergeCell ref="AM2:AN2"/>
    <mergeCell ref="AO2:AP2"/>
  </mergeCells>
  <conditionalFormatting sqref="AE3:AE60">
    <cfRule type="colorScale" priority="1">
      <colorScale>
        <cfvo type="min"/>
        <cfvo type="max"/>
        <color rgb="FFFFFFFF"/>
        <color rgb="FF674EA7"/>
      </colorScale>
    </cfRule>
  </conditionalFormatting>
  <conditionalFormatting sqref="AF3:AF60">
    <cfRule type="colorScale" priority="2">
      <colorScale>
        <cfvo type="min"/>
        <cfvo type="max"/>
        <color rgb="FFFFFFFF"/>
        <color rgb="FFFF6D01"/>
      </colorScale>
    </cfRule>
  </conditionalFormatting>
  <conditionalFormatting sqref="AG3:AG60">
    <cfRule type="colorScale" priority="3">
      <colorScale>
        <cfvo type="min"/>
        <cfvo type="max"/>
        <color rgb="FFFFFFFF"/>
        <color rgb="FF674EA7"/>
      </colorScale>
    </cfRule>
  </conditionalFormatting>
  <conditionalFormatting sqref="AH3:AH60">
    <cfRule type="colorScale" priority="4">
      <colorScale>
        <cfvo type="min"/>
        <cfvo type="max"/>
        <color rgb="FFFFFFFF"/>
        <color rgb="FFFF6D01"/>
      </colorScale>
    </cfRule>
  </conditionalFormatting>
  <conditionalFormatting sqref="AI3:AI60 AJ15">
    <cfRule type="colorScale" priority="5">
      <colorScale>
        <cfvo type="min"/>
        <cfvo type="max"/>
        <color rgb="FFFFFFFF"/>
        <color rgb="FF674EA7"/>
      </colorScale>
    </cfRule>
  </conditionalFormatting>
  <conditionalFormatting sqref="AJ3:AJ60">
    <cfRule type="colorScale" priority="6">
      <colorScale>
        <cfvo type="min"/>
        <cfvo type="max"/>
        <color rgb="FFFFFFFF"/>
        <color rgb="FFFF6D01"/>
      </colorScale>
    </cfRule>
  </conditionalFormatting>
  <conditionalFormatting sqref="AK3:AP60">
    <cfRule type="containsText" dxfId="50" priority="7" operator="containsText" text="conservative">
      <formula>NOT(ISERROR(SEARCH(("conservative"),(AK3))))</formula>
    </cfRule>
  </conditionalFormatting>
  <conditionalFormatting sqref="AK3:AP60">
    <cfRule type="containsText" dxfId="49" priority="8" operator="containsText" text="liberal">
      <formula>NOT(ISERROR(SEARCH(("liberal"),(AK3))))</formula>
    </cfRule>
  </conditionalFormatting>
  <conditionalFormatting sqref="AO3:AP60">
    <cfRule type="containsText" dxfId="48" priority="9" operator="containsText" text="libertarian">
      <formula>NOT(ISERROR(SEARCH(("libertarian"),(AO3))))</formula>
    </cfRule>
  </conditionalFormatting>
  <conditionalFormatting sqref="AO3:AP60">
    <cfRule type="containsText" dxfId="47" priority="10" operator="containsText" text="authoritarian">
      <formula>NOT(ISERROR(SEARCH(("authoritarian"),(AO3))))</formula>
    </cfRule>
  </conditionalFormatting>
  <conditionalFormatting sqref="A3:A60">
    <cfRule type="notContainsBlanks" dxfId="46" priority="11">
      <formula>LEN(TRIM(A3))&gt;0</formula>
    </cfRule>
  </conditionalFormatting>
  <conditionalFormatting sqref="B3:B60">
    <cfRule type="notContainsBlanks" dxfId="45" priority="12">
      <formula>LEN(TRIM(B3))&gt;0</formula>
    </cfRule>
  </conditionalFormatting>
  <conditionalFormatting sqref="C3:C60">
    <cfRule type="notContainsBlanks" dxfId="44" priority="13">
      <formula>LEN(TRIM(C3))&gt;0</formula>
    </cfRule>
  </conditionalFormatting>
  <conditionalFormatting sqref="D3:D60">
    <cfRule type="notContainsBlanks" dxfId="43" priority="14">
      <formula>LEN(TRIM(D3))&gt;0</formula>
    </cfRule>
  </conditionalFormatting>
  <conditionalFormatting sqref="E3:E56">
    <cfRule type="notContainsBlanks" dxfId="42" priority="15">
      <formula>LEN(TRIM(E3))&gt;0</formula>
    </cfRule>
  </conditionalFormatting>
  <conditionalFormatting sqref="F3:F60">
    <cfRule type="notContainsBlanks" dxfId="41" priority="16">
      <formula>LEN(TRIM(F3))&gt;0</formula>
    </cfRule>
  </conditionalFormatting>
  <conditionalFormatting sqref="G3:G69">
    <cfRule type="notContainsBlanks" dxfId="40" priority="17">
      <formula>LEN(TRIM(G3))&gt;0</formula>
    </cfRule>
  </conditionalFormatting>
  <conditionalFormatting sqref="H3:H61">
    <cfRule type="notContainsBlanks" dxfId="39" priority="18">
      <formula>LEN(TRIM(H3))&gt;0</formula>
    </cfRule>
  </conditionalFormatting>
  <conditionalFormatting sqref="I3:I81">
    <cfRule type="notContainsBlanks" dxfId="38" priority="19">
      <formula>LEN(TRIM(I3))&gt;0</formula>
    </cfRule>
  </conditionalFormatting>
  <conditionalFormatting sqref="J3:J58">
    <cfRule type="notContainsBlanks" dxfId="37" priority="20">
      <formula>LEN(TRIM(J3))&gt;0</formula>
    </cfRule>
  </conditionalFormatting>
  <conditionalFormatting sqref="K3:K58">
    <cfRule type="notContainsBlanks" dxfId="36" priority="21">
      <formula>LEN(TRIM(K3))&gt;0</formula>
    </cfRule>
  </conditionalFormatting>
  <conditionalFormatting sqref="M3:M63">
    <cfRule type="notContainsBlanks" dxfId="35" priority="22">
      <formula>LEN(TRIM(M3))&gt;0</formula>
    </cfRule>
  </conditionalFormatting>
  <conditionalFormatting sqref="N3:N54">
    <cfRule type="notContainsBlanks" dxfId="34" priority="23">
      <formula>LEN(TRIM(N3))&gt;0</formula>
    </cfRule>
  </conditionalFormatting>
  <conditionalFormatting sqref="L3:L63">
    <cfRule type="notContainsBlanks" dxfId="33" priority="24">
      <formula>LEN(TRIM(L3))&gt;0</formula>
    </cfRule>
  </conditionalFormatting>
  <conditionalFormatting sqref="O3:O60">
    <cfRule type="notContainsBlanks" dxfId="32" priority="25">
      <formula>LEN(TRIM(O3))&gt;0</formula>
    </cfRule>
  </conditionalFormatting>
  <conditionalFormatting sqref="P3:P62">
    <cfRule type="notContainsBlanks" dxfId="31" priority="26">
      <formula>LEN(TRIM(P3))&gt;0</formula>
    </cfRule>
  </conditionalFormatting>
  <conditionalFormatting sqref="Q3:Q63">
    <cfRule type="notContainsBlanks" dxfId="30" priority="27">
      <formula>LEN(TRIM(Q3))&gt;0</formula>
    </cfRule>
  </conditionalFormatting>
  <conditionalFormatting sqref="R3:R60">
    <cfRule type="notContainsBlanks" dxfId="29" priority="28">
      <formula>LEN(TRIM(R3))&gt;0</formula>
    </cfRule>
  </conditionalFormatting>
  <conditionalFormatting sqref="S3:S63">
    <cfRule type="notContainsBlanks" dxfId="28" priority="29">
      <formula>LEN(TRIM(S3))&gt;0</formula>
    </cfRule>
  </conditionalFormatting>
  <conditionalFormatting sqref="T3:T73">
    <cfRule type="notContainsBlanks" dxfId="27" priority="30">
      <formula>LEN(TRIM(T3))&gt;0</formula>
    </cfRule>
  </conditionalFormatting>
  <conditionalFormatting sqref="U3:U68">
    <cfRule type="notContainsBlanks" dxfId="26" priority="31">
      <formula>LEN(TRIM(U3))&gt;0</formula>
    </cfRule>
  </conditionalFormatting>
  <conditionalFormatting sqref="V3:V60">
    <cfRule type="notContainsBlanks" dxfId="25" priority="32">
      <formula>LEN(TRIM(V3))&gt;0</formula>
    </cfRule>
  </conditionalFormatting>
  <conditionalFormatting sqref="W3:W62">
    <cfRule type="notContainsBlanks" dxfId="24" priority="33">
      <formula>LEN(TRIM(W3))&gt;0</formula>
    </cfRule>
  </conditionalFormatting>
  <conditionalFormatting sqref="X3:X68">
    <cfRule type="notContainsBlanks" dxfId="23" priority="34">
      <formula>LEN(TRIM(X3))&gt;0</formula>
    </cfRule>
  </conditionalFormatting>
  <conditionalFormatting sqref="Y3:Y74">
    <cfRule type="notContainsBlanks" dxfId="22" priority="35">
      <formula>LEN(TRIM(Y3))&gt;0</formula>
    </cfRule>
  </conditionalFormatting>
  <conditionalFormatting sqref="Z3:Z65">
    <cfRule type="notContainsBlanks" dxfId="21" priority="36">
      <formula>LEN(TRIM(Z3))&gt;0</formula>
    </cfRule>
  </conditionalFormatting>
  <conditionalFormatting sqref="AA3:AA64">
    <cfRule type="notContainsBlanks" dxfId="20" priority="37">
      <formula>LEN(TRIM(AA3))&gt;0</formula>
    </cfRule>
  </conditionalFormatting>
  <conditionalFormatting sqref="AB3:AB65">
    <cfRule type="notContainsBlanks" dxfId="19" priority="38">
      <formula>LEN(TRIM(AB3))&gt;0</formula>
    </cfRule>
  </conditionalFormatting>
  <conditionalFormatting sqref="AC3:AC64">
    <cfRule type="notContainsBlanks" dxfId="18" priority="39">
      <formula>LEN(TRIM(AC3))&gt;0</formula>
    </cfRule>
  </conditionalFormatting>
  <conditionalFormatting sqref="AQ3:AQ62 AS3:AS62 AU3:AU62">
    <cfRule type="notContainsBlanks" dxfId="17" priority="40">
      <formula>LEN(TRIM(AQ3))&gt;0</formula>
    </cfRule>
  </conditionalFormatting>
  <conditionalFormatting sqref="AD3:AD63">
    <cfRule type="notContainsBlanks" dxfId="16" priority="41">
      <formula>LEN(TRIM(AD3))&gt;0</formula>
    </cfRule>
  </conditionalFormatting>
  <conditionalFormatting sqref="AR3:AR78 AT3:AT78 AV3:AV78">
    <cfRule type="cellIs" dxfId="15" priority="42" operator="greaterThan">
      <formula>0</formula>
    </cfRule>
  </conditionalFormatting>
  <conditionalFormatting sqref="AR3:AR78 AT3:AT78 AV3:AV78">
    <cfRule type="cellIs" dxfId="14" priority="43" operator="lessThanOrEqual">
      <formula>0</formula>
    </cfRule>
  </conditionalFormatting>
  <conditionalFormatting sqref="BH3:BH57">
    <cfRule type="containsText" dxfId="13" priority="44" operator="containsText" text="Conservative">
      <formula>NOT(ISERROR(SEARCH(("Conservative"),(BH3))))</formula>
    </cfRule>
  </conditionalFormatting>
  <conditionalFormatting sqref="BH3:BH57">
    <cfRule type="containsText" dxfId="12" priority="45" operator="containsText" text="Liberal">
      <formula>NOT(ISERROR(SEARCH(("Liberal"),(BH3))))</formula>
    </cfRule>
  </conditionalFormatting>
  <conditionalFormatting sqref="BH3:BH57">
    <cfRule type="containsText" dxfId="11" priority="46" operator="containsText" text="NDP">
      <formula>NOT(ISERROR(SEARCH(("NDP"),(BH3))))</formula>
    </cfRule>
  </conditionalFormatting>
  <conditionalFormatting sqref="BI3:BI57">
    <cfRule type="containsText" dxfId="10" priority="47" operator="containsText" text="Yes">
      <formula>NOT(ISERROR(SEARCH(("Yes"),(BI3))))</formula>
    </cfRule>
  </conditionalFormatting>
  <conditionalFormatting sqref="BJ3:BJ52">
    <cfRule type="containsText" dxfId="9" priority="48" operator="containsText" text="Yes">
      <formula>NOT(ISERROR(SEARCH(("Yes"),(BJ3))))</formula>
    </cfRule>
  </conditionalFormatting>
  <conditionalFormatting sqref="BK3:BK50">
    <cfRule type="containsText" dxfId="8" priority="49" operator="containsText" text="Yes">
      <formula>NOT(ISERROR(SEARCH(("Yes"),(BK3))))</formula>
    </cfRule>
  </conditionalFormatting>
  <conditionalFormatting sqref="BL3:BM53">
    <cfRule type="containsText" dxfId="7" priority="50" operator="containsText" text="Yes">
      <formula>NOT(ISERROR(SEARCH(("Yes"),(BL3))))</formula>
    </cfRule>
  </conditionalFormatting>
  <conditionalFormatting sqref="BI3:BM56">
    <cfRule type="containsText" dxfId="6" priority="51" operator="containsText" text="No">
      <formula>NOT(ISERROR(SEARCH(("No"),(BI3))))</formula>
    </cfRule>
  </conditionalFormatting>
  <conditionalFormatting sqref="AW3:AW61">
    <cfRule type="notContainsBlanks" dxfId="5" priority="52">
      <formula>LEN(TRIM(AW3))&gt;0</formula>
    </cfRule>
  </conditionalFormatting>
  <conditionalFormatting sqref="AL3:AP64">
    <cfRule type="colorScale" priority="53">
      <colorScale>
        <cfvo type="formula" val="5"/>
        <cfvo type="formula" val="10"/>
        <color rgb="FFFFFFFF"/>
        <color rgb="FF57BB8A"/>
      </colorScale>
    </cfRule>
  </conditionalFormatting>
  <conditionalFormatting sqref="AW3:BF73">
    <cfRule type="notContainsBlanks" dxfId="4" priority="54">
      <formula>LEN(TRIM(AW3))&gt;0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negative="1" displayXAxis="1" xr2:uid="{00000000-0003-0000-0100-00007F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PoliticalData'!AR34:AV34</xm:f>
              <xm:sqref>AW34</xm:sqref>
            </x14:sparkline>
          </x14:sparklines>
        </x14:sparklineGroup>
        <x14:sparklineGroup displayEmptyCellsAs="gap" xr2:uid="{00000000-0003-0000-0100-00007E000000}">
          <x14:colorSeries rgb="FF000000"/>
          <x14:sparklines>
            <x14:sparkline>
              <xm:f>'Copy of PoliticalData'!B34:AB34</xm:f>
              <xm:sqref>AD34</xm:sqref>
            </x14:sparkline>
          </x14:sparklines>
        </x14:sparklineGroup>
        <x14:sparklineGroup type="stacked" displayEmptyCellsAs="gap" high="1" low="1" negative="1" displayXAxis="1" xr2:uid="{00000000-0003-0000-0100-00007D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PoliticalData'!AR33:AV33</xm:f>
              <xm:sqref>AW33</xm:sqref>
            </x14:sparkline>
          </x14:sparklines>
        </x14:sparklineGroup>
        <x14:sparklineGroup displayEmptyCellsAs="gap" xr2:uid="{00000000-0003-0000-0100-00007C000000}">
          <x14:colorSeries rgb="FF000000"/>
          <x14:sparklines>
            <x14:sparkline>
              <xm:f>'Copy of PoliticalData'!B33:AB33</xm:f>
              <xm:sqref>AD33</xm:sqref>
            </x14:sparkline>
          </x14:sparklines>
        </x14:sparklineGroup>
        <x14:sparklineGroup type="stacked" displayEmptyCellsAs="gap" high="1" low="1" negative="1" displayXAxis="1" xr2:uid="{00000000-0003-0000-0100-00007B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PoliticalData'!AR32:AV32</xm:f>
              <xm:sqref>AW32</xm:sqref>
            </x14:sparkline>
          </x14:sparklines>
        </x14:sparklineGroup>
        <x14:sparklineGroup displayEmptyCellsAs="gap" xr2:uid="{00000000-0003-0000-0100-00007A000000}">
          <x14:colorSeries rgb="FF000000"/>
          <x14:sparklines>
            <x14:sparkline>
              <xm:f>'Copy of PoliticalData'!B32:AB32</xm:f>
              <xm:sqref>AD32</xm:sqref>
            </x14:sparkline>
          </x14:sparklines>
        </x14:sparklineGroup>
        <x14:sparklineGroup type="stacked" displayEmptyCellsAs="gap" high="1" low="1" negative="1" displayXAxis="1" xr2:uid="{00000000-0003-0000-0100-000079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PoliticalData'!AR31:AV31</xm:f>
              <xm:sqref>AW31</xm:sqref>
            </x14:sparkline>
          </x14:sparklines>
        </x14:sparklineGroup>
        <x14:sparklineGroup displayEmptyCellsAs="gap" xr2:uid="{00000000-0003-0000-0100-000078000000}">
          <x14:colorSeries rgb="FF000000"/>
          <x14:sparklines>
            <x14:sparkline>
              <xm:f>'Copy of PoliticalData'!B31:AB31</xm:f>
              <xm:sqref>AD31</xm:sqref>
            </x14:sparkline>
          </x14:sparklines>
        </x14:sparklineGroup>
        <x14:sparklineGroup type="stacked" displayEmptyCellsAs="gap" high="1" low="1" negative="1" displayXAxis="1" xr2:uid="{00000000-0003-0000-0100-000077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PoliticalData'!AR30:AV30</xm:f>
              <xm:sqref>AW30</xm:sqref>
            </x14:sparkline>
          </x14:sparklines>
        </x14:sparklineGroup>
        <x14:sparklineGroup displayEmptyCellsAs="gap" xr2:uid="{00000000-0003-0000-0100-000076000000}">
          <x14:colorSeries rgb="FF000000"/>
          <x14:sparklines>
            <x14:sparkline>
              <xm:f>'Copy of PoliticalData'!B30:AB30</xm:f>
              <xm:sqref>AD30</xm:sqref>
            </x14:sparkline>
          </x14:sparklines>
        </x14:sparklineGroup>
        <x14:sparklineGroup type="stacked" displayEmptyCellsAs="gap" high="1" low="1" negative="1" displayXAxis="1" xr2:uid="{00000000-0003-0000-0100-000075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PoliticalData'!AR29:AV29</xm:f>
              <xm:sqref>AW29</xm:sqref>
            </x14:sparkline>
          </x14:sparklines>
        </x14:sparklineGroup>
        <x14:sparklineGroup displayEmptyCellsAs="gap" xr2:uid="{00000000-0003-0000-0100-000074000000}">
          <x14:colorSeries rgb="FF000000"/>
          <x14:sparklines>
            <x14:sparkline>
              <xm:f>'Copy of PoliticalData'!B29:AB29</xm:f>
              <xm:sqref>AD29</xm:sqref>
            </x14:sparkline>
          </x14:sparklines>
        </x14:sparklineGroup>
        <x14:sparklineGroup type="stacked" displayEmptyCellsAs="gap" high="1" low="1" negative="1" displayXAxis="1" xr2:uid="{00000000-0003-0000-0100-000073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PoliticalData'!AR28:AV28</xm:f>
              <xm:sqref>AW28</xm:sqref>
            </x14:sparkline>
          </x14:sparklines>
        </x14:sparklineGroup>
        <x14:sparklineGroup displayEmptyCellsAs="gap" xr2:uid="{00000000-0003-0000-0100-000072000000}">
          <x14:colorSeries rgb="FF000000"/>
          <x14:sparklines>
            <x14:sparkline>
              <xm:f>'Copy of PoliticalData'!B28:AB28</xm:f>
              <xm:sqref>AD28</xm:sqref>
            </x14:sparkline>
          </x14:sparklines>
        </x14:sparklineGroup>
        <x14:sparklineGroup type="stacked" displayEmptyCellsAs="gap" high="1" low="1" negative="1" displayXAxis="1" xr2:uid="{00000000-0003-0000-0100-000071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PoliticalData'!AR27:AV27</xm:f>
              <xm:sqref>AW27</xm:sqref>
            </x14:sparkline>
          </x14:sparklines>
        </x14:sparklineGroup>
        <x14:sparklineGroup displayEmptyCellsAs="gap" xr2:uid="{00000000-0003-0000-0100-000070000000}">
          <x14:colorSeries rgb="FF000000"/>
          <x14:sparklines>
            <x14:sparkline>
              <xm:f>'Copy of PoliticalData'!B27:AB27</xm:f>
              <xm:sqref>AD27</xm:sqref>
            </x14:sparkline>
          </x14:sparklines>
        </x14:sparklineGroup>
        <x14:sparklineGroup type="stacked" displayEmptyCellsAs="gap" high="1" low="1" negative="1" displayXAxis="1" xr2:uid="{00000000-0003-0000-0100-00006F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PoliticalData'!AR26:AV26</xm:f>
              <xm:sqref>AW26</xm:sqref>
            </x14:sparkline>
          </x14:sparklines>
        </x14:sparklineGroup>
        <x14:sparklineGroup displayEmptyCellsAs="gap" xr2:uid="{00000000-0003-0000-0100-00006E000000}">
          <x14:colorSeries rgb="FF000000"/>
          <x14:sparklines>
            <x14:sparkline>
              <xm:f>'Copy of PoliticalData'!B26:AB26</xm:f>
              <xm:sqref>AD26</xm:sqref>
            </x14:sparkline>
          </x14:sparklines>
        </x14:sparklineGroup>
        <x14:sparklineGroup type="stacked" displayEmptyCellsAs="gap" high="1" low="1" negative="1" displayXAxis="1" xr2:uid="{00000000-0003-0000-0100-00006D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PoliticalData'!AR25:AV25</xm:f>
              <xm:sqref>AW25</xm:sqref>
            </x14:sparkline>
          </x14:sparklines>
        </x14:sparklineGroup>
        <x14:sparklineGroup displayEmptyCellsAs="gap" xr2:uid="{00000000-0003-0000-0100-00006C000000}">
          <x14:colorSeries rgb="FF000000"/>
          <x14:sparklines>
            <x14:sparkline>
              <xm:f>'Copy of PoliticalData'!B25:AB25</xm:f>
              <xm:sqref>AD25</xm:sqref>
            </x14:sparkline>
          </x14:sparklines>
        </x14:sparklineGroup>
        <x14:sparklineGroup type="stacked" displayEmptyCellsAs="gap" high="1" low="1" negative="1" displayXAxis="1" xr2:uid="{00000000-0003-0000-0100-00006B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PoliticalData'!AR24:AV24</xm:f>
              <xm:sqref>AW24</xm:sqref>
            </x14:sparkline>
          </x14:sparklines>
        </x14:sparklineGroup>
        <x14:sparklineGroup displayEmptyCellsAs="gap" xr2:uid="{00000000-0003-0000-0100-00006A000000}">
          <x14:colorSeries rgb="FF000000"/>
          <x14:sparklines>
            <x14:sparkline>
              <xm:f>'Copy of PoliticalData'!B24:AB24</xm:f>
              <xm:sqref>AD24</xm:sqref>
            </x14:sparkline>
          </x14:sparklines>
        </x14:sparklineGroup>
        <x14:sparklineGroup type="stacked" displayEmptyCellsAs="gap" high="1" low="1" negative="1" displayXAxis="1" xr2:uid="{00000000-0003-0000-0100-000069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PoliticalData'!AR23:AV23</xm:f>
              <xm:sqref>AW23</xm:sqref>
            </x14:sparkline>
          </x14:sparklines>
        </x14:sparklineGroup>
        <x14:sparklineGroup displayEmptyCellsAs="gap" xr2:uid="{00000000-0003-0000-0100-000068000000}">
          <x14:colorSeries rgb="FF000000"/>
          <x14:sparklines>
            <x14:sparkline>
              <xm:f>'Copy of PoliticalData'!B23:AB23</xm:f>
              <xm:sqref>AD23</xm:sqref>
            </x14:sparkline>
          </x14:sparklines>
        </x14:sparklineGroup>
        <x14:sparklineGroup type="stacked" displayEmptyCellsAs="gap" high="1" low="1" negative="1" displayXAxis="1" xr2:uid="{00000000-0003-0000-0100-000067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PoliticalData'!AR22:AV22</xm:f>
              <xm:sqref>AW22</xm:sqref>
            </x14:sparkline>
          </x14:sparklines>
        </x14:sparklineGroup>
        <x14:sparklineGroup displayEmptyCellsAs="gap" xr2:uid="{00000000-0003-0000-0100-000066000000}">
          <x14:colorSeries rgb="FF000000"/>
          <x14:sparklines>
            <x14:sparkline>
              <xm:f>'Copy of PoliticalData'!B22:AB22</xm:f>
              <xm:sqref>AD22</xm:sqref>
            </x14:sparkline>
          </x14:sparklines>
        </x14:sparklineGroup>
        <x14:sparklineGroup type="stacked" displayEmptyCellsAs="gap" high="1" low="1" negative="1" displayXAxis="1" xr2:uid="{00000000-0003-0000-0100-000065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PoliticalData'!AR21:AV21</xm:f>
              <xm:sqref>AW21</xm:sqref>
            </x14:sparkline>
          </x14:sparklines>
        </x14:sparklineGroup>
        <x14:sparklineGroup displayEmptyCellsAs="gap" xr2:uid="{00000000-0003-0000-0100-000064000000}">
          <x14:colorSeries rgb="FF000000"/>
          <x14:sparklines>
            <x14:sparkline>
              <xm:f>'Copy of PoliticalData'!B21:AB21</xm:f>
              <xm:sqref>AD21</xm:sqref>
            </x14:sparkline>
          </x14:sparklines>
        </x14:sparklineGroup>
        <x14:sparklineGroup type="stacked" displayEmptyCellsAs="gap" high="1" low="1" negative="1" displayXAxis="1" xr2:uid="{00000000-0003-0000-0100-000063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PoliticalData'!AR20:AV20</xm:f>
              <xm:sqref>AW20</xm:sqref>
            </x14:sparkline>
          </x14:sparklines>
        </x14:sparklineGroup>
        <x14:sparklineGroup displayEmptyCellsAs="gap" xr2:uid="{00000000-0003-0000-0100-000062000000}">
          <x14:colorSeries rgb="FF000000"/>
          <x14:sparklines>
            <x14:sparkline>
              <xm:f>'Copy of PoliticalData'!B20:AB20</xm:f>
              <xm:sqref>AD20</xm:sqref>
            </x14:sparkline>
          </x14:sparklines>
        </x14:sparklineGroup>
        <x14:sparklineGroup type="stacked" displayEmptyCellsAs="gap" high="1" low="1" negative="1" displayXAxis="1" xr2:uid="{00000000-0003-0000-0100-000061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PoliticalData'!AR19:AV19</xm:f>
              <xm:sqref>AW19</xm:sqref>
            </x14:sparkline>
          </x14:sparklines>
        </x14:sparklineGroup>
        <x14:sparklineGroup displayEmptyCellsAs="gap" xr2:uid="{00000000-0003-0000-0100-000060000000}">
          <x14:colorSeries rgb="FF000000"/>
          <x14:sparklines>
            <x14:sparkline>
              <xm:f>'Copy of PoliticalData'!B19:AB19</xm:f>
              <xm:sqref>AD19</xm:sqref>
            </x14:sparkline>
          </x14:sparklines>
        </x14:sparklineGroup>
        <x14:sparklineGroup type="stacked" displayEmptyCellsAs="gap" high="1" low="1" negative="1" displayXAxis="1" xr2:uid="{00000000-0003-0000-0100-00005F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PoliticalData'!AR18:AV18</xm:f>
              <xm:sqref>AW18</xm:sqref>
            </x14:sparkline>
          </x14:sparklines>
        </x14:sparklineGroup>
        <x14:sparklineGroup displayEmptyCellsAs="gap" xr2:uid="{00000000-0003-0000-0100-00005E000000}">
          <x14:colorSeries rgb="FF000000"/>
          <x14:sparklines>
            <x14:sparkline>
              <xm:f>'Copy of PoliticalData'!B18:AB18</xm:f>
              <xm:sqref>AD18</xm:sqref>
            </x14:sparkline>
          </x14:sparklines>
        </x14:sparklineGroup>
        <x14:sparklineGroup type="stacked" displayEmptyCellsAs="gap" high="1" low="1" negative="1" displayXAxis="1" xr2:uid="{00000000-0003-0000-0100-00005D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PoliticalData'!AR17:AV17</xm:f>
              <xm:sqref>AW17</xm:sqref>
            </x14:sparkline>
          </x14:sparklines>
        </x14:sparklineGroup>
        <x14:sparklineGroup displayEmptyCellsAs="gap" xr2:uid="{00000000-0003-0000-0100-00005C000000}">
          <x14:colorSeries rgb="FF000000"/>
          <x14:sparklines>
            <x14:sparkline>
              <xm:f>'Copy of PoliticalData'!B17:AB17</xm:f>
              <xm:sqref>AD17</xm:sqref>
            </x14:sparkline>
          </x14:sparklines>
        </x14:sparklineGroup>
        <x14:sparklineGroup type="stacked" displayEmptyCellsAs="gap" high="1" low="1" negative="1" displayXAxis="1" xr2:uid="{00000000-0003-0000-0100-00005B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PoliticalData'!AR16:AV16</xm:f>
              <xm:sqref>AW16</xm:sqref>
            </x14:sparkline>
          </x14:sparklines>
        </x14:sparklineGroup>
        <x14:sparklineGroup displayEmptyCellsAs="gap" xr2:uid="{00000000-0003-0000-0100-00005A000000}">
          <x14:colorSeries rgb="FF000000"/>
          <x14:sparklines>
            <x14:sparkline>
              <xm:f>'Copy of PoliticalData'!B16:AB16</xm:f>
              <xm:sqref>AD16</xm:sqref>
            </x14:sparkline>
          </x14:sparklines>
        </x14:sparklineGroup>
        <x14:sparklineGroup type="stacked" displayEmptyCellsAs="gap" high="1" low="1" negative="1" displayXAxis="1" xr2:uid="{00000000-0003-0000-0100-000059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PoliticalData'!AR15:AV15</xm:f>
              <xm:sqref>AW15</xm:sqref>
            </x14:sparkline>
          </x14:sparklines>
        </x14:sparklineGroup>
        <x14:sparklineGroup displayEmptyCellsAs="gap" xr2:uid="{00000000-0003-0000-0100-000058000000}">
          <x14:colorSeries rgb="FF000000"/>
          <x14:sparklines>
            <x14:sparkline>
              <xm:f>'Copy of PoliticalData'!B15:AB15</xm:f>
              <xm:sqref>AD15</xm:sqref>
            </x14:sparkline>
          </x14:sparklines>
        </x14:sparklineGroup>
        <x14:sparklineGroup type="stacked" displayEmptyCellsAs="gap" high="1" low="1" negative="1" displayXAxis="1" xr2:uid="{00000000-0003-0000-0100-000057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PoliticalData'!AR14:AV14</xm:f>
              <xm:sqref>AW14</xm:sqref>
            </x14:sparkline>
          </x14:sparklines>
        </x14:sparklineGroup>
        <x14:sparklineGroup displayEmptyCellsAs="gap" xr2:uid="{00000000-0003-0000-0100-000056000000}">
          <x14:colorSeries rgb="FF000000"/>
          <x14:sparklines>
            <x14:sparkline>
              <xm:f>'Copy of PoliticalData'!B14:AB14</xm:f>
              <xm:sqref>AD14</xm:sqref>
            </x14:sparkline>
          </x14:sparklines>
        </x14:sparklineGroup>
        <x14:sparklineGroup type="stacked" displayEmptyCellsAs="gap" high="1" low="1" negative="1" displayXAxis="1" xr2:uid="{00000000-0003-0000-0100-000055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PoliticalData'!AR13:AV13</xm:f>
              <xm:sqref>AW13</xm:sqref>
            </x14:sparkline>
          </x14:sparklines>
        </x14:sparklineGroup>
        <x14:sparklineGroup displayEmptyCellsAs="gap" xr2:uid="{00000000-0003-0000-0100-000054000000}">
          <x14:colorSeries rgb="FF000000"/>
          <x14:sparklines>
            <x14:sparkline>
              <xm:f>'Copy of PoliticalData'!B13:AB13</xm:f>
              <xm:sqref>AD13</xm:sqref>
            </x14:sparkline>
          </x14:sparklines>
        </x14:sparklineGroup>
        <x14:sparklineGroup type="stacked" displayEmptyCellsAs="gap" high="1" low="1" negative="1" displayXAxis="1" xr2:uid="{00000000-0003-0000-0100-000053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PoliticalData'!AR12:AV12</xm:f>
              <xm:sqref>AW12</xm:sqref>
            </x14:sparkline>
          </x14:sparklines>
        </x14:sparklineGroup>
        <x14:sparklineGroup displayEmptyCellsAs="gap" xr2:uid="{00000000-0003-0000-0100-000052000000}">
          <x14:colorSeries rgb="FF000000"/>
          <x14:sparklines>
            <x14:sparkline>
              <xm:f>'Copy of PoliticalData'!B12:AB12</xm:f>
              <xm:sqref>AD12</xm:sqref>
            </x14:sparkline>
          </x14:sparklines>
        </x14:sparklineGroup>
        <x14:sparklineGroup type="stacked" displayEmptyCellsAs="gap" high="1" low="1" negative="1" displayXAxis="1" xr2:uid="{00000000-0003-0000-0100-000051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PoliticalData'!AR11:AV11</xm:f>
              <xm:sqref>AW11</xm:sqref>
            </x14:sparkline>
          </x14:sparklines>
        </x14:sparklineGroup>
        <x14:sparklineGroup displayEmptyCellsAs="gap" xr2:uid="{00000000-0003-0000-0100-000050000000}">
          <x14:colorSeries rgb="FF000000"/>
          <x14:sparklines>
            <x14:sparkline>
              <xm:f>'Copy of PoliticalData'!B11:AB11</xm:f>
              <xm:sqref>AD11</xm:sqref>
            </x14:sparkline>
          </x14:sparklines>
        </x14:sparklineGroup>
        <x14:sparklineGroup type="stacked" displayEmptyCellsAs="gap" high="1" low="1" negative="1" displayXAxis="1" xr2:uid="{00000000-0003-0000-0100-00004F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PoliticalData'!AR10:AV10</xm:f>
              <xm:sqref>AW10</xm:sqref>
            </x14:sparkline>
          </x14:sparklines>
        </x14:sparklineGroup>
        <x14:sparklineGroup displayEmptyCellsAs="gap" xr2:uid="{00000000-0003-0000-0100-00004E000000}">
          <x14:colorSeries rgb="FF000000"/>
          <x14:sparklines>
            <x14:sparkline>
              <xm:f>'Copy of PoliticalData'!B10:AB10</xm:f>
              <xm:sqref>AD10</xm:sqref>
            </x14:sparkline>
          </x14:sparklines>
        </x14:sparklineGroup>
        <x14:sparklineGroup type="stacked" displayEmptyCellsAs="gap" high="1" low="1" negative="1" displayXAxis="1" xr2:uid="{00000000-0003-0000-0100-00004D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PoliticalData'!AR9:AV9</xm:f>
              <xm:sqref>AW9</xm:sqref>
            </x14:sparkline>
          </x14:sparklines>
        </x14:sparklineGroup>
        <x14:sparklineGroup displayEmptyCellsAs="gap" xr2:uid="{00000000-0003-0000-0100-00004C000000}">
          <x14:colorSeries rgb="FF000000"/>
          <x14:sparklines>
            <x14:sparkline>
              <xm:f>'Copy of PoliticalData'!B9:AB9</xm:f>
              <xm:sqref>AD9</xm:sqref>
            </x14:sparkline>
          </x14:sparklines>
        </x14:sparklineGroup>
        <x14:sparklineGroup type="stacked" displayEmptyCellsAs="gap" high="1" low="1" negative="1" displayXAxis="1" xr2:uid="{00000000-0003-0000-0100-00004B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PoliticalData'!AR8:AV8</xm:f>
              <xm:sqref>AW8</xm:sqref>
            </x14:sparkline>
          </x14:sparklines>
        </x14:sparklineGroup>
        <x14:sparklineGroup displayEmptyCellsAs="gap" xr2:uid="{00000000-0003-0000-0100-00004A000000}">
          <x14:colorSeries rgb="FF000000"/>
          <x14:sparklines>
            <x14:sparkline>
              <xm:f>'Copy of PoliticalData'!B8:AB8</xm:f>
              <xm:sqref>AD8</xm:sqref>
            </x14:sparkline>
          </x14:sparklines>
        </x14:sparklineGroup>
        <x14:sparklineGroup type="stacked" displayEmptyCellsAs="gap" high="1" low="1" negative="1" displayXAxis="1" xr2:uid="{00000000-0003-0000-0100-000049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PoliticalData'!AR7:AV7</xm:f>
              <xm:sqref>AW7</xm:sqref>
            </x14:sparkline>
          </x14:sparklines>
        </x14:sparklineGroup>
        <x14:sparklineGroup displayEmptyCellsAs="gap" xr2:uid="{00000000-0003-0000-0100-000048000000}">
          <x14:colorSeries rgb="FF000000"/>
          <x14:sparklines>
            <x14:sparkline>
              <xm:f>'Copy of PoliticalData'!B7:AB7</xm:f>
              <xm:sqref>AD7</xm:sqref>
            </x14:sparkline>
          </x14:sparklines>
        </x14:sparklineGroup>
        <x14:sparklineGroup type="stacked" displayEmptyCellsAs="gap" high="1" low="1" negative="1" displayXAxis="1" xr2:uid="{00000000-0003-0000-0100-000047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PoliticalData'!AR6:AV6</xm:f>
              <xm:sqref>AW6</xm:sqref>
            </x14:sparkline>
          </x14:sparklines>
        </x14:sparklineGroup>
        <x14:sparklineGroup displayEmptyCellsAs="gap" xr2:uid="{00000000-0003-0000-0100-000046000000}">
          <x14:colorSeries rgb="FF000000"/>
          <x14:sparklines>
            <x14:sparkline>
              <xm:f>'Copy of PoliticalData'!B6:AB6</xm:f>
              <xm:sqref>AD6</xm:sqref>
            </x14:sparkline>
          </x14:sparklines>
        </x14:sparklineGroup>
        <x14:sparklineGroup type="stacked" displayEmptyCellsAs="gap" high="1" low="1" negative="1" displayXAxis="1" xr2:uid="{00000000-0003-0000-0100-000045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PoliticalData'!AR5:AV5</xm:f>
              <xm:sqref>AW5</xm:sqref>
            </x14:sparkline>
          </x14:sparklines>
        </x14:sparklineGroup>
        <x14:sparklineGroup displayEmptyCellsAs="gap" xr2:uid="{00000000-0003-0000-0100-000044000000}">
          <x14:colorSeries rgb="FF000000"/>
          <x14:sparklines>
            <x14:sparkline>
              <xm:f>'Copy of PoliticalData'!B5:AB5</xm:f>
              <xm:sqref>AD5</xm:sqref>
            </x14:sparkline>
          </x14:sparklines>
        </x14:sparklineGroup>
        <x14:sparklineGroup type="stacked" displayEmptyCellsAs="gap" high="1" low="1" negative="1" displayXAxis="1" xr2:uid="{00000000-0003-0000-0100-000043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PoliticalData'!AR4:AV4</xm:f>
              <xm:sqref>AW4</xm:sqref>
            </x14:sparkline>
          </x14:sparklines>
        </x14:sparklineGroup>
        <x14:sparklineGroup displayEmptyCellsAs="gap" xr2:uid="{00000000-0003-0000-0100-000042000000}">
          <x14:colorSeries rgb="FF000000"/>
          <x14:sparklines>
            <x14:sparkline>
              <xm:f>'Copy of PoliticalData'!B4:AB4</xm:f>
              <xm:sqref>AD4</xm:sqref>
            </x14:sparkline>
          </x14:sparklines>
        </x14:sparklineGroup>
        <x14:sparklineGroup type="stacked" displayEmptyCellsAs="gap" high="1" low="1" negative="1" displayXAxis="1" xr2:uid="{00000000-0003-0000-0100-000041000000}">
          <x14:colorSeries rgb="FF800080"/>
          <x14:colorNegative rgb="FFFFA500"/>
          <x14:colorHigh rgb="FFFF0000"/>
          <x14:colorLow rgb="FF0000FF"/>
          <x14:sparklines>
            <x14:sparkline>
              <xm:f>'Copy of PoliticalData'!AR3:AV3</xm:f>
              <xm:sqref>AW3</xm:sqref>
            </x14:sparkline>
          </x14:sparklines>
        </x14:sparklineGroup>
        <x14:sparklineGroup displayEmptyCellsAs="gap" xr2:uid="{00000000-0003-0000-0100-000040000000}">
          <x14:colorSeries rgb="FF000000"/>
          <x14:sparklines>
            <x14:sparkline>
              <xm:f>'Copy of PoliticalData'!B3:AB3</xm:f>
              <xm:sqref>AD3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1"/>
  <sheetViews>
    <sheetView workbookViewId="0">
      <selection activeCell="A20" sqref="A20"/>
    </sheetView>
  </sheetViews>
  <sheetFormatPr defaultColWidth="14.453125" defaultRowHeight="15.75" customHeight="1" x14ac:dyDescent="0.25"/>
  <cols>
    <col min="1" max="1" width="66.54296875" customWidth="1"/>
    <col min="2" max="2" width="19.453125" customWidth="1"/>
  </cols>
  <sheetData>
    <row r="1" spans="1:2" x14ac:dyDescent="0.3">
      <c r="A1" s="53" t="str">
        <f>PoliticalData!AQ3</f>
        <v>isaac.mansell@tcstudents.org</v>
      </c>
      <c r="B1" s="54" t="s">
        <v>8</v>
      </c>
    </row>
    <row r="2" spans="1:2" ht="15.75" customHeight="1" x14ac:dyDescent="0.25">
      <c r="A2" s="53" t="str">
        <f>PoliticalData!AQ4</f>
        <v>noah.shaffir@tcstudents.org</v>
      </c>
    </row>
    <row r="3" spans="1:2" ht="15.75" customHeight="1" x14ac:dyDescent="0.25">
      <c r="A3" s="53" t="str">
        <f>PoliticalData!AQ5</f>
        <v>ori.epstien@tcstudents.org</v>
      </c>
    </row>
    <row r="4" spans="1:2" ht="15.75" customHeight="1" x14ac:dyDescent="0.25">
      <c r="A4" s="53" t="str">
        <f>PoliticalData!AQ6</f>
        <v>tal.davis@tcstudents.org</v>
      </c>
    </row>
    <row r="5" spans="1:2" ht="15.75" customHeight="1" x14ac:dyDescent="0.25">
      <c r="A5" s="53" t="str">
        <f>PoliticalData!AQ7</f>
        <v>maya.mammon@tcstudents.org</v>
      </c>
    </row>
    <row r="6" spans="1:2" ht="15.75" customHeight="1" x14ac:dyDescent="0.25">
      <c r="A6" s="53" t="str">
        <f>PoliticalData!AQ8</f>
        <v>hayley.kupinsky@tcstudents.org</v>
      </c>
    </row>
    <row r="7" spans="1:2" ht="15.75" customHeight="1" x14ac:dyDescent="0.25">
      <c r="A7" s="53" t="str">
        <f>PoliticalData!AQ9</f>
        <v>kyle.goldenberg@tcstudents.org</v>
      </c>
    </row>
    <row r="8" spans="1:2" ht="15.75" customHeight="1" x14ac:dyDescent="0.25">
      <c r="A8" s="53" t="str">
        <f>PoliticalData!AQ10</f>
        <v>dylan.yagod-ramm@tcstudents.org</v>
      </c>
    </row>
    <row r="9" spans="1:2" ht="15.75" customHeight="1" x14ac:dyDescent="0.25">
      <c r="A9" s="53" t="str">
        <f>PoliticalData!AQ11</f>
        <v>eliezer.shegal@tcstudents.org</v>
      </c>
    </row>
    <row r="10" spans="1:2" ht="15.75" customHeight="1" x14ac:dyDescent="0.25">
      <c r="A10" s="53" t="str">
        <f>PoliticalData!AQ12</f>
        <v>jonathan.kagal@tcstudents.org</v>
      </c>
    </row>
    <row r="11" spans="1:2" ht="15.75" customHeight="1" x14ac:dyDescent="0.25">
      <c r="A11" s="53" t="str">
        <f>PoliticalData!AQ13</f>
        <v>greg.schneider@tcstudents.org</v>
      </c>
    </row>
    <row r="12" spans="1:2" ht="15.75" customHeight="1" x14ac:dyDescent="0.25">
      <c r="A12" s="53" t="str">
        <f>PoliticalData!AQ14</f>
        <v>avi.tabibian@tcstudents.org</v>
      </c>
    </row>
    <row r="13" spans="1:2" ht="15.75" customHeight="1" x14ac:dyDescent="0.25">
      <c r="A13" s="53" t="str">
        <f>PoliticalData!AQ15</f>
        <v>eliyahu.freudenstein@tcstudents.org</v>
      </c>
    </row>
    <row r="14" spans="1:2" ht="15.75" customHeight="1" x14ac:dyDescent="0.25">
      <c r="A14" s="53" t="str">
        <f>PoliticalData!AQ16</f>
        <v>daniel.rubinoff@tcstudents.org</v>
      </c>
    </row>
    <row r="15" spans="1:2" ht="15.75" customHeight="1" x14ac:dyDescent="0.25">
      <c r="A15" s="53" t="str">
        <f>PoliticalData!AQ17</f>
        <v>elnatan.kelman@tcstudents.org</v>
      </c>
    </row>
    <row r="16" spans="1:2" ht="15.75" customHeight="1" x14ac:dyDescent="0.25">
      <c r="A16" s="53" t="str">
        <f>PoliticalData!AQ18</f>
        <v>menachem.guttmann@tcstudents.org</v>
      </c>
    </row>
    <row r="17" spans="1:1" ht="15.75" customHeight="1" x14ac:dyDescent="0.25">
      <c r="A17" s="53" t="str">
        <f>PoliticalData!AQ19</f>
        <v>kyle.zaldin@tcstudents.org</v>
      </c>
    </row>
    <row r="18" spans="1:1" ht="15.75" customHeight="1" x14ac:dyDescent="0.25">
      <c r="A18" s="53" t="str">
        <f>PoliticalData!AQ20</f>
        <v>koby.gottlieb@tcstudents.org</v>
      </c>
    </row>
    <row r="19" spans="1:1" ht="15.75" customHeight="1" x14ac:dyDescent="0.25">
      <c r="A19" s="53" t="str">
        <f>PoliticalData!AQ21</f>
        <v>joshua.benbassat@tcstudents.org</v>
      </c>
    </row>
    <row r="20" spans="1:1" ht="15.75" customHeight="1" x14ac:dyDescent="0.25">
      <c r="A20" s="53" t="str">
        <f>PoliticalData!AQ22</f>
        <v>meir.straus@tcstudents.org</v>
      </c>
    </row>
    <row r="21" spans="1:1" ht="12.5" x14ac:dyDescent="0.25">
      <c r="A21" s="53" t="str">
        <f>PoliticalData!AQ23</f>
        <v>ethan.gasee@tcstudents.org</v>
      </c>
    </row>
    <row r="22" spans="1:1" ht="12.5" x14ac:dyDescent="0.25">
      <c r="A22" s="53" t="str">
        <f>PoliticalData!AQ24</f>
        <v>zev.bell@tcstudents.org</v>
      </c>
    </row>
    <row r="23" spans="1:1" ht="12.5" x14ac:dyDescent="0.25">
      <c r="A23" s="53" t="str">
        <f>PoliticalData!AQ25</f>
        <v>isaac.slavens@tcstudents.org</v>
      </c>
    </row>
    <row r="24" spans="1:1" ht="12.5" x14ac:dyDescent="0.25">
      <c r="A24" s="53" t="str">
        <f>PoliticalData!AQ26</f>
        <v>nate.manis@tcstudents.org</v>
      </c>
    </row>
    <row r="25" spans="1:1" ht="12.5" x14ac:dyDescent="0.25">
      <c r="A25" s="53" t="str">
        <f>PoliticalData!AQ27</f>
        <v>zachary.muraven@tcstudents.org</v>
      </c>
    </row>
    <row r="26" spans="1:1" ht="12.5" x14ac:dyDescent="0.25">
      <c r="A26" s="53" t="str">
        <f>PoliticalData!AQ28</f>
        <v>zimri.prutschi@tcstudents.org</v>
      </c>
    </row>
    <row r="27" spans="1:1" ht="12.5" x14ac:dyDescent="0.25">
      <c r="A27" s="53" t="str">
        <f>PoliticalData!AQ29</f>
        <v>lev.pollock@tcstudents.org</v>
      </c>
    </row>
    <row r="28" spans="1:1" ht="12.5" x14ac:dyDescent="0.25">
      <c r="A28" s="53" t="str">
        <f>PoliticalData!AQ30</f>
        <v>lev.pollock@tcstudents.org</v>
      </c>
    </row>
    <row r="29" spans="1:1" ht="12.5" x14ac:dyDescent="0.25">
      <c r="A29" s="53" t="str">
        <f>PoliticalData!AQ31</f>
        <v>jonah.mammon@tcstudents.org</v>
      </c>
    </row>
    <row r="30" spans="1:1" ht="12.5" x14ac:dyDescent="0.25">
      <c r="A30" s="53" t="str">
        <f>PoliticalData!AQ32</f>
        <v>caleb.mansell@tcstudents.org</v>
      </c>
    </row>
    <row r="31" spans="1:1" ht="12.5" x14ac:dyDescent="0.25">
      <c r="A31" s="53" t="str">
        <f>PoliticalData!AQ33</f>
        <v>azaria.kelman@tcstudents.org</v>
      </c>
    </row>
    <row r="32" spans="1:1" ht="12.5" x14ac:dyDescent="0.25">
      <c r="A32" s="53" t="str">
        <f>PoliticalData!AQ34</f>
        <v>noah.goldschmied@tcstudents.org</v>
      </c>
    </row>
    <row r="33" spans="1:1" ht="12.5" x14ac:dyDescent="0.25">
      <c r="A33" s="53">
        <f>PoliticalData!AQ35</f>
        <v>0</v>
      </c>
    </row>
    <row r="34" spans="1:1" ht="12.5" x14ac:dyDescent="0.25">
      <c r="A34" s="53">
        <f>PoliticalData!AQ36</f>
        <v>0</v>
      </c>
    </row>
    <row r="35" spans="1:1" ht="12.5" x14ac:dyDescent="0.25">
      <c r="A35" s="53">
        <f>PoliticalData!AQ37</f>
        <v>0</v>
      </c>
    </row>
    <row r="36" spans="1:1" ht="12.5" x14ac:dyDescent="0.25">
      <c r="A36" s="53">
        <f>PoliticalData!AQ38</f>
        <v>0</v>
      </c>
    </row>
    <row r="37" spans="1:1" ht="12.5" x14ac:dyDescent="0.25">
      <c r="A37" s="53">
        <f>PoliticalData!AQ39</f>
        <v>0</v>
      </c>
    </row>
    <row r="38" spans="1:1" ht="12.5" x14ac:dyDescent="0.25">
      <c r="A38" s="53">
        <f>PoliticalData!AQ40</f>
        <v>0</v>
      </c>
    </row>
    <row r="39" spans="1:1" ht="12.5" x14ac:dyDescent="0.25">
      <c r="A39" s="53">
        <f>PoliticalData!AQ41</f>
        <v>0</v>
      </c>
    </row>
    <row r="40" spans="1:1" ht="12.5" x14ac:dyDescent="0.25">
      <c r="A40" s="53">
        <f>PoliticalData!AQ42</f>
        <v>0</v>
      </c>
    </row>
    <row r="41" spans="1:1" ht="12.5" x14ac:dyDescent="0.25">
      <c r="A41" s="53">
        <f>PoliticalData!AQ43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D49"/>
  <sheetViews>
    <sheetView workbookViewId="0"/>
  </sheetViews>
  <sheetFormatPr defaultColWidth="14.453125" defaultRowHeight="15.75" customHeight="1" x14ac:dyDescent="0.25"/>
  <sheetData>
    <row r="3" spans="1:4" ht="56.25" customHeight="1" x14ac:dyDescent="0.35">
      <c r="A3" s="55">
        <f>PoliticalData!AR3</f>
        <v>5.89</v>
      </c>
      <c r="B3" s="55">
        <f>PoliticalData!AT3</f>
        <v>5.3</v>
      </c>
      <c r="C3" s="55">
        <f>PoliticalData!AV3</f>
        <v>6.42</v>
      </c>
      <c r="D3" s="28"/>
    </row>
    <row r="4" spans="1:4" ht="56.25" customHeight="1" x14ac:dyDescent="0.35">
      <c r="A4" s="55">
        <f>PoliticalData!AR4</f>
        <v>-5.47</v>
      </c>
      <c r="B4" s="55">
        <f>PoliticalData!AT4</f>
        <v>-4.0999999999999996</v>
      </c>
      <c r="C4" s="55">
        <f>PoliticalData!AV4</f>
        <v>-1.88</v>
      </c>
      <c r="D4" s="28"/>
    </row>
    <row r="5" spans="1:4" ht="56.25" customHeight="1" x14ac:dyDescent="0.35">
      <c r="A5" s="55">
        <f>PoliticalData!AR5</f>
        <v>2.74</v>
      </c>
      <c r="B5" s="55">
        <f>PoliticalData!AT5</f>
        <v>4</v>
      </c>
      <c r="C5" s="55">
        <f>PoliticalData!AV5</f>
        <v>2.2000000000000002</v>
      </c>
      <c r="D5" s="28"/>
    </row>
    <row r="6" spans="1:4" ht="56.25" customHeight="1" x14ac:dyDescent="0.35">
      <c r="A6" s="55">
        <f>PoliticalData!AR6</f>
        <v>-1.47</v>
      </c>
      <c r="B6" s="55">
        <f>PoliticalData!AT6</f>
        <v>-0.7</v>
      </c>
      <c r="C6" s="55">
        <f>PoliticalData!AV6</f>
        <v>-0.74</v>
      </c>
      <c r="D6" s="28"/>
    </row>
    <row r="7" spans="1:4" ht="56.25" customHeight="1" x14ac:dyDescent="0.35">
      <c r="A7" s="55">
        <f>PoliticalData!AR7</f>
        <v>-4.53</v>
      </c>
      <c r="B7" s="55">
        <f>PoliticalData!AT7</f>
        <v>-3.1</v>
      </c>
      <c r="C7" s="55">
        <f>PoliticalData!AV7</f>
        <v>-3.05</v>
      </c>
      <c r="D7" s="28"/>
    </row>
    <row r="8" spans="1:4" ht="56.25" customHeight="1" x14ac:dyDescent="0.35">
      <c r="A8" s="55">
        <f>PoliticalData!AR8</f>
        <v>-3.05</v>
      </c>
      <c r="B8" s="55">
        <f>PoliticalData!AT8</f>
        <v>-2.2999999999999998</v>
      </c>
      <c r="C8" s="55">
        <f>PoliticalData!AV8</f>
        <v>-1.79</v>
      </c>
      <c r="D8" s="28"/>
    </row>
    <row r="9" spans="1:4" ht="56.25" customHeight="1" x14ac:dyDescent="0.35">
      <c r="A9" s="55">
        <f>PoliticalData!AR9</f>
        <v>1.58</v>
      </c>
      <c r="B9" s="55">
        <f>PoliticalData!AT9</f>
        <v>1.8</v>
      </c>
      <c r="C9" s="55">
        <f>PoliticalData!AV9</f>
        <v>1.26</v>
      </c>
      <c r="D9" s="28"/>
    </row>
    <row r="10" spans="1:4" ht="56.25" customHeight="1" x14ac:dyDescent="0.35">
      <c r="A10" s="55">
        <f>PoliticalData!AR10</f>
        <v>-2.5299999999999998</v>
      </c>
      <c r="B10" s="55">
        <f>PoliticalData!AT10</f>
        <v>-0.5</v>
      </c>
      <c r="C10" s="55">
        <f>PoliticalData!AV10</f>
        <v>-0.84</v>
      </c>
      <c r="D10" s="28"/>
    </row>
    <row r="11" spans="1:4" ht="56.25" customHeight="1" x14ac:dyDescent="0.35">
      <c r="A11" s="55">
        <f>PoliticalData!AR11</f>
        <v>-3.58</v>
      </c>
      <c r="B11" s="55">
        <f>PoliticalData!AT11</f>
        <v>-3.5</v>
      </c>
      <c r="C11" s="55">
        <f>PoliticalData!AV11</f>
        <v>-2.84</v>
      </c>
      <c r="D11" s="28"/>
    </row>
    <row r="12" spans="1:4" ht="56.25" customHeight="1" x14ac:dyDescent="0.35">
      <c r="A12" s="55">
        <f>PoliticalData!AR12</f>
        <v>1.47</v>
      </c>
      <c r="B12" s="55">
        <f>PoliticalData!AT12</f>
        <v>2.2000000000000002</v>
      </c>
      <c r="C12" s="55">
        <f>PoliticalData!AV12</f>
        <v>1.89</v>
      </c>
      <c r="D12" s="28"/>
    </row>
    <row r="13" spans="1:4" ht="56.25" customHeight="1" x14ac:dyDescent="0.35">
      <c r="A13" s="55">
        <f>PoliticalData!AR13</f>
        <v>-0.44</v>
      </c>
      <c r="B13" s="55">
        <f>PoliticalData!AT13</f>
        <v>1.26</v>
      </c>
      <c r="C13" s="55">
        <f>PoliticalData!AV13</f>
        <v>-0.53</v>
      </c>
      <c r="D13" s="28"/>
    </row>
    <row r="14" spans="1:4" ht="56.25" customHeight="1" x14ac:dyDescent="0.35">
      <c r="A14" s="55">
        <f>PoliticalData!AR14</f>
        <v>-3.16</v>
      </c>
      <c r="B14" s="55">
        <f>PoliticalData!AT14</f>
        <v>-1.39</v>
      </c>
      <c r="C14" s="55">
        <f>PoliticalData!AV14</f>
        <v>-1.1599999999999999</v>
      </c>
      <c r="D14" s="28"/>
    </row>
    <row r="15" spans="1:4" ht="56.25" customHeight="1" x14ac:dyDescent="0.35">
      <c r="A15" s="55">
        <f>PoliticalData!AR15</f>
        <v>4.1100000000000003</v>
      </c>
      <c r="B15" s="55">
        <f>PoliticalData!AT15</f>
        <v>3.3</v>
      </c>
      <c r="C15" s="55">
        <f>PoliticalData!AV15</f>
        <v>4.4000000000000004</v>
      </c>
      <c r="D15" s="28"/>
    </row>
    <row r="16" spans="1:4" ht="56.25" customHeight="1" x14ac:dyDescent="0.35">
      <c r="A16" s="55">
        <f>PoliticalData!AR16</f>
        <v>3.05</v>
      </c>
      <c r="B16" s="55">
        <f>PoliticalData!AT16</f>
        <v>4.0999999999999996</v>
      </c>
      <c r="C16" s="55">
        <f>PoliticalData!AV16</f>
        <v>2.63</v>
      </c>
      <c r="D16" s="28"/>
    </row>
    <row r="17" spans="1:4" ht="56.25" customHeight="1" x14ac:dyDescent="0.35">
      <c r="A17" s="55">
        <f>PoliticalData!AR17</f>
        <v>-4.4400000000000004</v>
      </c>
      <c r="B17" s="55">
        <f>PoliticalData!AT17</f>
        <v>-2.2000000000000002</v>
      </c>
      <c r="C17" s="55">
        <f>PoliticalData!AV17</f>
        <v>-1.67</v>
      </c>
      <c r="D17" s="28"/>
    </row>
    <row r="18" spans="1:4" ht="56.25" customHeight="1" x14ac:dyDescent="0.35">
      <c r="A18" s="55">
        <f>PoliticalData!AR18</f>
        <v>-4.7300000000000004</v>
      </c>
      <c r="B18" s="55">
        <f>PoliticalData!AT18</f>
        <v>-6</v>
      </c>
      <c r="C18" s="55">
        <f>PoliticalData!AV18</f>
        <v>-6.84</v>
      </c>
      <c r="D18" s="28"/>
    </row>
    <row r="19" spans="1:4" ht="56.25" customHeight="1" x14ac:dyDescent="0.35">
      <c r="A19" s="55">
        <f>PoliticalData!AR19</f>
        <v>3.89</v>
      </c>
      <c r="B19" s="55">
        <f>PoliticalData!AT19</f>
        <v>3.7</v>
      </c>
      <c r="C19" s="55">
        <f>PoliticalData!AV19</f>
        <v>4.42</v>
      </c>
      <c r="D19" s="28"/>
    </row>
    <row r="20" spans="1:4" ht="56.25" customHeight="1" x14ac:dyDescent="0.35">
      <c r="A20" s="55">
        <f>PoliticalData!AR20</f>
        <v>5.44</v>
      </c>
      <c r="B20" s="55">
        <f>PoliticalData!AT20</f>
        <v>3.26</v>
      </c>
      <c r="C20" s="55">
        <f>PoliticalData!AV20</f>
        <v>6.11</v>
      </c>
      <c r="D20" s="28"/>
    </row>
    <row r="21" spans="1:4" ht="56.25" customHeight="1" x14ac:dyDescent="0.35">
      <c r="A21" s="55">
        <f>PoliticalData!AR21</f>
        <v>1.89</v>
      </c>
      <c r="B21" s="55">
        <f>PoliticalData!AT21</f>
        <v>4.7</v>
      </c>
      <c r="C21" s="55">
        <f>PoliticalData!AV21</f>
        <v>2.21</v>
      </c>
      <c r="D21" s="28"/>
    </row>
    <row r="22" spans="1:4" ht="56.25" customHeight="1" x14ac:dyDescent="0.35">
      <c r="A22" s="55">
        <f>PoliticalData!AR22</f>
        <v>10</v>
      </c>
      <c r="B22" s="55">
        <f>PoliticalData!AT22</f>
        <v>9</v>
      </c>
      <c r="C22" s="55">
        <f>PoliticalData!AV22</f>
        <v>10</v>
      </c>
      <c r="D22" s="28"/>
    </row>
    <row r="23" spans="1:4" ht="56.25" customHeight="1" x14ac:dyDescent="0.35">
      <c r="A23" s="55">
        <f>PoliticalData!AR23</f>
        <v>6.32</v>
      </c>
      <c r="B23" s="55">
        <f>PoliticalData!AT23</f>
        <v>6.6</v>
      </c>
      <c r="C23" s="55">
        <f>PoliticalData!AV23</f>
        <v>5.58</v>
      </c>
      <c r="D23" s="28"/>
    </row>
    <row r="24" spans="1:4" ht="56.25" customHeight="1" x14ac:dyDescent="0.35">
      <c r="A24" s="55">
        <f>PoliticalData!AR24</f>
        <v>4</v>
      </c>
      <c r="B24" s="55">
        <f>PoliticalData!AT24</f>
        <v>4.3</v>
      </c>
      <c r="C24" s="55">
        <f>PoliticalData!AV24</f>
        <v>5.05</v>
      </c>
      <c r="D24" s="28"/>
    </row>
    <row r="25" spans="1:4" ht="56.25" customHeight="1" x14ac:dyDescent="0.35">
      <c r="A25" s="55">
        <f>PoliticalData!AR25</f>
        <v>4.01</v>
      </c>
      <c r="B25" s="55">
        <f>PoliticalData!AT25</f>
        <v>5.9</v>
      </c>
      <c r="C25" s="55">
        <f>PoliticalData!AV25</f>
        <v>4.84</v>
      </c>
      <c r="D25" s="28"/>
    </row>
    <row r="26" spans="1:4" ht="56.25" customHeight="1" x14ac:dyDescent="0.35">
      <c r="A26" s="55">
        <f>PoliticalData!AR26</f>
        <v>-4.72</v>
      </c>
      <c r="B26" s="55">
        <f>PoliticalData!AT26</f>
        <v>-3.2</v>
      </c>
      <c r="C26" s="55">
        <f>PoliticalData!AV26</f>
        <v>-3.79</v>
      </c>
      <c r="D26" s="28"/>
    </row>
    <row r="27" spans="1:4" ht="56.25" customHeight="1" x14ac:dyDescent="0.35">
      <c r="A27" s="55">
        <f>PoliticalData!AR27</f>
        <v>3.13</v>
      </c>
      <c r="B27" s="55">
        <f>PoliticalData!AT27</f>
        <v>3.99</v>
      </c>
      <c r="C27" s="55">
        <f>PoliticalData!AV27</f>
        <v>3.76</v>
      </c>
      <c r="D27" s="28"/>
    </row>
    <row r="28" spans="1:4" ht="56.25" customHeight="1" x14ac:dyDescent="0.35">
      <c r="A28" s="55">
        <f>PoliticalData!AR28</f>
        <v>-4.51</v>
      </c>
      <c r="B28" s="55">
        <f>PoliticalData!AT28</f>
        <v>-3.9</v>
      </c>
      <c r="C28" s="55">
        <f>PoliticalData!AV28</f>
        <v>-3.04</v>
      </c>
      <c r="D28" s="28"/>
    </row>
    <row r="29" spans="1:4" ht="56.25" customHeight="1" x14ac:dyDescent="0.35">
      <c r="A29" s="55">
        <f>PoliticalData!AR29</f>
        <v>5.26</v>
      </c>
      <c r="B29" s="55">
        <f>PoliticalData!AT29</f>
        <v>4.8</v>
      </c>
      <c r="C29" s="55">
        <f>PoliticalData!AV29</f>
        <v>5.47</v>
      </c>
      <c r="D29" s="28"/>
    </row>
    <row r="30" spans="1:4" ht="56.25" customHeight="1" x14ac:dyDescent="0.35">
      <c r="A30" s="55">
        <f>PoliticalData!AR30</f>
        <v>5.25</v>
      </c>
      <c r="B30" s="55">
        <f>PoliticalData!AT30</f>
        <v>4.79</v>
      </c>
      <c r="C30" s="55">
        <f>PoliticalData!AV30</f>
        <v>5.46</v>
      </c>
      <c r="D30" s="28"/>
    </row>
    <row r="31" spans="1:4" ht="56.25" customHeight="1" x14ac:dyDescent="0.35">
      <c r="A31" s="55">
        <f>PoliticalData!AR31</f>
        <v>-0.21</v>
      </c>
      <c r="B31" s="55">
        <f>PoliticalData!AT31</f>
        <v>1.4</v>
      </c>
      <c r="C31" s="55">
        <f>PoliticalData!AV31</f>
        <v>0.21</v>
      </c>
      <c r="D31" s="28"/>
    </row>
    <row r="32" spans="1:4" ht="56.25" customHeight="1" x14ac:dyDescent="0.35">
      <c r="A32" s="55">
        <f>PoliticalData!AR32</f>
        <v>3.68</v>
      </c>
      <c r="B32" s="55">
        <f>PoliticalData!AT32</f>
        <v>4.5</v>
      </c>
      <c r="C32" s="55">
        <f>PoliticalData!AV32</f>
        <v>4</v>
      </c>
      <c r="D32" s="28"/>
    </row>
    <row r="33" spans="1:3" ht="56.25" customHeight="1" x14ac:dyDescent="0.25">
      <c r="A33" s="53">
        <f>PoliticalData!AR35</f>
        <v>0</v>
      </c>
      <c r="B33" s="53">
        <f>PoliticalData!AT35</f>
        <v>0</v>
      </c>
      <c r="C33" s="53">
        <f>PoliticalData!AV35</f>
        <v>0</v>
      </c>
    </row>
    <row r="34" spans="1:3" ht="56.25" customHeight="1" x14ac:dyDescent="0.25">
      <c r="A34" s="53">
        <f>PoliticalData!AR36</f>
        <v>0</v>
      </c>
      <c r="B34" s="53">
        <f>PoliticalData!AT36</f>
        <v>0</v>
      </c>
      <c r="C34" s="53">
        <f>PoliticalData!AV36</f>
        <v>0</v>
      </c>
    </row>
    <row r="35" spans="1:3" ht="56.25" customHeight="1" x14ac:dyDescent="0.25">
      <c r="A35" s="53">
        <f>PoliticalData!AR37</f>
        <v>0</v>
      </c>
      <c r="B35" s="53">
        <f>PoliticalData!AT37</f>
        <v>0</v>
      </c>
      <c r="C35" s="53">
        <f>PoliticalData!AV37</f>
        <v>0</v>
      </c>
    </row>
    <row r="36" spans="1:3" ht="56.25" customHeight="1" x14ac:dyDescent="0.25">
      <c r="A36" s="53">
        <f>PoliticalData!AR38</f>
        <v>0</v>
      </c>
      <c r="B36" s="53">
        <f>PoliticalData!AT38</f>
        <v>0</v>
      </c>
      <c r="C36" s="53">
        <f>PoliticalData!AV38</f>
        <v>0</v>
      </c>
    </row>
    <row r="37" spans="1:3" ht="56.25" customHeight="1" x14ac:dyDescent="0.25">
      <c r="A37" s="53">
        <f>PoliticalData!AR39</f>
        <v>0</v>
      </c>
      <c r="B37" s="53">
        <f>PoliticalData!AT39</f>
        <v>0</v>
      </c>
      <c r="C37" s="53">
        <f>PoliticalData!AV39</f>
        <v>0</v>
      </c>
    </row>
    <row r="38" spans="1:3" ht="56.25" customHeight="1" x14ac:dyDescent="0.25">
      <c r="A38" s="53">
        <f>PoliticalData!AR40</f>
        <v>0</v>
      </c>
      <c r="B38" s="53">
        <f>PoliticalData!AT40</f>
        <v>0</v>
      </c>
      <c r="C38" s="53">
        <f>PoliticalData!AV40</f>
        <v>0</v>
      </c>
    </row>
    <row r="39" spans="1:3" ht="56.25" customHeight="1" x14ac:dyDescent="0.25">
      <c r="A39" s="53">
        <f>PoliticalData!AR41</f>
        <v>0</v>
      </c>
      <c r="B39" s="53">
        <f>PoliticalData!AT41</f>
        <v>0</v>
      </c>
      <c r="C39" s="53">
        <f>PoliticalData!AV41</f>
        <v>0</v>
      </c>
    </row>
    <row r="40" spans="1:3" ht="56.25" customHeight="1" x14ac:dyDescent="0.25">
      <c r="A40" s="53">
        <f>PoliticalData!AR42</f>
        <v>0</v>
      </c>
      <c r="B40" s="53">
        <f>PoliticalData!AT42</f>
        <v>0</v>
      </c>
      <c r="C40" s="53">
        <f>PoliticalData!AV42</f>
        <v>0</v>
      </c>
    </row>
    <row r="41" spans="1:3" ht="56.25" customHeight="1" x14ac:dyDescent="0.25">
      <c r="A41" s="53">
        <f>PoliticalData!AR43</f>
        <v>0</v>
      </c>
      <c r="B41" s="53">
        <f>PoliticalData!AT43</f>
        <v>0</v>
      </c>
      <c r="C41" s="53">
        <f>PoliticalData!AV43</f>
        <v>0</v>
      </c>
    </row>
    <row r="42" spans="1:3" ht="56.25" customHeight="1" x14ac:dyDescent="0.25">
      <c r="A42" s="53">
        <f>PoliticalData!AR44</f>
        <v>0</v>
      </c>
      <c r="B42" s="53">
        <f>PoliticalData!AT44</f>
        <v>0</v>
      </c>
      <c r="C42" s="53">
        <f>PoliticalData!AV44</f>
        <v>0</v>
      </c>
    </row>
    <row r="43" spans="1:3" ht="56.25" customHeight="1" x14ac:dyDescent="0.25">
      <c r="A43" s="53">
        <f>PoliticalData!AR45</f>
        <v>0</v>
      </c>
      <c r="B43" s="53">
        <f>PoliticalData!AT45</f>
        <v>0</v>
      </c>
      <c r="C43" s="53">
        <f>PoliticalData!AV45</f>
        <v>0</v>
      </c>
    </row>
    <row r="44" spans="1:3" ht="56.25" customHeight="1" x14ac:dyDescent="0.25">
      <c r="A44" s="53">
        <f>PoliticalData!AR46</f>
        <v>0</v>
      </c>
      <c r="B44" s="53">
        <f>PoliticalData!AT46</f>
        <v>0</v>
      </c>
      <c r="C44" s="53">
        <f>PoliticalData!AV46</f>
        <v>0</v>
      </c>
    </row>
    <row r="45" spans="1:3" ht="56.25" customHeight="1" x14ac:dyDescent="0.25">
      <c r="A45" s="53">
        <f>PoliticalData!AR47</f>
        <v>0</v>
      </c>
      <c r="B45" s="53">
        <f>PoliticalData!AT47</f>
        <v>0</v>
      </c>
      <c r="C45" s="53">
        <f>PoliticalData!AV47</f>
        <v>0</v>
      </c>
    </row>
    <row r="46" spans="1:3" ht="56.25" customHeight="1" x14ac:dyDescent="0.25">
      <c r="A46" s="53">
        <f>PoliticalData!AR48</f>
        <v>0</v>
      </c>
      <c r="B46" s="53">
        <f>PoliticalData!AT48</f>
        <v>0</v>
      </c>
      <c r="C46" s="53">
        <f>PoliticalData!AV48</f>
        <v>0</v>
      </c>
    </row>
    <row r="47" spans="1:3" ht="56.25" customHeight="1" x14ac:dyDescent="0.25">
      <c r="A47" s="53">
        <f>PoliticalData!AR49</f>
        <v>0</v>
      </c>
      <c r="B47" s="53">
        <f>PoliticalData!AT49</f>
        <v>0</v>
      </c>
      <c r="C47" s="53">
        <f>PoliticalData!AV49</f>
        <v>0</v>
      </c>
    </row>
    <row r="48" spans="1:3" ht="56.25" customHeight="1" x14ac:dyDescent="0.25">
      <c r="A48" s="53">
        <f>PoliticalData!AR50</f>
        <v>0</v>
      </c>
      <c r="B48" s="53">
        <f>PoliticalData!AT50</f>
        <v>0</v>
      </c>
      <c r="C48" s="53">
        <f>PoliticalData!AV50</f>
        <v>0</v>
      </c>
    </row>
    <row r="49" spans="1:3" ht="56.25" customHeight="1" x14ac:dyDescent="0.25">
      <c r="A49" s="53">
        <f>PoliticalData!AR51</f>
        <v>0</v>
      </c>
      <c r="B49" s="53">
        <f>PoliticalData!AT51</f>
        <v>0</v>
      </c>
      <c r="C49" s="53">
        <f>PoliticalData!AV51</f>
        <v>0</v>
      </c>
    </row>
  </sheetData>
  <conditionalFormatting sqref="D3:D32">
    <cfRule type="cellIs" dxfId="3" priority="1" operator="greaterThan">
      <formula>0</formula>
    </cfRule>
  </conditionalFormatting>
  <conditionalFormatting sqref="D3:D32">
    <cfRule type="cellIs" dxfId="2" priority="2" operator="lessThanOrEqual">
      <formula>0</formula>
    </cfRule>
  </conditionalFormatting>
  <conditionalFormatting sqref="A1:C49">
    <cfRule type="cellIs" dxfId="1" priority="3" operator="greaterThan">
      <formula>0</formula>
    </cfRule>
  </conditionalFormatting>
  <conditionalFormatting sqref="A1:C49">
    <cfRule type="cellIs" dxfId="0" priority="4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displayXAxis="1" xr2:uid="{00000000-0003-0000-0300-00009D000000}">
          <x14:colorSeries rgb="FF800080"/>
          <x14:colorNegative rgb="FFFFA500"/>
          <x14:sparklines>
            <x14:sparkline>
              <xm:f>Sheet2!A32:C32</xm:f>
              <xm:sqref>D32</xm:sqref>
            </x14:sparkline>
          </x14:sparklines>
        </x14:sparklineGroup>
        <x14:sparklineGroup type="column" displayEmptyCellsAs="gap" negative="1" displayXAxis="1" xr2:uid="{00000000-0003-0000-0300-00009C000000}">
          <x14:colorSeries rgb="FF800080"/>
          <x14:colorNegative rgb="FFFFA500"/>
          <x14:sparklines>
            <x14:sparkline>
              <xm:f>Sheet2!A31:C31</xm:f>
              <xm:sqref>D31</xm:sqref>
            </x14:sparkline>
          </x14:sparklines>
        </x14:sparklineGroup>
        <x14:sparklineGroup type="column" displayEmptyCellsAs="gap" negative="1" displayXAxis="1" xr2:uid="{00000000-0003-0000-0300-00009B000000}">
          <x14:colorSeries rgb="FF800080"/>
          <x14:colorNegative rgb="FFFFA500"/>
          <x14:sparklines>
            <x14:sparkline>
              <xm:f>Sheet2!A30:C30</xm:f>
              <xm:sqref>D30</xm:sqref>
            </x14:sparkline>
          </x14:sparklines>
        </x14:sparklineGroup>
        <x14:sparklineGroup type="column" displayEmptyCellsAs="gap" negative="1" displayXAxis="1" xr2:uid="{00000000-0003-0000-0300-00009A000000}">
          <x14:colorSeries rgb="FF800080"/>
          <x14:colorNegative rgb="FFFFA500"/>
          <x14:sparklines>
            <x14:sparkline>
              <xm:f>Sheet2!A29:C29</xm:f>
              <xm:sqref>D29</xm:sqref>
            </x14:sparkline>
          </x14:sparklines>
        </x14:sparklineGroup>
        <x14:sparklineGroup type="column" displayEmptyCellsAs="gap" negative="1" displayXAxis="1" xr2:uid="{00000000-0003-0000-0300-000099000000}">
          <x14:colorSeries rgb="FF800080"/>
          <x14:colorNegative rgb="FFFFA500"/>
          <x14:sparklines>
            <x14:sparkline>
              <xm:f>Sheet2!A28:C28</xm:f>
              <xm:sqref>D28</xm:sqref>
            </x14:sparkline>
          </x14:sparklines>
        </x14:sparklineGroup>
        <x14:sparklineGroup type="column" displayEmptyCellsAs="gap" negative="1" displayXAxis="1" xr2:uid="{00000000-0003-0000-0300-000098000000}">
          <x14:colorSeries rgb="FF800080"/>
          <x14:colorNegative rgb="FFFFA500"/>
          <x14:sparklines>
            <x14:sparkline>
              <xm:f>Sheet2!A27:C27</xm:f>
              <xm:sqref>D27</xm:sqref>
            </x14:sparkline>
          </x14:sparklines>
        </x14:sparklineGroup>
        <x14:sparklineGroup type="column" displayEmptyCellsAs="gap" negative="1" displayXAxis="1" xr2:uid="{00000000-0003-0000-0300-000097000000}">
          <x14:colorSeries rgb="FF800080"/>
          <x14:colorNegative rgb="FFFFA500"/>
          <x14:sparklines>
            <x14:sparkline>
              <xm:f>Sheet2!A26:C26</xm:f>
              <xm:sqref>D26</xm:sqref>
            </x14:sparkline>
          </x14:sparklines>
        </x14:sparklineGroup>
        <x14:sparklineGroup type="column" displayEmptyCellsAs="gap" negative="1" displayXAxis="1" xr2:uid="{00000000-0003-0000-0300-000096000000}">
          <x14:colorSeries rgb="FF800080"/>
          <x14:colorNegative rgb="FFFFA500"/>
          <x14:sparklines>
            <x14:sparkline>
              <xm:f>Sheet2!A25:C25</xm:f>
              <xm:sqref>D25</xm:sqref>
            </x14:sparkline>
          </x14:sparklines>
        </x14:sparklineGroup>
        <x14:sparklineGroup type="column" displayEmptyCellsAs="gap" negative="1" displayXAxis="1" xr2:uid="{00000000-0003-0000-0300-000095000000}">
          <x14:colorSeries rgb="FF800080"/>
          <x14:colorNegative rgb="FFFFA500"/>
          <x14:sparklines>
            <x14:sparkline>
              <xm:f>Sheet2!A24:C24</xm:f>
              <xm:sqref>D24</xm:sqref>
            </x14:sparkline>
          </x14:sparklines>
        </x14:sparklineGroup>
        <x14:sparklineGroup type="column" displayEmptyCellsAs="gap" negative="1" displayXAxis="1" xr2:uid="{00000000-0003-0000-0300-000094000000}">
          <x14:colorSeries rgb="FF800080"/>
          <x14:colorNegative rgb="FFFFA500"/>
          <x14:sparklines>
            <x14:sparkline>
              <xm:f>Sheet2!A23:C23</xm:f>
              <xm:sqref>D23</xm:sqref>
            </x14:sparkline>
          </x14:sparklines>
        </x14:sparklineGroup>
        <x14:sparklineGroup type="column" displayEmptyCellsAs="gap" negative="1" displayXAxis="1" xr2:uid="{00000000-0003-0000-0300-000093000000}">
          <x14:colorSeries rgb="FF800080"/>
          <x14:colorNegative rgb="FFFFA500"/>
          <x14:sparklines>
            <x14:sparkline>
              <xm:f>Sheet2!A22:C22</xm:f>
              <xm:sqref>D22</xm:sqref>
            </x14:sparkline>
          </x14:sparklines>
        </x14:sparklineGroup>
        <x14:sparklineGroup type="column" displayEmptyCellsAs="gap" negative="1" displayXAxis="1" xr2:uid="{00000000-0003-0000-0300-000092000000}">
          <x14:colorSeries rgb="FF800080"/>
          <x14:colorNegative rgb="FFFFA500"/>
          <x14:sparklines>
            <x14:sparkline>
              <xm:f>Sheet2!A21:C21</xm:f>
              <xm:sqref>D21</xm:sqref>
            </x14:sparkline>
          </x14:sparklines>
        </x14:sparklineGroup>
        <x14:sparklineGroup type="column" displayEmptyCellsAs="gap" negative="1" displayXAxis="1" xr2:uid="{00000000-0003-0000-0300-000091000000}">
          <x14:colorSeries rgb="FF800080"/>
          <x14:colorNegative rgb="FFFFA500"/>
          <x14:sparklines>
            <x14:sparkline>
              <xm:f>Sheet2!A20:C20</xm:f>
              <xm:sqref>D20</xm:sqref>
            </x14:sparkline>
          </x14:sparklines>
        </x14:sparklineGroup>
        <x14:sparklineGroup type="column" displayEmptyCellsAs="gap" negative="1" displayXAxis="1" xr2:uid="{00000000-0003-0000-0300-000090000000}">
          <x14:colorSeries rgb="FF800080"/>
          <x14:colorNegative rgb="FFFFA500"/>
          <x14:sparklines>
            <x14:sparkline>
              <xm:f>Sheet2!A19:C19</xm:f>
              <xm:sqref>D19</xm:sqref>
            </x14:sparkline>
          </x14:sparklines>
        </x14:sparklineGroup>
        <x14:sparklineGroup type="column" displayEmptyCellsAs="gap" negative="1" displayXAxis="1" xr2:uid="{00000000-0003-0000-0300-00008F000000}">
          <x14:colorSeries rgb="FF800080"/>
          <x14:colorNegative rgb="FFFFA500"/>
          <x14:sparklines>
            <x14:sparkline>
              <xm:f>Sheet2!A18:C18</xm:f>
              <xm:sqref>D18</xm:sqref>
            </x14:sparkline>
          </x14:sparklines>
        </x14:sparklineGroup>
        <x14:sparklineGroup type="column" displayEmptyCellsAs="gap" negative="1" displayXAxis="1" xr2:uid="{00000000-0003-0000-0300-00008E000000}">
          <x14:colorSeries rgb="FF800080"/>
          <x14:colorNegative rgb="FFFFA500"/>
          <x14:sparklines>
            <x14:sparkline>
              <xm:f>Sheet2!A17:C17</xm:f>
              <xm:sqref>D17</xm:sqref>
            </x14:sparkline>
          </x14:sparklines>
        </x14:sparklineGroup>
        <x14:sparklineGroup type="column" displayEmptyCellsAs="gap" negative="1" displayXAxis="1" xr2:uid="{00000000-0003-0000-0300-00008D000000}">
          <x14:colorSeries rgb="FF800080"/>
          <x14:colorNegative rgb="FFFFA500"/>
          <x14:sparklines>
            <x14:sparkline>
              <xm:f>Sheet2!A16:C16</xm:f>
              <xm:sqref>D16</xm:sqref>
            </x14:sparkline>
          </x14:sparklines>
        </x14:sparklineGroup>
        <x14:sparklineGroup type="column" displayEmptyCellsAs="gap" negative="1" displayXAxis="1" xr2:uid="{00000000-0003-0000-0300-00008C000000}">
          <x14:colorSeries rgb="FF800080"/>
          <x14:colorNegative rgb="FFFFA500"/>
          <x14:sparklines>
            <x14:sparkline>
              <xm:f>Sheet2!A15:C15</xm:f>
              <xm:sqref>D15</xm:sqref>
            </x14:sparkline>
          </x14:sparklines>
        </x14:sparklineGroup>
        <x14:sparklineGroup type="column" displayEmptyCellsAs="gap" negative="1" displayXAxis="1" xr2:uid="{00000000-0003-0000-0300-00008B000000}">
          <x14:colorSeries rgb="FF800080"/>
          <x14:colorNegative rgb="FFFFA500"/>
          <x14:sparklines>
            <x14:sparkline>
              <xm:f>Sheet2!A14:C14</xm:f>
              <xm:sqref>D14</xm:sqref>
            </x14:sparkline>
          </x14:sparklines>
        </x14:sparklineGroup>
        <x14:sparklineGroup type="column" displayEmptyCellsAs="gap" negative="1" displayXAxis="1" xr2:uid="{00000000-0003-0000-0300-00008A000000}">
          <x14:colorSeries rgb="FF800080"/>
          <x14:colorNegative rgb="FFFFA500"/>
          <x14:sparklines>
            <x14:sparkline>
              <xm:f>Sheet2!A13:C13</xm:f>
              <xm:sqref>D13</xm:sqref>
            </x14:sparkline>
          </x14:sparklines>
        </x14:sparklineGroup>
        <x14:sparklineGroup type="column" displayEmptyCellsAs="gap" negative="1" displayXAxis="1" xr2:uid="{00000000-0003-0000-0300-000089000000}">
          <x14:colorSeries rgb="FF800080"/>
          <x14:colorNegative rgb="FFFFA500"/>
          <x14:sparklines>
            <x14:sparkline>
              <xm:f>Sheet2!A12:C12</xm:f>
              <xm:sqref>D12</xm:sqref>
            </x14:sparkline>
          </x14:sparklines>
        </x14:sparklineGroup>
        <x14:sparklineGroup type="column" displayEmptyCellsAs="gap" negative="1" displayXAxis="1" xr2:uid="{00000000-0003-0000-0300-000088000000}">
          <x14:colorSeries rgb="FF800080"/>
          <x14:colorNegative rgb="FFFFA500"/>
          <x14:sparklines>
            <x14:sparkline>
              <xm:f>Sheet2!A11:C11</xm:f>
              <xm:sqref>D11</xm:sqref>
            </x14:sparkline>
          </x14:sparklines>
        </x14:sparklineGroup>
        <x14:sparklineGroup type="column" displayEmptyCellsAs="gap" negative="1" displayXAxis="1" xr2:uid="{00000000-0003-0000-0300-000087000000}">
          <x14:colorSeries rgb="FF800080"/>
          <x14:colorNegative rgb="FFFFA500"/>
          <x14:sparklines>
            <x14:sparkline>
              <xm:f>Sheet2!A10:C10</xm:f>
              <xm:sqref>D10</xm:sqref>
            </x14:sparkline>
          </x14:sparklines>
        </x14:sparklineGroup>
        <x14:sparklineGroup type="column" displayEmptyCellsAs="gap" negative="1" displayXAxis="1" xr2:uid="{00000000-0003-0000-0300-000086000000}">
          <x14:colorSeries rgb="FF800080"/>
          <x14:colorNegative rgb="FFFFA500"/>
          <x14:sparklines>
            <x14:sparkline>
              <xm:f>Sheet2!A9:C9</xm:f>
              <xm:sqref>D9</xm:sqref>
            </x14:sparkline>
          </x14:sparklines>
        </x14:sparklineGroup>
        <x14:sparklineGroup type="column" displayEmptyCellsAs="gap" negative="1" displayXAxis="1" xr2:uid="{00000000-0003-0000-0300-000085000000}">
          <x14:colorSeries rgb="FF800080"/>
          <x14:colorNegative rgb="FFFFA500"/>
          <x14:sparklines>
            <x14:sparkline>
              <xm:f>Sheet2!A8:C8</xm:f>
              <xm:sqref>D8</xm:sqref>
            </x14:sparkline>
          </x14:sparklines>
        </x14:sparklineGroup>
        <x14:sparklineGroup type="column" displayEmptyCellsAs="gap" negative="1" displayXAxis="1" xr2:uid="{00000000-0003-0000-0300-000084000000}">
          <x14:colorSeries rgb="FF800080"/>
          <x14:colorNegative rgb="FFFFA500"/>
          <x14:sparklines>
            <x14:sparkline>
              <xm:f>Sheet2!A7:C7</xm:f>
              <xm:sqref>D7</xm:sqref>
            </x14:sparkline>
          </x14:sparklines>
        </x14:sparklineGroup>
        <x14:sparklineGroup type="column" displayEmptyCellsAs="gap" negative="1" displayXAxis="1" xr2:uid="{00000000-0003-0000-0300-000083000000}">
          <x14:colorSeries rgb="FF800080"/>
          <x14:colorNegative rgb="FFFFA500"/>
          <x14:sparklines>
            <x14:sparkline>
              <xm:f>Sheet2!A6:C6</xm:f>
              <xm:sqref>D6</xm:sqref>
            </x14:sparkline>
          </x14:sparklines>
        </x14:sparklineGroup>
        <x14:sparklineGroup type="column" displayEmptyCellsAs="gap" negative="1" displayXAxis="1" xr2:uid="{00000000-0003-0000-0300-000082000000}">
          <x14:colorSeries rgb="FF800080"/>
          <x14:colorNegative rgb="FFFFA500"/>
          <x14:sparklines>
            <x14:sparkline>
              <xm:f>Sheet2!A5:C5</xm:f>
              <xm:sqref>D5</xm:sqref>
            </x14:sparkline>
          </x14:sparklines>
        </x14:sparklineGroup>
        <x14:sparklineGroup type="column" displayEmptyCellsAs="gap" negative="1" displayXAxis="1" xr2:uid="{00000000-0003-0000-0300-000081000000}">
          <x14:colorSeries rgb="FF800080"/>
          <x14:colorNegative rgb="FFFFA500"/>
          <x14:sparklines>
            <x14:sparkline>
              <xm:f>Sheet2!A4:C4</xm:f>
              <xm:sqref>D4</xm:sqref>
            </x14:sparkline>
          </x14:sparklines>
        </x14:sparklineGroup>
        <x14:sparklineGroup type="column" displayEmptyCellsAs="gap" negative="1" displayXAxis="1" xr2:uid="{00000000-0003-0000-0300-000080000000}">
          <x14:colorSeries rgb="FF800080"/>
          <x14:colorNegative rgb="FFFFA500"/>
          <x14:sparklines>
            <x14:sparkline>
              <xm:f>Sheet2!A3:C3</xm:f>
              <xm:sqref>D3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PoliticalData</vt:lpstr>
      <vt:lpstr>Copy of PoliticalData</vt:lpstr>
      <vt:lpstr>EmailList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shaffir</cp:lastModifiedBy>
  <dcterms:modified xsi:type="dcterms:W3CDTF">2022-02-12T22:15:01Z</dcterms:modified>
</cp:coreProperties>
</file>