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/>
  <mc:AlternateContent xmlns:mc="http://schemas.openxmlformats.org/markup-compatibility/2006">
    <mc:Choice Requires="x15">
      <x15ac:absPath xmlns:x15ac="http://schemas.microsoft.com/office/spreadsheetml/2010/11/ac" url="/Users/noahtouchton/Library/Mobile Documents/com~apple~CloudDocs/#1 School/Fall 2025/Aero Sciences Lab/Lab 2/Python/"/>
    </mc:Choice>
  </mc:AlternateContent>
  <xr:revisionPtr revIDLastSave="0" documentId="8_{690715C2-D017-8F4E-A93A-5A1E846A5653}" xr6:coauthVersionLast="47" xr6:coauthVersionMax="47" xr10:uidLastSave="{00000000-0000-0000-0000-000000000000}"/>
  <bookViews>
    <workbookView xWindow="5880" yWindow="3640" windowWidth="242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8" i="1" l="1" a="1"/>
  <c r="I78" i="1" s="1"/>
  <c r="I79" i="1" a="1"/>
  <c r="I79" i="1"/>
  <c r="I80" i="1" a="1"/>
  <c r="I80" i="1"/>
  <c r="I81" i="1" a="1"/>
  <c r="I81" i="1"/>
  <c r="I82" i="1" a="1"/>
  <c r="I82" i="1" s="1"/>
  <c r="I83" i="1" a="1"/>
  <c r="I83" i="1"/>
  <c r="I84" i="1" a="1"/>
  <c r="I84" i="1"/>
  <c r="I85" i="1" a="1"/>
  <c r="I85" i="1"/>
  <c r="I86" i="1" a="1"/>
  <c r="I86" i="1" s="1"/>
  <c r="I87" i="1" a="1"/>
  <c r="I87" i="1"/>
  <c r="I88" i="1" a="1"/>
  <c r="I88" i="1"/>
  <c r="I89" i="1" a="1"/>
  <c r="I89" i="1"/>
  <c r="I90" i="1" a="1"/>
  <c r="I90" i="1" s="1"/>
  <c r="I91" i="1" a="1"/>
  <c r="I91" i="1"/>
  <c r="I92" i="1" a="1"/>
  <c r="I92" i="1"/>
  <c r="I93" i="1" a="1"/>
  <c r="I93" i="1"/>
  <c r="I94" i="1" a="1"/>
  <c r="I94" i="1" s="1"/>
  <c r="I95" i="1" a="1"/>
  <c r="I95" i="1"/>
  <c r="I96" i="1" a="1"/>
  <c r="I96" i="1"/>
  <c r="I97" i="1" a="1"/>
  <c r="I97" i="1"/>
  <c r="I98" i="1" a="1"/>
  <c r="I98" i="1" s="1"/>
  <c r="I99" i="1" a="1"/>
  <c r="I99" i="1"/>
  <c r="I100" i="1" a="1"/>
  <c r="I100" i="1"/>
  <c r="I101" i="1" a="1"/>
  <c r="I101" i="1"/>
  <c r="I102" i="1" a="1"/>
  <c r="I102" i="1" s="1"/>
  <c r="I103" i="1" a="1"/>
  <c r="I103" i="1"/>
  <c r="I104" i="1" a="1"/>
  <c r="I104" i="1"/>
  <c r="I105" i="1" a="1"/>
  <c r="I105" i="1"/>
  <c r="I106" i="1" a="1"/>
  <c r="I106" i="1" s="1"/>
  <c r="I107" i="1" a="1"/>
  <c r="I107" i="1"/>
  <c r="I108" i="1" a="1"/>
  <c r="I108" i="1"/>
  <c r="I109" i="1" a="1"/>
  <c r="I109" i="1"/>
  <c r="I110" i="1" a="1"/>
  <c r="I110" i="1" s="1"/>
  <c r="I111" i="1" a="1"/>
  <c r="I111" i="1"/>
  <c r="I112" i="1" a="1"/>
  <c r="I112" i="1"/>
  <c r="I113" i="1" a="1"/>
  <c r="I113" i="1"/>
  <c r="I114" i="1" a="1"/>
  <c r="I114" i="1" s="1"/>
  <c r="I27" i="1" a="1"/>
  <c r="I27" i="1"/>
  <c r="D2" i="1"/>
  <c r="D3" i="1"/>
  <c r="D4" i="1"/>
  <c r="G105" i="1"/>
  <c r="G106" i="1"/>
  <c r="G107" i="1"/>
  <c r="G108" i="1"/>
  <c r="G109" i="1"/>
  <c r="G110" i="1"/>
  <c r="G111" i="1"/>
  <c r="G112" i="1"/>
  <c r="G113" i="1"/>
  <c r="G114" i="1"/>
  <c r="D105" i="1"/>
  <c r="D106" i="1"/>
  <c r="D113" i="1"/>
  <c r="D114" i="1"/>
  <c r="C105" i="1"/>
  <c r="C106" i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C114" i="1"/>
  <c r="B105" i="1"/>
  <c r="B106" i="1"/>
  <c r="B107" i="1"/>
  <c r="B108" i="1"/>
  <c r="B109" i="1"/>
  <c r="B110" i="1"/>
  <c r="B111" i="1"/>
  <c r="B112" i="1"/>
  <c r="B113" i="1"/>
  <c r="B114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D24" i="1"/>
  <c r="F24" i="1"/>
  <c r="C27" i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C48" i="1"/>
  <c r="D48" i="1" s="1"/>
  <c r="C49" i="1"/>
  <c r="D49" i="1" s="1"/>
  <c r="C50" i="1"/>
  <c r="D50" i="1" s="1"/>
  <c r="C51" i="1"/>
  <c r="C52" i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C60" i="1"/>
  <c r="D60" i="1" s="1"/>
  <c r="C61" i="1"/>
  <c r="D61" i="1" s="1"/>
  <c r="C62" i="1"/>
  <c r="D62" i="1" s="1"/>
  <c r="C63" i="1"/>
  <c r="D63" i="1" s="1"/>
  <c r="G51" i="1"/>
  <c r="D51" i="1"/>
  <c r="B51" i="1"/>
  <c r="G52" i="1"/>
  <c r="D52" i="1"/>
  <c r="B52" i="1"/>
  <c r="G53" i="1"/>
  <c r="B53" i="1"/>
  <c r="G54" i="1"/>
  <c r="B54" i="1"/>
  <c r="G55" i="1"/>
  <c r="B55" i="1"/>
  <c r="G56" i="1"/>
  <c r="B56" i="1"/>
  <c r="G57" i="1"/>
  <c r="B57" i="1"/>
  <c r="G58" i="1"/>
  <c r="B58" i="1"/>
  <c r="G59" i="1"/>
  <c r="D59" i="1"/>
  <c r="B59" i="1"/>
  <c r="G60" i="1"/>
  <c r="B60" i="1"/>
  <c r="G61" i="1"/>
  <c r="B61" i="1"/>
  <c r="G62" i="1"/>
  <c r="B62" i="1"/>
  <c r="G63" i="1"/>
  <c r="B63" i="1"/>
  <c r="F75" i="1"/>
  <c r="I31" i="1" a="1"/>
  <c r="I31" i="1" s="1"/>
  <c r="A11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27" i="1"/>
  <c r="D47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D75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A13" i="1"/>
  <c r="I52" i="1" l="1" a="1"/>
  <c r="I52" i="1" s="1"/>
  <c r="I59" i="1" a="1"/>
  <c r="I59" i="1" s="1"/>
  <c r="I53" i="1" a="1"/>
  <c r="I53" i="1" s="1"/>
  <c r="I51" i="1" a="1"/>
  <c r="I51" i="1" s="1"/>
  <c r="I54" i="1" a="1"/>
  <c r="I54" i="1" s="1"/>
  <c r="I56" i="1" a="1"/>
  <c r="I56" i="1" s="1"/>
  <c r="I57" i="1" a="1"/>
  <c r="I57" i="1" s="1"/>
  <c r="I55" i="1" a="1"/>
  <c r="I55" i="1" s="1"/>
  <c r="I60" i="1" a="1"/>
  <c r="I60" i="1" s="1"/>
  <c r="I58" i="1" a="1"/>
  <c r="I58" i="1" s="1"/>
  <c r="I62" i="1" a="1"/>
  <c r="I62" i="1" s="1"/>
  <c r="I63" i="1" a="1"/>
  <c r="I63" i="1" s="1"/>
  <c r="I61" i="1" a="1"/>
  <c r="I61" i="1" s="1"/>
  <c r="I43" i="1" a="1"/>
  <c r="I43" i="1" s="1"/>
  <c r="I34" i="1" a="1"/>
  <c r="I34" i="1" s="1"/>
  <c r="I44" i="1" a="1"/>
  <c r="I44" i="1" s="1"/>
  <c r="I30" i="1" a="1"/>
  <c r="I30" i="1" s="1"/>
  <c r="I50" i="1" a="1"/>
  <c r="I50" i="1" s="1"/>
  <c r="I42" i="1" a="1"/>
  <c r="I42" i="1" s="1"/>
  <c r="I29" i="1" a="1"/>
  <c r="I29" i="1" s="1"/>
  <c r="I49" i="1" a="1"/>
  <c r="I49" i="1" s="1"/>
  <c r="I39" i="1" a="1"/>
  <c r="I39" i="1" s="1"/>
  <c r="I28" i="1" a="1"/>
  <c r="I28" i="1" s="1"/>
  <c r="I48" i="1" a="1"/>
  <c r="I48" i="1" s="1"/>
  <c r="I38" i="1" a="1"/>
  <c r="I38" i="1" s="1"/>
  <c r="I47" i="1" a="1"/>
  <c r="I47" i="1" s="1"/>
  <c r="I36" i="1" a="1"/>
  <c r="I36" i="1" s="1"/>
  <c r="I46" i="1" a="1"/>
  <c r="I46" i="1" s="1"/>
  <c r="I35" i="1" a="1"/>
  <c r="I35" i="1" s="1"/>
  <c r="I45" i="1" a="1"/>
  <c r="I45" i="1" s="1"/>
  <c r="I41" i="1" a="1"/>
  <c r="I41" i="1" s="1"/>
  <c r="I40" i="1" a="1"/>
  <c r="I40" i="1" s="1"/>
  <c r="I33" i="1" a="1"/>
  <c r="I33" i="1" s="1"/>
  <c r="I32" i="1" a="1"/>
  <c r="I32" i="1" s="1"/>
  <c r="I37" i="1" a="1"/>
  <c r="I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Madden</author>
  </authors>
  <commentList>
    <comment ref="A10" authorId="0" shapeId="0" xr:uid="{8D1948D7-0124-4AC1-B9F0-A7D1C1CB19BA}">
      <text>
        <r>
          <rPr>
            <b/>
            <sz val="9"/>
            <color rgb="FF000000"/>
            <rFont val="Tahoma"/>
            <family val="2"/>
          </rPr>
          <t>Michael Madden: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Should be close to 2</t>
        </r>
      </text>
    </comment>
    <comment ref="A17" authorId="0" shapeId="0" xr:uid="{F365DB26-6825-46D8-83F6-DA90C10A81B0}">
      <text>
        <r>
          <rPr>
            <b/>
            <sz val="9"/>
            <color indexed="81"/>
            <rFont val="Tahoma"/>
            <family val="2"/>
          </rPr>
          <t>Michael Madden:</t>
        </r>
        <r>
          <rPr>
            <sz val="9"/>
            <color indexed="81"/>
            <rFont val="Tahoma"/>
            <family val="2"/>
          </rPr>
          <t xml:space="preserve">
Calibrated in Lab 1</t>
        </r>
      </text>
    </comment>
    <comment ref="A23" authorId="0" shapeId="0" xr:uid="{43BE6871-FDE1-4477-8B29-E2C76DC82A58}">
      <text>
        <r>
          <rPr>
            <b/>
            <sz val="9"/>
            <color indexed="81"/>
            <rFont val="Tahoma"/>
            <family val="2"/>
          </rPr>
          <t>Michael Madden:</t>
        </r>
        <r>
          <rPr>
            <sz val="9"/>
            <color indexed="81"/>
            <rFont val="Tahoma"/>
            <family val="2"/>
          </rPr>
          <t xml:space="preserve">
Use 2 different operating conditions at the high end (40-60 Hz) Taking measurements every 10ish degrees</t>
        </r>
      </text>
    </comment>
    <comment ref="A74" authorId="0" shapeId="0" xr:uid="{CE7CF5E5-42B1-4851-B012-B028FFA4D048}">
      <text>
        <r>
          <rPr>
            <b/>
            <sz val="9"/>
            <color indexed="81"/>
            <rFont val="Tahoma"/>
            <family val="2"/>
          </rPr>
          <t>Michael Madden:</t>
        </r>
        <r>
          <rPr>
            <sz val="9"/>
            <color indexed="81"/>
            <rFont val="Tahoma"/>
            <family val="2"/>
          </rPr>
          <t xml:space="preserve">
Use 2 different operating conditions at the high end (40-60 Hz) Taking measurements every 10ish degrees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<sst xmlns="http://schemas.openxmlformats.org/spreadsheetml/2006/main" count="52" uniqueCount="31">
  <si>
    <t>P (in. H20)</t>
  </si>
  <si>
    <t>V (Volts)</t>
  </si>
  <si>
    <t>Standard Deviation of V</t>
  </si>
  <si>
    <t>Uncertainty in V (95%)</t>
  </si>
  <si>
    <t xml:space="preserve">Uncertainty in P </t>
  </si>
  <si>
    <t>Slope (Calibration Constant)</t>
  </si>
  <si>
    <t>Uncertainty</t>
  </si>
  <si>
    <t>Intercept</t>
  </si>
  <si>
    <t>Operating Condition 1 (Hz)</t>
  </si>
  <si>
    <t>P1-P2 (in. H2O)</t>
  </si>
  <si>
    <t>Standard Deviation of P1-P2 (in. H2O)</t>
  </si>
  <si>
    <t>Statistical Uncertainty in P1-P2 (in. H2O)</t>
  </si>
  <si>
    <t>RSS Propegated Uncertainty in P1-P2 (in. H2O)</t>
  </si>
  <si>
    <t>Corresponding q (in. H2O)</t>
  </si>
  <si>
    <t>Beta (Degrees)</t>
  </si>
  <si>
    <t>Beta (Radians)</t>
  </si>
  <si>
    <r>
      <t>P</t>
    </r>
    <r>
      <rPr>
        <vertAlign val="subscript"/>
        <sz val="11"/>
        <color theme="1"/>
        <rFont val="Aptos Narrow"/>
        <family val="2"/>
        <scheme val="minor"/>
      </rPr>
      <t>cyl</t>
    </r>
    <r>
      <rPr>
        <sz val="11"/>
        <color theme="1"/>
        <rFont val="Aptos Narrow"/>
        <family val="2"/>
        <scheme val="minor"/>
      </rPr>
      <t>-P</t>
    </r>
    <r>
      <rPr>
        <vertAlign val="subscript"/>
        <sz val="11"/>
        <color theme="1"/>
        <rFont val="Aptos Narrow"/>
        <family val="2"/>
        <scheme val="minor"/>
      </rPr>
      <t>wall</t>
    </r>
    <r>
      <rPr>
        <sz val="11"/>
        <color theme="1"/>
        <rFont val="Aptos Narrow"/>
        <family val="2"/>
        <scheme val="minor"/>
      </rPr>
      <t xml:space="preserve"> (in. H2O)</t>
    </r>
  </si>
  <si>
    <r>
      <t>Standard Deviation in P</t>
    </r>
    <r>
      <rPr>
        <vertAlign val="subscript"/>
        <sz val="11"/>
        <color theme="1"/>
        <rFont val="Aptos Narrow"/>
        <family val="2"/>
        <scheme val="minor"/>
      </rPr>
      <t>cyl</t>
    </r>
    <r>
      <rPr>
        <sz val="11"/>
        <color theme="1"/>
        <rFont val="Aptos Narrow"/>
        <family val="2"/>
        <scheme val="minor"/>
      </rPr>
      <t>-P</t>
    </r>
    <r>
      <rPr>
        <vertAlign val="subscript"/>
        <sz val="11"/>
        <color theme="1"/>
        <rFont val="Aptos Narrow"/>
        <family val="2"/>
        <scheme val="minor"/>
      </rPr>
      <t>wall</t>
    </r>
    <r>
      <rPr>
        <sz val="11"/>
        <color theme="1"/>
        <rFont val="Aptos Narrow"/>
        <family val="2"/>
        <scheme val="minor"/>
      </rPr>
      <t xml:space="preserve"> (in. H2O)</t>
    </r>
  </si>
  <si>
    <r>
      <t>Uncertainty in P</t>
    </r>
    <r>
      <rPr>
        <vertAlign val="subscript"/>
        <sz val="11"/>
        <color theme="1"/>
        <rFont val="Aptos Narrow"/>
        <family val="2"/>
        <scheme val="minor"/>
      </rPr>
      <t>cyl</t>
    </r>
    <r>
      <rPr>
        <sz val="11"/>
        <color theme="1"/>
        <rFont val="Aptos Narrow"/>
        <family val="2"/>
        <scheme val="minor"/>
      </rPr>
      <t>-P</t>
    </r>
    <r>
      <rPr>
        <vertAlign val="subscript"/>
        <sz val="11"/>
        <color theme="1"/>
        <rFont val="Aptos Narrow"/>
        <family val="2"/>
        <scheme val="minor"/>
      </rPr>
      <t>wall</t>
    </r>
    <r>
      <rPr>
        <sz val="11"/>
        <color theme="1"/>
        <rFont val="Aptos Narrow"/>
        <family val="2"/>
        <scheme val="minor"/>
      </rPr>
      <t xml:space="preserve"> (in. H2O)</t>
    </r>
  </si>
  <si>
    <r>
      <t>RSS Propegated Uncertainty in P</t>
    </r>
    <r>
      <rPr>
        <vertAlign val="subscript"/>
        <sz val="11"/>
        <color theme="1"/>
        <rFont val="Aptos Narrow"/>
        <family val="2"/>
        <scheme val="minor"/>
      </rPr>
      <t>cyl</t>
    </r>
    <r>
      <rPr>
        <sz val="11"/>
        <color theme="1"/>
        <rFont val="Aptos Narrow"/>
        <family val="2"/>
        <scheme val="minor"/>
      </rPr>
      <t>-P</t>
    </r>
    <r>
      <rPr>
        <vertAlign val="subscript"/>
        <sz val="11"/>
        <color theme="1"/>
        <rFont val="Aptos Narrow"/>
        <family val="2"/>
        <scheme val="minor"/>
      </rPr>
      <t>wall</t>
    </r>
    <r>
      <rPr>
        <sz val="11"/>
        <color theme="1"/>
        <rFont val="Aptos Narrow"/>
        <family val="2"/>
        <scheme val="minor"/>
      </rPr>
      <t xml:space="preserve"> (in. H2O)</t>
    </r>
  </si>
  <si>
    <t>Theta (Degrees)</t>
  </si>
  <si>
    <t>Theta (Radians)</t>
  </si>
  <si>
    <r>
      <t>C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((P</t>
    </r>
    <r>
      <rPr>
        <vertAlign val="subscript"/>
        <sz val="11"/>
        <color theme="1"/>
        <rFont val="Aptos Narrow"/>
        <family val="2"/>
        <scheme val="minor"/>
      </rPr>
      <t>cyl</t>
    </r>
    <r>
      <rPr>
        <sz val="11"/>
        <color theme="1"/>
        <rFont val="Aptos Narrow"/>
        <family val="2"/>
        <scheme val="minor"/>
      </rPr>
      <t>-P</t>
    </r>
    <r>
      <rPr>
        <vertAlign val="subscript"/>
        <sz val="11"/>
        <color theme="1"/>
        <rFont val="Aptos Narrow"/>
        <family val="2"/>
        <scheme val="minor"/>
      </rPr>
      <t>wall</t>
    </r>
    <r>
      <rPr>
        <sz val="11"/>
        <color theme="1"/>
        <rFont val="Aptos Narrow"/>
        <family val="2"/>
        <scheme val="minor"/>
      </rPr>
      <t>)/q)</t>
    </r>
  </si>
  <si>
    <t>Wind Tunnel Calibration</t>
  </si>
  <si>
    <t>Pressure transducer Calibration</t>
  </si>
  <si>
    <t>Reynolds Number (sutherlands formula)</t>
  </si>
  <si>
    <t>Atmospheric Conditions</t>
  </si>
  <si>
    <t>Temperature (C)</t>
  </si>
  <si>
    <t>Pressure (hPa)</t>
  </si>
  <si>
    <t>Humidity</t>
  </si>
  <si>
    <t>theta = 0 is 45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</si>
</sst>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1"/>
      <color theme="1"/>
      <name val="Aptos Narrow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Sheet1!$C$27:$C$63</c:f>
              <c:numCache>
                <c:formatCode>General</c:formatCode>
                <c:ptCount val="37"/>
                <c:pt idx="0">
                  <c:v>180</c:v>
                </c:pt>
                <c:pt idx="1">
                  <c:v>170</c:v>
                </c:pt>
                <c:pt idx="2">
                  <c:v>160</c:v>
                </c:pt>
                <c:pt idx="3">
                  <c:v>150</c:v>
                </c:pt>
                <c:pt idx="4">
                  <c:v>140</c:v>
                </c:pt>
                <c:pt idx="5">
                  <c:v>130</c:v>
                </c:pt>
                <c:pt idx="6">
                  <c:v>120</c:v>
                </c:pt>
                <c:pt idx="7">
                  <c:v>110</c:v>
                </c:pt>
                <c:pt idx="8">
                  <c:v>100</c:v>
                </c:pt>
                <c:pt idx="9">
                  <c:v>90</c:v>
                </c:pt>
                <c:pt idx="10">
                  <c:v>80</c:v>
                </c:pt>
                <c:pt idx="11">
                  <c:v>70</c:v>
                </c:pt>
                <c:pt idx="12">
                  <c:v>60</c:v>
                </c:pt>
                <c:pt idx="13">
                  <c:v>50</c:v>
                </c:pt>
                <c:pt idx="14">
                  <c:v>40</c:v>
                </c:pt>
                <c:pt idx="15">
                  <c:v>30</c:v>
                </c:pt>
                <c:pt idx="16">
                  <c:v>20</c:v>
                </c:pt>
                <c:pt idx="17">
                  <c:v>10</c:v>
                </c:pt>
                <c:pt idx="18">
                  <c:v>0</c:v>
                </c:pt>
                <c:pt idx="19">
                  <c:v>-10</c:v>
                </c:pt>
                <c:pt idx="20">
                  <c:v>-20</c:v>
                </c:pt>
                <c:pt idx="21">
                  <c:v>-30</c:v>
                </c:pt>
                <c:pt idx="22">
                  <c:v>-40</c:v>
                </c:pt>
                <c:pt idx="23">
                  <c:v>-50</c:v>
                </c:pt>
                <c:pt idx="24">
                  <c:v>-60</c:v>
                </c:pt>
                <c:pt idx="25">
                  <c:v>-70</c:v>
                </c:pt>
                <c:pt idx="26">
                  <c:v>-80</c:v>
                </c:pt>
                <c:pt idx="27">
                  <c:v>-90</c:v>
                </c:pt>
                <c:pt idx="28">
                  <c:v>-100</c:v>
                </c:pt>
                <c:pt idx="29">
                  <c:v>-110</c:v>
                </c:pt>
                <c:pt idx="30">
                  <c:v>-120</c:v>
                </c:pt>
                <c:pt idx="31">
                  <c:v>-130</c:v>
                </c:pt>
                <c:pt idx="32">
                  <c:v>-140</c:v>
                </c:pt>
                <c:pt idx="33">
                  <c:v>-150</c:v>
                </c:pt>
                <c:pt idx="34">
                  <c:v>-160</c:v>
                </c:pt>
                <c:pt idx="35">
                  <c:v>-170</c:v>
                </c:pt>
                <c:pt idx="36">
                  <c:v>-180</c:v>
                </c:pt>
              </c:numCache>
            </c:numRef>
          </c:xVal>
          <c:yVal>
            <c:numRef>
              <c:f>Sheet1!$I$27:$I$63</c:f>
              <c:numCache>
                <c:formatCode>General</c:formatCode>
                <c:ptCount val="37"/>
                <c:pt idx="0">
                  <c:v>-0.88366331850216984</c:v>
                </c:pt>
                <c:pt idx="1">
                  <c:v>-1.1803560842424627</c:v>
                </c:pt>
                <c:pt idx="2">
                  <c:v>-1.1787523395627855</c:v>
                </c:pt>
                <c:pt idx="3">
                  <c:v>-1.0817257864423113</c:v>
                </c:pt>
                <c:pt idx="4">
                  <c:v>-1.0239909779739298</c:v>
                </c:pt>
                <c:pt idx="5">
                  <c:v>-1.0039441694779643</c:v>
                </c:pt>
                <c:pt idx="6">
                  <c:v>-1.0223872332942525</c:v>
                </c:pt>
                <c:pt idx="7">
                  <c:v>-1.0207834886145755</c:v>
                </c:pt>
                <c:pt idx="8">
                  <c:v>-1.0424340417902185</c:v>
                </c:pt>
                <c:pt idx="9">
                  <c:v>-1.0632827226260229</c:v>
                </c:pt>
                <c:pt idx="10">
                  <c:v>-1.0881407651610202</c:v>
                </c:pt>
                <c:pt idx="11">
                  <c:v>-1.058471488586991</c:v>
                </c:pt>
                <c:pt idx="12">
                  <c:v>-1.1314418715123062</c:v>
                </c:pt>
                <c:pt idx="13">
                  <c:v>-1.1466774459692401</c:v>
                </c:pt>
                <c:pt idx="14">
                  <c:v>-1.1105931906765019</c:v>
                </c:pt>
                <c:pt idx="15">
                  <c:v>-1.092951999200052</c:v>
                </c:pt>
                <c:pt idx="16">
                  <c:v>-1.0616789779463456</c:v>
                </c:pt>
                <c:pt idx="17">
                  <c:v>-1.0632827226260229</c:v>
                </c:pt>
                <c:pt idx="18">
                  <c:v>-1.0360190630715094</c:v>
                </c:pt>
                <c:pt idx="19">
                  <c:v>-1.015170382235705</c:v>
                </c:pt>
                <c:pt idx="20">
                  <c:v>-0.98870859502103037</c:v>
                </c:pt>
                <c:pt idx="21">
                  <c:v>-1.002340424798287</c:v>
                </c:pt>
                <c:pt idx="22">
                  <c:v>-1.0648864673057001</c:v>
                </c:pt>
                <c:pt idx="23">
                  <c:v>-1.1715354885042379</c:v>
                </c:pt>
                <c:pt idx="24">
                  <c:v>-1.1587055310668197</c:v>
                </c:pt>
                <c:pt idx="25">
                  <c:v>-0.89408765892007191</c:v>
                </c:pt>
                <c:pt idx="26">
                  <c:v>-0.44423727627060083</c:v>
                </c:pt>
                <c:pt idx="27">
                  <c:v>4.4904851030963255E-2</c:v>
                </c:pt>
                <c:pt idx="28">
                  <c:v>0.45947285072753469</c:v>
                </c:pt>
                <c:pt idx="29">
                  <c:v>0.77460868028411611</c:v>
                </c:pt>
                <c:pt idx="30">
                  <c:v>0.91814382911523085</c:v>
                </c:pt>
                <c:pt idx="31">
                  <c:v>0.9173419567753921</c:v>
                </c:pt>
                <c:pt idx="32">
                  <c:v>0.77380680794427747</c:v>
                </c:pt>
                <c:pt idx="33">
                  <c:v>0.44102978691124628</c:v>
                </c:pt>
                <c:pt idx="34">
                  <c:v>1.4433702117095331E-2</c:v>
                </c:pt>
                <c:pt idx="35">
                  <c:v>-0.47150093582511415</c:v>
                </c:pt>
                <c:pt idx="36">
                  <c:v>-0.89168204190055611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F4-EC49-8BA0-292B18FB9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809935"/>
        <c:axId val="834239"/>
      </c:scatterChart>
      <c:valAx>
        <c:axId val="88880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39"/>
        <c:crosses val="autoZero"/>
        <c:crossBetween val="midCat"/>
      </c:valAx>
      <c:valAx>
        <c:axId val="83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0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Sheet1!$C$78:$C$114</c:f>
              <c:numCache>
                <c:formatCode>General</c:formatCode>
                <c:ptCount val="37"/>
                <c:pt idx="0">
                  <c:v>180</c:v>
                </c:pt>
                <c:pt idx="1">
                  <c:v>170</c:v>
                </c:pt>
                <c:pt idx="2">
                  <c:v>160</c:v>
                </c:pt>
                <c:pt idx="3">
                  <c:v>150</c:v>
                </c:pt>
                <c:pt idx="4">
                  <c:v>140</c:v>
                </c:pt>
                <c:pt idx="5">
                  <c:v>130</c:v>
                </c:pt>
                <c:pt idx="6">
                  <c:v>120</c:v>
                </c:pt>
                <c:pt idx="7">
                  <c:v>110</c:v>
                </c:pt>
                <c:pt idx="8">
                  <c:v>100</c:v>
                </c:pt>
                <c:pt idx="9">
                  <c:v>90</c:v>
                </c:pt>
                <c:pt idx="10">
                  <c:v>80</c:v>
                </c:pt>
                <c:pt idx="11">
                  <c:v>70</c:v>
                </c:pt>
                <c:pt idx="12">
                  <c:v>60</c:v>
                </c:pt>
                <c:pt idx="13">
                  <c:v>50</c:v>
                </c:pt>
                <c:pt idx="14">
                  <c:v>40</c:v>
                </c:pt>
                <c:pt idx="15">
                  <c:v>30</c:v>
                </c:pt>
                <c:pt idx="16">
                  <c:v>20</c:v>
                </c:pt>
                <c:pt idx="17">
                  <c:v>10</c:v>
                </c:pt>
                <c:pt idx="18">
                  <c:v>0</c:v>
                </c:pt>
                <c:pt idx="19">
                  <c:v>-10</c:v>
                </c:pt>
                <c:pt idx="20">
                  <c:v>-20</c:v>
                </c:pt>
                <c:pt idx="21">
                  <c:v>-30</c:v>
                </c:pt>
                <c:pt idx="22">
                  <c:v>-40</c:v>
                </c:pt>
                <c:pt idx="23">
                  <c:v>-50</c:v>
                </c:pt>
                <c:pt idx="24">
                  <c:v>-60</c:v>
                </c:pt>
                <c:pt idx="25">
                  <c:v>-70</c:v>
                </c:pt>
                <c:pt idx="26">
                  <c:v>-80</c:v>
                </c:pt>
                <c:pt idx="27">
                  <c:v>-90</c:v>
                </c:pt>
                <c:pt idx="28">
                  <c:v>-100</c:v>
                </c:pt>
                <c:pt idx="29">
                  <c:v>-110</c:v>
                </c:pt>
                <c:pt idx="30">
                  <c:v>-120</c:v>
                </c:pt>
                <c:pt idx="31">
                  <c:v>-130</c:v>
                </c:pt>
                <c:pt idx="32">
                  <c:v>-140</c:v>
                </c:pt>
                <c:pt idx="33">
                  <c:v>-150</c:v>
                </c:pt>
                <c:pt idx="34">
                  <c:v>-160</c:v>
                </c:pt>
                <c:pt idx="35">
                  <c:v>-170</c:v>
                </c:pt>
                <c:pt idx="36">
                  <c:v>-180</c:v>
                </c:pt>
              </c:numCache>
            </c:numRef>
          </c:xVal>
          <c:yVal>
            <c:numRef>
              <c:f>Sheet1!$I$78:$I$114</c:f>
              <c:numCache>
                <c:formatCode>General</c:formatCode>
                <c:ptCount val="37"/>
                <c:pt idx="0">
                  <c:v>-0.93916555787977807</c:v>
                </c:pt>
                <c:pt idx="1">
                  <c:v>-1.2338435682623676</c:v>
                </c:pt>
                <c:pt idx="2">
                  <c:v>-1.2418376396385089</c:v>
                </c:pt>
                <c:pt idx="3">
                  <c:v>-1.1478383865604331</c:v>
                </c:pt>
                <c:pt idx="4">
                  <c:v>-1.0549417640169976</c:v>
                </c:pt>
                <c:pt idx="5">
                  <c:v>-1.0554930792843176</c:v>
                </c:pt>
                <c:pt idx="6">
                  <c:v>-1.0662437269970593</c:v>
                </c:pt>
                <c:pt idx="7">
                  <c:v>-1.0882963376898631</c:v>
                </c:pt>
                <c:pt idx="8">
                  <c:v>-1.1128298670856072</c:v>
                </c:pt>
                <c:pt idx="9">
                  <c:v>-1.1266127487686095</c:v>
                </c:pt>
                <c:pt idx="10">
                  <c:v>-1.1660317903819963</c:v>
                </c:pt>
                <c:pt idx="11">
                  <c:v>-1.1417739186199123</c:v>
                </c:pt>
                <c:pt idx="12">
                  <c:v>-1.2332922529950476</c:v>
                </c:pt>
                <c:pt idx="13">
                  <c:v>-1.1864304552728397</c:v>
                </c:pt>
                <c:pt idx="14">
                  <c:v>-1.1729232312234974</c:v>
                </c:pt>
                <c:pt idx="15">
                  <c:v>-1.1459087831248129</c:v>
                </c:pt>
                <c:pt idx="16">
                  <c:v>-1.1461844407584729</c:v>
                </c:pt>
                <c:pt idx="17">
                  <c:v>-1.0954634361650244</c:v>
                </c:pt>
                <c:pt idx="18">
                  <c:v>-1.0794752934127416</c:v>
                </c:pt>
                <c:pt idx="19">
                  <c:v>-1.058525313254578</c:v>
                </c:pt>
                <c:pt idx="20">
                  <c:v>-1.0395049365320348</c:v>
                </c:pt>
                <c:pt idx="21">
                  <c:v>-1.0411588823339952</c:v>
                </c:pt>
                <c:pt idx="22">
                  <c:v>-1.1260614335012895</c:v>
                </c:pt>
                <c:pt idx="23">
                  <c:v>-1.2233685781832857</c:v>
                </c:pt>
                <c:pt idx="24">
                  <c:v>-1.1875330858074797</c:v>
                </c:pt>
                <c:pt idx="25">
                  <c:v>-0.89726559756345092</c:v>
                </c:pt>
                <c:pt idx="26">
                  <c:v>-0.44628970889561509</c:v>
                </c:pt>
                <c:pt idx="27">
                  <c:v>4.0521672148026815E-2</c:v>
                </c:pt>
                <c:pt idx="28">
                  <c:v>0.46972060775671903</c:v>
                </c:pt>
                <c:pt idx="29">
                  <c:v>0.78893214753505281</c:v>
                </c:pt>
                <c:pt idx="30">
                  <c:v>0.93585766627585742</c:v>
                </c:pt>
                <c:pt idx="31">
                  <c:v>0.93585766627585742</c:v>
                </c:pt>
                <c:pt idx="32">
                  <c:v>0.77514926585205035</c:v>
                </c:pt>
                <c:pt idx="33">
                  <c:v>0.44573839362829498</c:v>
                </c:pt>
                <c:pt idx="34">
                  <c:v>-5.237495039540881E-3</c:v>
                </c:pt>
                <c:pt idx="35">
                  <c:v>-0.50445346959788495</c:v>
                </c:pt>
                <c:pt idx="36">
                  <c:v>-0.94385173765199881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90-4B4D-80BF-685C425D3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025456"/>
        <c:axId val="2104432768"/>
      </c:scatterChart>
      <c:valAx>
        <c:axId val="209202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432768"/>
        <c:crosses val="autoZero"/>
        <c:crossBetween val="midCat"/>
      </c:valAx>
      <c:valAx>
        <c:axId val="210443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02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Gauge</a:t>
            </a:r>
            <a:r>
              <a:rPr lang="en-US" baseline="0"/>
              <a:t> Pressure versus Voltage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Sheet1!$D$2:$D$4</c:f>
                <c:numCache>
                  <c:formatCode>General</c:formatCode>
                  <c:ptCount val="3"/>
                  <c:pt idx="0">
                    <c:v>6.4000000000000001E-2</c:v>
                  </c:pt>
                  <c:pt idx="1">
                    <c:v>5.3999999999999999E-2</c:v>
                  </c:pt>
                  <c:pt idx="2">
                    <c:v>5.3999999999999999E-2</c:v>
                  </c:pt>
                </c:numCache>
              </c:numRef>
            </c:plus>
            <c:minus>
              <c:numRef>
                <c:f>Sheet1!$D$2:$D$4</c:f>
                <c:numCache>
                  <c:formatCode>General</c:formatCode>
                  <c:ptCount val="3"/>
                  <c:pt idx="0">
                    <c:v>6.4000000000000001E-2</c:v>
                  </c:pt>
                  <c:pt idx="1">
                    <c:v>5.3999999999999999E-2</c:v>
                  </c:pt>
                  <c:pt idx="2">
                    <c:v>5.3999999999999999E-2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Sheet1!$E$2:$E$4</c:f>
                <c:numCache>
                  <c:formatCode>General</c:formatCode>
                  <c:ptCount val="3"/>
                  <c:pt idx="0">
                    <c:v>0.05</c:v>
                  </c:pt>
                  <c:pt idx="1">
                    <c:v>0.05</c:v>
                  </c:pt>
                  <c:pt idx="2">
                    <c:v>0.05</c:v>
                  </c:pt>
                </c:numCache>
              </c:numRef>
            </c:plus>
            <c:minus>
              <c:numRef>
                <c:f>Sheet1!$E$2:$E$4</c:f>
                <c:numCache>
                  <c:formatCode>General</c:formatCode>
                  <c:ptCount val="3"/>
                  <c:pt idx="0">
                    <c:v>0.05</c:v>
                  </c:pt>
                  <c:pt idx="1">
                    <c:v>0.05</c:v>
                  </c:pt>
                  <c:pt idx="2">
                    <c:v>0.05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Sheet1!$B$2:$B$4</c:f>
              <c:numCache>
                <c:formatCode>General</c:formatCode>
                <c:ptCount val="3"/>
                <c:pt idx="0">
                  <c:v>2.399</c:v>
                </c:pt>
                <c:pt idx="1">
                  <c:v>0.874</c:v>
                </c:pt>
                <c:pt idx="2">
                  <c:v>-1.913</c:v>
                </c:pt>
              </c:numCache>
            </c:numRef>
          </c:xVal>
          <c:yVal>
            <c:numRef>
              <c:f>Sheet1!$A$2:$A$4</c:f>
              <c:numCache>
                <c:formatCode>General</c:formatCode>
                <c:ptCount val="3"/>
                <c:pt idx="0">
                  <c:v>4.7</c:v>
                </c:pt>
                <c:pt idx="1">
                  <c:v>1.7</c:v>
                </c:pt>
                <c:pt idx="2">
                  <c:v>-3.9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A-134A-8B6D-9CAC19FEB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859360"/>
        <c:axId val="1976760192"/>
      </c:scatterChart>
      <c:valAx>
        <c:axId val="197685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760192"/>
        <c:crosses val="autoZero"/>
        <c:crossBetween val="midCat"/>
      </c:valAx>
      <c:valAx>
        <c:axId val="19767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en-US" baseline="0"/>
                  <a:t> (in H2O)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85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Sheet1!$A$78:$A$114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Sheet1!$I$78:$I$114</c:f>
              <c:numCache>
                <c:formatCode>General</c:formatCode>
                <c:ptCount val="37"/>
                <c:pt idx="0">
                  <c:v>-0.93916555787977807</c:v>
                </c:pt>
                <c:pt idx="1">
                  <c:v>-1.2338435682623676</c:v>
                </c:pt>
                <c:pt idx="2">
                  <c:v>-1.2418376396385089</c:v>
                </c:pt>
                <c:pt idx="3">
                  <c:v>-1.1478383865604331</c:v>
                </c:pt>
                <c:pt idx="4">
                  <c:v>-1.0549417640169976</c:v>
                </c:pt>
                <c:pt idx="5">
                  <c:v>-1.0554930792843176</c:v>
                </c:pt>
                <c:pt idx="6">
                  <c:v>-1.0662437269970593</c:v>
                </c:pt>
                <c:pt idx="7">
                  <c:v>-1.0882963376898631</c:v>
                </c:pt>
                <c:pt idx="8">
                  <c:v>-1.1128298670856072</c:v>
                </c:pt>
                <c:pt idx="9">
                  <c:v>-1.1266127487686095</c:v>
                </c:pt>
                <c:pt idx="10">
                  <c:v>-1.1660317903819963</c:v>
                </c:pt>
                <c:pt idx="11">
                  <c:v>-1.1417739186199123</c:v>
                </c:pt>
                <c:pt idx="12">
                  <c:v>-1.2332922529950476</c:v>
                </c:pt>
                <c:pt idx="13">
                  <c:v>-1.1864304552728397</c:v>
                </c:pt>
                <c:pt idx="14">
                  <c:v>-1.1729232312234974</c:v>
                </c:pt>
                <c:pt idx="15">
                  <c:v>-1.1459087831248129</c:v>
                </c:pt>
                <c:pt idx="16">
                  <c:v>-1.1461844407584729</c:v>
                </c:pt>
                <c:pt idx="17">
                  <c:v>-1.0954634361650244</c:v>
                </c:pt>
                <c:pt idx="18">
                  <c:v>-1.0794752934127416</c:v>
                </c:pt>
                <c:pt idx="19">
                  <c:v>-1.058525313254578</c:v>
                </c:pt>
                <c:pt idx="20">
                  <c:v>-1.0395049365320348</c:v>
                </c:pt>
                <c:pt idx="21">
                  <c:v>-1.0411588823339952</c:v>
                </c:pt>
                <c:pt idx="22">
                  <c:v>-1.1260614335012895</c:v>
                </c:pt>
                <c:pt idx="23">
                  <c:v>-1.2233685781832857</c:v>
                </c:pt>
                <c:pt idx="24">
                  <c:v>-1.1875330858074797</c:v>
                </c:pt>
                <c:pt idx="25">
                  <c:v>-0.89726559756345092</c:v>
                </c:pt>
                <c:pt idx="26">
                  <c:v>-0.44628970889561509</c:v>
                </c:pt>
                <c:pt idx="27">
                  <c:v>4.0521672148026815E-2</c:v>
                </c:pt>
                <c:pt idx="28">
                  <c:v>0.46972060775671903</c:v>
                </c:pt>
                <c:pt idx="29">
                  <c:v>0.78893214753505281</c:v>
                </c:pt>
                <c:pt idx="30">
                  <c:v>0.93585766627585742</c:v>
                </c:pt>
                <c:pt idx="31">
                  <c:v>0.93585766627585742</c:v>
                </c:pt>
                <c:pt idx="32">
                  <c:v>0.77514926585205035</c:v>
                </c:pt>
                <c:pt idx="33">
                  <c:v>0.44573839362829498</c:v>
                </c:pt>
                <c:pt idx="34">
                  <c:v>-5.237495039540881E-3</c:v>
                </c:pt>
                <c:pt idx="35">
                  <c:v>-0.50445346959788495</c:v>
                </c:pt>
                <c:pt idx="36">
                  <c:v>-0.94385173765199881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A8-44FF-A6E3-C878C0012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31919"/>
        <c:axId val="76225199"/>
      </c:scatterChart>
      <c:valAx>
        <c:axId val="7623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25199"/>
        <c:crosses val="autoZero"/>
        <c:crossBetween val="midCat"/>
      </c:valAx>
      <c:valAx>
        <c:axId val="7622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1090586</xdr:colOff>
      <xdr:row>32</xdr:row>
      <xdr:rowOff>120146</xdr:rowOff>
    </xdr:from>
    <xdr:to>
      <xdr:col>16</xdr:col>
      <xdr:colOff>336175</xdr:colOff>
      <xdr:row>52</xdr:row>
      <xdr:rowOff>149410</xdr:rowOff>
    </xdr:to>
    <xdr:graphicFrame macro="">
      <xdr:nvGraphicFramePr>
        <xdr:cNvPr id="11" name="Chart 4">
          <a:extLst>
            <a:ext uri="{FF2B5EF4-FFF2-40B4-BE49-F238E27FC236}">
              <a16:creationId xmlns:a16="http://schemas.microsoft.com/office/drawing/2014/main" id="{563EFA38-50E0-F2C8-A186-9C4B50A5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1403819</xdr:colOff>
      <xdr:row>94</xdr:row>
      <xdr:rowOff>143631</xdr:rowOff>
    </xdr:from>
    <xdr:to>
      <xdr:col>17</xdr:col>
      <xdr:colOff>76830</xdr:colOff>
      <xdr:row>113</xdr:row>
      <xdr:rowOff>181891</xdr:rowOff>
    </xdr:to>
    <xdr:graphicFrame macro="">
      <xdr:nvGraphicFramePr>
        <xdr:cNvPr id="10" name="Chart 5">
          <a:extLst>
            <a:ext uri="{FF2B5EF4-FFF2-40B4-BE49-F238E27FC236}">
              <a16:creationId xmlns:a16="http://schemas.microsoft.com/office/drawing/2014/main" id="{CFE967FC-9900-50CC-95D5-2B5B001B7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841531</xdr:colOff>
      <xdr:row>1</xdr:row>
      <xdr:rowOff>8053</xdr:rowOff>
    </xdr:from>
    <xdr:to>
      <xdr:col>8</xdr:col>
      <xdr:colOff>1939539</xdr:colOff>
      <xdr:row>16</xdr:row>
      <xdr:rowOff>54207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853C31C5-7650-C652-DD3D-37E1F820F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1316933</xdr:colOff>
      <xdr:row>76</xdr:row>
      <xdr:rowOff>77856</xdr:rowOff>
    </xdr:from>
    <xdr:to>
      <xdr:col>17</xdr:col>
      <xdr:colOff>55216</xdr:colOff>
      <xdr:row>93</xdr:row>
      <xdr:rowOff>124238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367B4AA-A533-E00D-DAAE-5408A5907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A88C3-F17C-4987-A3D5-141BD4D10096}" name="Table2" displayName="Table2" ref="A1:E4" totalsRowShown="0">
  <autoFilter ref="A1:E4" xr:uid="{628A88C3-F17C-4987-A3D5-141BD4D10096}"/>
  <tableColumns count="5">
    <tableColumn id="1" xr3:uid="{E556A25E-2E88-44B4-932E-35662CC003D4}" name="P (in. H20)" dataDxfId="23">
      <calculatedColumnFormula>2.6-7.3</calculatedColumnFormula>
    </tableColumn>
    <tableColumn id="2" xr3:uid="{00A0119D-C09F-4A20-BB33-DEF25872C847}" name="V (Volts)"/>
    <tableColumn id="3" xr3:uid="{EF48B666-6AC9-4F83-A1EA-240C7C3DEC1B}" name="Standard Deviation of V"/>
    <tableColumn id="4" xr3:uid="{BE621E44-A137-4CDD-9AFE-E5E56C600911}" name="Uncertainty in V (95%)" dataDxfId="22">
      <calculatedColumnFormula>2*Table2[[#This Row],[Standard Deviation of V]]</calculatedColumnFormula>
    </tableColumn>
    <tableColumn id="5" xr3:uid="{33AF2532-F1A9-4E68-8F08-33E8B32D48FC}" name="Uncertainty in P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BE81A-3F1B-42D2-BE89-6E85AE8C1890}" name="Table1" displayName="Table1" ref="A26:I63" totalsRowShown="0" dataDxfId="21">
  <autoFilter ref="A26:I63" xr:uid="{CB2BE81A-3F1B-42D2-BE89-6E85AE8C1890}"/>
  <tableColumns count="9">
    <tableColumn id="14" xr3:uid="{EF0E3643-6BF9-4E03-BB06-99E235CE0ED6}" name="Theta (Degrees)" dataDxfId="20"/>
    <tableColumn id="13" xr3:uid="{B56852D7-59A2-4ABA-938F-3280B7F02403}" name="Theta (Radians)" dataDxfId="19">
      <calculatedColumnFormula>RADIANS(Table1[[#This Row],[Theta (Degrees)]])</calculatedColumnFormula>
    </tableColumn>
    <tableColumn id="11" xr3:uid="{B5267DEE-B5CA-45EC-BA65-01F2322062B5}" name="Beta (Degrees)" dataDxfId="18">
      <calculatedColumnFormula>180-Table1[[#This Row],[Theta (Degrees)]]</calculatedColumnFormula>
    </tableColumn>
    <tableColumn id="12" xr3:uid="{34BC66BA-9E56-4DCB-9C93-4DA4EB64EC2A}" name="Beta (Radians)" dataDxfId="17">
      <calculatedColumnFormula>RADIANS(Table1[[#This Row],[Beta (Degrees)]])</calculatedColumnFormula>
    </tableColumn>
    <tableColumn id="7" xr3:uid="{6CC790FA-F8BF-44EB-BFCA-348488582B59}" name="Pcyl-Pwall (in. H2O)" dataDxfId="16"/>
    <tableColumn id="8" xr3:uid="{AC1075B7-6134-4E7A-968C-70AA3FB33982}" name="Standard Deviation in Pcyl-Pwall (in. H2O)" dataDxfId="15"/>
    <tableColumn id="9" xr3:uid="{FE510BF1-31B9-4CEC-B660-3F46912D36F9}" name="Uncertainty in Pcyl-Pwall (in. H2O)" dataDxfId="14">
      <calculatedColumnFormula>2*Table1[[#This Row],[Standard Deviation in Pcyl-Pwall (in. H2O)]]</calculatedColumnFormula>
    </tableColumn>
    <tableColumn id="10" xr3:uid="{CA8B89A0-6C7D-461E-8BC5-AD0DF9686781}" name="RSS Propegated Uncertainty in Pcyl-Pwall (in. H2O)" dataDxfId="13"/>
    <tableColumn id="15" xr3:uid="{A94F905F-F659-4ED8-A1B6-E64412AE86E7}" name="Cp ((Pcyl-Pwall)/q)" dataDxfId="12">
      <calculatedColumnFormula array="1">Table1[[#This Row],[Pcyl-Pwall (in. H2O)]]/Table4[Corresponding q (in. H2O)]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832C7F-4C88-4EA0-AB76-C8CC9E1AFF7C}" name="Table16" displayName="Table16" ref="A77:I114" totalsRowShown="0" dataDxfId="11">
  <autoFilter ref="A77:I114" xr:uid="{86832C7F-4C88-4EA0-AB76-C8CC9E1AFF7C}"/>
  <tableColumns count="9">
    <tableColumn id="14" xr3:uid="{7C621E76-D796-41B3-A7B4-9F913F732DC9}" name="Theta (Degrees)" dataDxfId="10"/>
    <tableColumn id="13" xr3:uid="{6C86DB57-D39F-4935-9D02-F57019B8ECBE}" name="Theta (Radians)" dataDxfId="9">
      <calculatedColumnFormula>RADIANS(Table16[[#This Row],[Theta (Degrees)]])</calculatedColumnFormula>
    </tableColumn>
    <tableColumn id="11" xr3:uid="{9F268432-F424-49C6-9A46-8BBD8BD47B64}" name="Beta (Degrees)" dataDxfId="8">
      <calculatedColumnFormula>180 - Table16[[#This Row],[Theta (Degrees)]]</calculatedColumnFormula>
    </tableColumn>
    <tableColumn id="12" xr3:uid="{978877BE-712C-46FB-89C6-E57AEB31F35B}" name="Beta (Radians)" dataDxfId="7">
      <calculatedColumnFormula>RADIANS(Table16[[#This Row],[Beta (Degrees)]])</calculatedColumnFormula>
    </tableColumn>
    <tableColumn id="7" xr3:uid="{CA0121EB-7EED-4ADB-AF3D-FB78B4293FE5}" name="Pcyl-Pwall (in. H2O)" dataDxfId="6"/>
    <tableColumn id="8" xr3:uid="{BB70F61C-40B3-4667-B371-48B3A7490D3D}" name="Standard Deviation in Pcyl-Pwall (in. H2O)" dataDxfId="5"/>
    <tableColumn id="9" xr3:uid="{B688C71F-64BD-46FA-A061-6741E44B0A9C}" name="Uncertainty in Pcyl-Pwall (in. H2O)" dataDxfId="4">
      <calculatedColumnFormula>2*Table16[[#This Row],[Standard Deviation in Pcyl-Pwall (in. H2O)]]</calculatedColumnFormula>
    </tableColumn>
    <tableColumn id="10" xr3:uid="{EDBC318D-AAFC-4B3A-963D-14EEE2119E6C}" name="RSS Propegated Uncertainty in Pcyl-Pwall (in. H2O)" dataDxfId="3"/>
    <tableColumn id="15" xr3:uid="{11D30522-CBE6-4B25-9635-F98414A2B047}" name="Cp ((Pcyl-Pwall)/q)" dataDxfId="2">
      <calculatedColumnFormula array="1">Table16[[#This Row],[Pcyl-Pwall (in. H2O)]]/Table47[Corresponding q (in. H2O)]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504262-F2BB-4DED-A259-2F80E9EF72F9}" name="Table47" displayName="Table47" ref="A74:G75" totalsRowShown="0">
  <autoFilter ref="A74:G75" xr:uid="{3C504262-F2BB-4DED-A259-2F80E9EF72F9}"/>
  <tableColumns count="7">
    <tableColumn id="1" xr3:uid="{4118F6BC-0419-4FA6-BF41-3AFFF6DB7929}" name="Operating Condition 1 (Hz)"/>
    <tableColumn id="2" xr3:uid="{6CC3CE78-614A-418E-9A59-EC0899D34FE4}" name="P1-P2 (in. H2O)" dataDxfId="1"/>
    <tableColumn id="3" xr3:uid="{CD86F4C6-23DD-4899-96C9-939B7A29F75C}" name="Standard Deviation of P1-P2 (in. H2O)"/>
    <tableColumn id="4" xr3:uid="{B61E1E88-E52F-4E34-8475-A053EC24AC59}" name="Statistical Uncertainty in P1-P2 (in. H2O)">
      <calculatedColumnFormula>2*C75</calculatedColumnFormula>
    </tableColumn>
    <tableColumn id="5" xr3:uid="{B80D32D5-BCA2-4DE0-B856-494512926BBA}" name="RSS Propegated Uncertainty in P1-P2 (in. H2O)"/>
    <tableColumn id="6" xr3:uid="{28356648-E125-40C3-B8E6-BD6DFEF42225}" name="Corresponding q (in. H2O)">
      <calculatedColumnFormula>Table47[[#This Row],[P1-P2 (in. H2O)]]*A18+A20</calculatedColumnFormula>
    </tableColumn>
    <tableColumn id="7" xr3:uid="{067A6150-FEF4-4828-842B-D566D2DC28DE}" name="Reynolds Number (sutherlands formula)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DA5D83-ED46-440B-819C-7DD563C42EAB}" name="Table4" displayName="Table4" ref="A23:G24" totalsRowShown="0">
  <autoFilter ref="A23:G24" xr:uid="{3EDA5D83-ED46-440B-819C-7DD563C42EAB}"/>
  <tableColumns count="7">
    <tableColumn id="1" xr3:uid="{9172DF68-78FE-4B84-A7E3-56A93F067ACD}" name="Operating Condition 1 (Hz)"/>
    <tableColumn id="2" xr3:uid="{7B17124F-B186-4972-9622-DA4EB917A9BB}" name="P1-P2 (in. H2O)" dataDxfId="0"/>
    <tableColumn id="3" xr3:uid="{61C5D16A-EE1A-4662-ABDE-9BF3623BF9D9}" name="Standard Deviation of P1-P2 (in. H2O)"/>
    <tableColumn id="4" xr3:uid="{AF3F84EE-C793-443C-A6B9-F0102C82CAB3}" name="Statistical Uncertainty in P1-P2 (in. H2O)">
      <calculatedColumnFormula>2*C24</calculatedColumnFormula>
    </tableColumn>
    <tableColumn id="5" xr3:uid="{9BD48915-D28C-4156-B0AC-982D5A2E26C0}" name="RSS Propegated Uncertainty in P1-P2 (in. H2O)"/>
    <tableColumn id="6" xr3:uid="{F6F081DD-52F3-4944-BF18-00B90CFF7895}" name="Corresponding q (in. H2O)">
      <calculatedColumnFormula>Table4[[#This Row],[P1-P2 (in. H2O)]]*A18+A20</calculatedColumnFormula>
    </tableColumn>
    <tableColumn id="7" xr3:uid="{2960AAC2-64AF-43CF-896F-40341788CAB1}" name="Reynolds Number (sutherlands formula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F69" zoomScale="92" zoomScaleNormal="100" workbookViewId="0">
      <selection activeCell="M73" sqref="M73"/>
    </sheetView>
  </sheetViews>
  <sheetFormatPr baseColWidth="10" defaultColWidth="8.83203125" defaultRowHeight="15" x14ac:dyDescent="0.2"/>
  <cols>
    <col min="1" max="1" width="25.6640625" bestFit="1" customWidth="1"/>
    <col min="2" max="2" width="16.5" bestFit="1" customWidth="1"/>
    <col min="3" max="3" width="34.83203125" bestFit="1" customWidth="1"/>
    <col min="4" max="4" width="37.5" bestFit="1" customWidth="1"/>
    <col min="5" max="5" width="42.33203125" customWidth="1"/>
    <col min="6" max="6" width="44.1640625" bestFit="1" customWidth="1"/>
    <col min="7" max="7" width="37.33203125" bestFit="1" customWidth="1"/>
    <col min="8" max="8" width="29.5" bestFit="1" customWidth="1"/>
    <col min="9" max="9" width="34.5" bestFit="1" customWidth="1"/>
    <col min="10" max="10" width="36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4.7</v>
      </c>
      <c r="B2">
        <v>2.399</v>
      </c>
      <c r="C2">
        <v>3.2000000000000001E-2</v>
      </c>
      <c r="D2">
        <f>2*Table2[[#This Row],[Standard Deviation of V]]</f>
        <v>6.4000000000000001E-2</v>
      </c>
      <c r="E2">
        <v>0.05</v>
      </c>
    </row>
    <row r="3" spans="1:5" x14ac:dyDescent="0.2">
      <c r="A3">
        <v>1.7</v>
      </c>
      <c r="B3">
        <v>0.874</v>
      </c>
      <c r="C3">
        <v>2.7E-2</v>
      </c>
      <c r="D3">
        <f>2*Table2[[#This Row],[Standard Deviation of V]]</f>
        <v>5.3999999999999999E-2</v>
      </c>
      <c r="E3">
        <v>0.05</v>
      </c>
    </row>
    <row r="4" spans="1:5" x14ac:dyDescent="0.2">
      <c r="A4">
        <v>-3.9</v>
      </c>
      <c r="B4">
        <v>-1.913</v>
      </c>
      <c r="C4">
        <v>2.7E-2</v>
      </c>
      <c r="D4">
        <f>2*Table2[[#This Row],[Standard Deviation of V]]</f>
        <v>5.3999999999999999E-2</v>
      </c>
      <c r="E4">
        <v>0.05</v>
      </c>
    </row>
    <row r="5" spans="1:5" x14ac:dyDescent="0.2">
      <c r="A5" s="2"/>
      <c r="C5" s="2"/>
    </row>
    <row r="6" spans="1:5" x14ac:dyDescent="0.2">
      <c r="A6" s="2"/>
      <c r="C6" s="2"/>
    </row>
    <row r="7" spans="1:5" x14ac:dyDescent="0.2">
      <c r="A7" s="2"/>
      <c r="C7" s="2"/>
    </row>
    <row r="9" spans="1:5" x14ac:dyDescent="0.2">
      <c r="A9" s="6" t="s">
        <v>24</v>
      </c>
      <c r="B9" s="6"/>
      <c r="D9" t="s">
        <v>26</v>
      </c>
    </row>
    <row r="10" spans="1:5" ht="16" x14ac:dyDescent="0.2">
      <c r="A10" s="1" t="s">
        <v>5</v>
      </c>
      <c r="B10" t="s">
        <v>6</v>
      </c>
      <c r="D10" t="s">
        <v>27</v>
      </c>
      <c r="E10" t="s">
        <v>28</v>
      </c>
    </row>
    <row r="11" spans="1:5" x14ac:dyDescent="0.2">
      <c r="A11">
        <f>SLOPE(A2:A4,B2:B4)</f>
        <v>1.9962603801154404</v>
      </c>
      <c r="B11" s="3"/>
      <c r="D11">
        <v>23</v>
      </c>
      <c r="E11">
        <v>1013</v>
      </c>
    </row>
    <row r="12" spans="1:5" x14ac:dyDescent="0.2">
      <c r="A12" t="s">
        <v>7</v>
      </c>
      <c r="B12" t="s">
        <v>6</v>
      </c>
      <c r="D12" t="s">
        <v>29</v>
      </c>
    </row>
    <row r="13" spans="1:5" x14ac:dyDescent="0.2">
      <c r="A13">
        <f>INTERCEPT(Table2[P (in. H20)],Table2[V (Volts)])</f>
        <v>-7.163803898566623E-2</v>
      </c>
      <c r="D13" s="5">
        <v>0.47</v>
      </c>
    </row>
    <row r="14" spans="1:5" x14ac:dyDescent="0.2">
      <c r="E14" t="s">
        <v>30</v>
      </c>
    </row>
    <row r="16" spans="1:5" x14ac:dyDescent="0.2">
      <c r="A16" s="6" t="s">
        <v>23</v>
      </c>
      <c r="B16" s="6"/>
    </row>
    <row r="17" spans="1:11" ht="16" x14ac:dyDescent="0.2">
      <c r="A17" s="1" t="s">
        <v>5</v>
      </c>
      <c r="B17" t="s">
        <v>6</v>
      </c>
    </row>
    <row r="18" spans="1:11" x14ac:dyDescent="0.2">
      <c r="A18">
        <v>0.57130000000000003</v>
      </c>
      <c r="B18">
        <v>2.5106E-2</v>
      </c>
    </row>
    <row r="19" spans="1:11" x14ac:dyDescent="0.2">
      <c r="A19" t="s">
        <v>7</v>
      </c>
      <c r="B19" t="s">
        <v>6</v>
      </c>
    </row>
    <row r="20" spans="1:11" x14ac:dyDescent="0.2">
      <c r="A20">
        <v>-0.29599999999999999</v>
      </c>
      <c r="B20">
        <v>0.121</v>
      </c>
    </row>
    <row r="23" spans="1:11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25</v>
      </c>
    </row>
    <row r="24" spans="1:11" x14ac:dyDescent="0.2">
      <c r="A24">
        <v>35</v>
      </c>
      <c r="B24">
        <v>2.7010000000000001</v>
      </c>
      <c r="C24">
        <v>6.9000000000000006E-2</v>
      </c>
      <c r="D24">
        <f>2*C24</f>
        <v>0.13800000000000001</v>
      </c>
      <c r="F24">
        <f>Table4[[#This Row],[P1-P2 (in. H2O)]]*A18+A20</f>
        <v>1.2470813000000001</v>
      </c>
    </row>
    <row r="26" spans="1:11" ht="17" x14ac:dyDescent="0.25">
      <c r="A26" t="s">
        <v>20</v>
      </c>
      <c r="B26" t="s">
        <v>21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22</v>
      </c>
    </row>
    <row r="27" spans="1:11" x14ac:dyDescent="0.2">
      <c r="A27" s="4">
        <v>0</v>
      </c>
      <c r="B27" s="4">
        <f>RADIANS(Table1[[#This Row],[Theta (Degrees)]])</f>
        <v>0</v>
      </c>
      <c r="C27">
        <f>180-Table1[[#This Row],[Theta (Degrees)]]</f>
        <v>180</v>
      </c>
      <c r="D27">
        <f>RADIANS(Table1[[#This Row],[Beta (Degrees)]])</f>
        <v>3.1415926535897931</v>
      </c>
      <c r="E27">
        <v>-1.1020000000000001</v>
      </c>
      <c r="F27">
        <v>7.0999999999999994E-2</v>
      </c>
      <c r="G27" s="4">
        <f>2*Table1[[#This Row],[Standard Deviation in Pcyl-Pwall (in. H2O)]]</f>
        <v>0.14199999999999999</v>
      </c>
      <c r="H27" s="4"/>
      <c r="I27" s="4" cm="1">
        <f t="array" ref="I27">Table1[[#This Row],[Pcyl-Pwall (in. H2O)]]/Table4[Corresponding q (in. H2O)]</f>
        <v>-0.88366331850216984</v>
      </c>
    </row>
    <row r="28" spans="1:11" x14ac:dyDescent="0.2">
      <c r="A28" s="4">
        <v>10</v>
      </c>
      <c r="B28" s="4">
        <f>RADIANS(Table1[[#This Row],[Theta (Degrees)]])</f>
        <v>0.17453292519943295</v>
      </c>
      <c r="C28" s="2">
        <f>180-Table1[[#This Row],[Theta (Degrees)]]</f>
        <v>170</v>
      </c>
      <c r="D28" s="2">
        <f>RADIANS(Table1[[#This Row],[Beta (Degrees)]])</f>
        <v>2.9670597283903604</v>
      </c>
      <c r="E28">
        <v>-1.472</v>
      </c>
      <c r="F28">
        <v>7.2999999999999995E-2</v>
      </c>
      <c r="G28" s="4">
        <f>2*Table1[[#This Row],[Standard Deviation in Pcyl-Pwall (in. H2O)]]</f>
        <v>0.14599999999999999</v>
      </c>
      <c r="H28" s="4"/>
      <c r="I28" s="4" cm="1">
        <f t="array" ref="I28">Table1[[#This Row],[Pcyl-Pwall (in. H2O)]]/Table4[Corresponding q (in. H2O)]</f>
        <v>-1.1803560842424627</v>
      </c>
    </row>
    <row r="29" spans="1:11" x14ac:dyDescent="0.2">
      <c r="A29" s="4">
        <v>20</v>
      </c>
      <c r="B29" s="4">
        <f>RADIANS(Table1[[#This Row],[Theta (Degrees)]])</f>
        <v>0.3490658503988659</v>
      </c>
      <c r="C29" s="2">
        <f>180-Table1[[#This Row],[Theta (Degrees)]]</f>
        <v>160</v>
      </c>
      <c r="D29" s="2">
        <f>RADIANS(Table1[[#This Row],[Beta (Degrees)]])</f>
        <v>2.7925268031909272</v>
      </c>
      <c r="E29">
        <v>-1.47</v>
      </c>
      <c r="F29">
        <v>8.3000000000000004E-2</v>
      </c>
      <c r="G29" s="4">
        <f>2*Table1[[#This Row],[Standard Deviation in Pcyl-Pwall (in. H2O)]]</f>
        <v>0.16600000000000001</v>
      </c>
      <c r="H29" s="4"/>
      <c r="I29" s="4" cm="1">
        <f t="array" ref="I29">Table1[[#This Row],[Pcyl-Pwall (in. H2O)]]/Table4[Corresponding q (in. H2O)]</f>
        <v>-1.1787523395627855</v>
      </c>
      <c r="J29" s="2"/>
    </row>
    <row r="30" spans="1:11" x14ac:dyDescent="0.2">
      <c r="A30" s="4">
        <v>30</v>
      </c>
      <c r="B30" s="4">
        <f>RADIANS(Table1[[#This Row],[Theta (Degrees)]])</f>
        <v>0.52359877559829882</v>
      </c>
      <c r="C30" s="2">
        <f>180-Table1[[#This Row],[Theta (Degrees)]]</f>
        <v>150</v>
      </c>
      <c r="D30" s="2">
        <f>RADIANS(Table1[[#This Row],[Beta (Degrees)]])</f>
        <v>2.6179938779914944</v>
      </c>
      <c r="E30">
        <v>-1.349</v>
      </c>
      <c r="F30">
        <v>9.7000000000000003E-2</v>
      </c>
      <c r="G30" s="4">
        <f>2*Table1[[#This Row],[Standard Deviation in Pcyl-Pwall (in. H2O)]]</f>
        <v>0.19400000000000001</v>
      </c>
      <c r="H30" s="4"/>
      <c r="I30" s="4" cm="1">
        <f t="array" ref="I30">Table1[[#This Row],[Pcyl-Pwall (in. H2O)]]/Table4[Corresponding q (in. H2O)]</f>
        <v>-1.0817257864423113</v>
      </c>
      <c r="K30" s="2"/>
    </row>
    <row r="31" spans="1:11" x14ac:dyDescent="0.2">
      <c r="A31" s="4">
        <v>40</v>
      </c>
      <c r="B31" s="4">
        <f>RADIANS(Table1[[#This Row],[Theta (Degrees)]])</f>
        <v>0.69813170079773179</v>
      </c>
      <c r="C31" s="2">
        <f>180-Table1[[#This Row],[Theta (Degrees)]]</f>
        <v>140</v>
      </c>
      <c r="D31" s="2">
        <f>RADIANS(Table1[[#This Row],[Beta (Degrees)]])</f>
        <v>2.4434609527920612</v>
      </c>
      <c r="E31">
        <v>-1.2769999999999999</v>
      </c>
      <c r="F31">
        <v>9.4E-2</v>
      </c>
      <c r="G31" s="4">
        <f>2*Table1[[#This Row],[Standard Deviation in Pcyl-Pwall (in. H2O)]]</f>
        <v>0.188</v>
      </c>
      <c r="H31" s="4"/>
      <c r="I31" s="4" cm="1">
        <f t="array" ref="I31">Table1[[#This Row],[Pcyl-Pwall (in. H2O)]]/Table4[Corresponding q (in. H2O)]</f>
        <v>-1.0239909779739298</v>
      </c>
      <c r="J31" s="2"/>
      <c r="K31" s="2"/>
    </row>
    <row r="32" spans="1:11" x14ac:dyDescent="0.2">
      <c r="A32" s="4">
        <v>50</v>
      </c>
      <c r="B32" s="4">
        <f>RADIANS(Table1[[#This Row],[Theta (Degrees)]])</f>
        <v>0.87266462599716477</v>
      </c>
      <c r="C32" s="2">
        <f>180-Table1[[#This Row],[Theta (Degrees)]]</f>
        <v>130</v>
      </c>
      <c r="D32" s="2">
        <f>RADIANS(Table1[[#This Row],[Beta (Degrees)]])</f>
        <v>2.2689280275926285</v>
      </c>
      <c r="E32">
        <v>-1.252</v>
      </c>
      <c r="F32">
        <v>8.4000000000000005E-2</v>
      </c>
      <c r="G32" s="4">
        <f>2*Table1[[#This Row],[Standard Deviation in Pcyl-Pwall (in. H2O)]]</f>
        <v>0.16800000000000001</v>
      </c>
      <c r="H32" s="4"/>
      <c r="I32" s="4" cm="1">
        <f t="array" ref="I32">Table1[[#This Row],[Pcyl-Pwall (in. H2O)]]/Table4[Corresponding q (in. H2O)]</f>
        <v>-1.0039441694779643</v>
      </c>
      <c r="J32" s="2"/>
      <c r="K32" s="2"/>
    </row>
    <row r="33" spans="1:11" x14ac:dyDescent="0.2">
      <c r="A33" s="4">
        <v>60</v>
      </c>
      <c r="B33" s="4">
        <f>RADIANS(Table1[[#This Row],[Theta (Degrees)]])</f>
        <v>1.0471975511965976</v>
      </c>
      <c r="C33" s="2">
        <f>180-Table1[[#This Row],[Theta (Degrees)]]</f>
        <v>120</v>
      </c>
      <c r="D33" s="2">
        <f>RADIANS(Table1[[#This Row],[Beta (Degrees)]])</f>
        <v>2.0943951023931953</v>
      </c>
      <c r="E33">
        <v>-1.2749999999999999</v>
      </c>
      <c r="F33">
        <v>7.9000000000000001E-2</v>
      </c>
      <c r="G33" s="4">
        <f>2*Table1[[#This Row],[Standard Deviation in Pcyl-Pwall (in. H2O)]]</f>
        <v>0.158</v>
      </c>
      <c r="H33" s="4"/>
      <c r="I33" s="4" cm="1">
        <f t="array" ref="I33">Table1[[#This Row],[Pcyl-Pwall (in. H2O)]]/Table4[Corresponding q (in. H2O)]</f>
        <v>-1.0223872332942525</v>
      </c>
      <c r="J33" s="2"/>
      <c r="K33" s="2"/>
    </row>
    <row r="34" spans="1:11" x14ac:dyDescent="0.2">
      <c r="A34" s="4">
        <v>70</v>
      </c>
      <c r="B34" s="4">
        <f>RADIANS(Table1[[#This Row],[Theta (Degrees)]])</f>
        <v>1.2217304763960306</v>
      </c>
      <c r="C34" s="2">
        <f>180-Table1[[#This Row],[Theta (Degrees)]]</f>
        <v>110</v>
      </c>
      <c r="D34" s="2">
        <f>RADIANS(Table1[[#This Row],[Beta (Degrees)]])</f>
        <v>1.9198621771937625</v>
      </c>
      <c r="E34">
        <v>-1.2729999999999999</v>
      </c>
      <c r="F34">
        <v>9.7000000000000003E-2</v>
      </c>
      <c r="G34" s="4">
        <f>2*Table1[[#This Row],[Standard Deviation in Pcyl-Pwall (in. H2O)]]</f>
        <v>0.19400000000000001</v>
      </c>
      <c r="H34" s="4"/>
      <c r="I34" s="4" cm="1">
        <f t="array" ref="I34">Table1[[#This Row],[Pcyl-Pwall (in. H2O)]]/Table4[Corresponding q (in. H2O)]</f>
        <v>-1.0207834886145755</v>
      </c>
      <c r="J34" s="2"/>
      <c r="K34" s="2"/>
    </row>
    <row r="35" spans="1:11" x14ac:dyDescent="0.2">
      <c r="A35" s="4">
        <v>80</v>
      </c>
      <c r="B35" s="4">
        <f>RADIANS(Table1[[#This Row],[Theta (Degrees)]])</f>
        <v>1.3962634015954636</v>
      </c>
      <c r="C35" s="2">
        <f>180-Table1[[#This Row],[Theta (Degrees)]]</f>
        <v>100</v>
      </c>
      <c r="D35" s="2">
        <f>RADIANS(Table1[[#This Row],[Beta (Degrees)]])</f>
        <v>1.7453292519943295</v>
      </c>
      <c r="E35">
        <v>-1.3</v>
      </c>
      <c r="F35">
        <v>8.1000000000000003E-2</v>
      </c>
      <c r="G35" s="4">
        <f>2*Table1[[#This Row],[Standard Deviation in Pcyl-Pwall (in. H2O)]]</f>
        <v>0.16200000000000001</v>
      </c>
      <c r="H35" s="4"/>
      <c r="I35" s="4" cm="1">
        <f t="array" ref="I35">Table1[[#This Row],[Pcyl-Pwall (in. H2O)]]/Table4[Corresponding q (in. H2O)]</f>
        <v>-1.0424340417902185</v>
      </c>
      <c r="J35" s="2"/>
      <c r="K35" s="2"/>
    </row>
    <row r="36" spans="1:11" x14ac:dyDescent="0.2">
      <c r="A36" s="4">
        <v>90</v>
      </c>
      <c r="B36" s="4">
        <f>RADIANS(Table1[[#This Row],[Theta (Degrees)]])</f>
        <v>1.5707963267948966</v>
      </c>
      <c r="C36" s="2">
        <f>180-Table1[[#This Row],[Theta (Degrees)]]</f>
        <v>90</v>
      </c>
      <c r="D36" s="2">
        <f>RADIANS(Table1[[#This Row],[Beta (Degrees)]])</f>
        <v>1.5707963267948966</v>
      </c>
      <c r="E36">
        <v>-1.3260000000000001</v>
      </c>
      <c r="F36">
        <v>9.2999999999999999E-2</v>
      </c>
      <c r="G36" s="4">
        <f>2*Table1[[#This Row],[Standard Deviation in Pcyl-Pwall (in. H2O)]]</f>
        <v>0.186</v>
      </c>
      <c r="H36" s="4"/>
      <c r="I36" s="4" cm="1">
        <f t="array" ref="I36">Table1[[#This Row],[Pcyl-Pwall (in. H2O)]]/Table4[Corresponding q (in. H2O)]</f>
        <v>-1.0632827226260229</v>
      </c>
      <c r="J36" s="2"/>
      <c r="K36" s="2"/>
    </row>
    <row r="37" spans="1:11" x14ac:dyDescent="0.2">
      <c r="A37" s="4">
        <v>100</v>
      </c>
      <c r="B37" s="4">
        <f>RADIANS(Table1[[#This Row],[Theta (Degrees)]])</f>
        <v>1.7453292519943295</v>
      </c>
      <c r="C37" s="2">
        <f>180-Table1[[#This Row],[Theta (Degrees)]]</f>
        <v>80</v>
      </c>
      <c r="D37" s="2">
        <f>RADIANS(Table1[[#This Row],[Beta (Degrees)]])</f>
        <v>1.3962634015954636</v>
      </c>
      <c r="E37">
        <v>-1.357</v>
      </c>
      <c r="F37">
        <v>0.11</v>
      </c>
      <c r="G37" s="4">
        <f>2*Table1[[#This Row],[Standard Deviation in Pcyl-Pwall (in. H2O)]]</f>
        <v>0.22</v>
      </c>
      <c r="H37" s="4"/>
      <c r="I37" s="4" cm="1">
        <f t="array" ref="I37">Table1[[#This Row],[Pcyl-Pwall (in. H2O)]]/Table4[Corresponding q (in. H2O)]</f>
        <v>-1.0881407651610202</v>
      </c>
      <c r="J37" s="2"/>
      <c r="K37" s="2"/>
    </row>
    <row r="38" spans="1:11" x14ac:dyDescent="0.2">
      <c r="A38" s="4">
        <v>110</v>
      </c>
      <c r="B38" s="4">
        <f>RADIANS(Table1[[#This Row],[Theta (Degrees)]])</f>
        <v>1.9198621771937625</v>
      </c>
      <c r="C38" s="2">
        <f>180-Table1[[#This Row],[Theta (Degrees)]]</f>
        <v>70</v>
      </c>
      <c r="D38" s="2">
        <f>RADIANS(Table1[[#This Row],[Beta (Degrees)]])</f>
        <v>1.2217304763960306</v>
      </c>
      <c r="E38">
        <v>-1.32</v>
      </c>
      <c r="F38">
        <v>0.11600000000000001</v>
      </c>
      <c r="G38" s="4">
        <f>2*Table1[[#This Row],[Standard Deviation in Pcyl-Pwall (in. H2O)]]</f>
        <v>0.23200000000000001</v>
      </c>
      <c r="H38" s="4"/>
      <c r="I38" s="4" cm="1">
        <f t="array" ref="I38">Table1[[#This Row],[Pcyl-Pwall (in. H2O)]]/Table4[Corresponding q (in. H2O)]</f>
        <v>-1.058471488586991</v>
      </c>
      <c r="J38" s="2"/>
      <c r="K38" s="2"/>
    </row>
    <row r="39" spans="1:11" x14ac:dyDescent="0.2">
      <c r="A39" s="4">
        <v>120</v>
      </c>
      <c r="B39" s="4">
        <f>RADIANS(Table1[[#This Row],[Theta (Degrees)]])</f>
        <v>2.0943951023931953</v>
      </c>
      <c r="C39" s="2">
        <f>180-Table1[[#This Row],[Theta (Degrees)]]</f>
        <v>60</v>
      </c>
      <c r="D39" s="2">
        <f>RADIANS(Table1[[#This Row],[Beta (Degrees)]])</f>
        <v>1.0471975511965976</v>
      </c>
      <c r="E39">
        <v>-1.411</v>
      </c>
      <c r="F39">
        <v>0.11700000000000001</v>
      </c>
      <c r="G39" s="4">
        <f>2*Table1[[#This Row],[Standard Deviation in Pcyl-Pwall (in. H2O)]]</f>
        <v>0.23400000000000001</v>
      </c>
      <c r="H39" s="4"/>
      <c r="I39" s="4" cm="1">
        <f t="array" ref="I39">Table1[[#This Row],[Pcyl-Pwall (in. H2O)]]/Table4[Corresponding q (in. H2O)]</f>
        <v>-1.1314418715123062</v>
      </c>
      <c r="J39" s="2"/>
      <c r="K39" s="2"/>
    </row>
    <row r="40" spans="1:11" x14ac:dyDescent="0.2">
      <c r="A40" s="4">
        <v>130</v>
      </c>
      <c r="B40" s="4">
        <f>RADIANS(Table1[[#This Row],[Theta (Degrees)]])</f>
        <v>2.2689280275926285</v>
      </c>
      <c r="C40" s="2">
        <f>180-Table1[[#This Row],[Theta (Degrees)]]</f>
        <v>50</v>
      </c>
      <c r="D40" s="2">
        <f>RADIANS(Table1[[#This Row],[Beta (Degrees)]])</f>
        <v>0.87266462599716477</v>
      </c>
      <c r="E40">
        <v>-1.43</v>
      </c>
      <c r="F40">
        <v>0.108</v>
      </c>
      <c r="G40" s="4">
        <f>2*Table1[[#This Row],[Standard Deviation in Pcyl-Pwall (in. H2O)]]</f>
        <v>0.216</v>
      </c>
      <c r="H40" s="4"/>
      <c r="I40" s="4" cm="1">
        <f t="array" ref="I40">Table1[[#This Row],[Pcyl-Pwall (in. H2O)]]/Table4[Corresponding q (in. H2O)]</f>
        <v>-1.1466774459692401</v>
      </c>
      <c r="J40" s="2"/>
      <c r="K40" s="2"/>
    </row>
    <row r="41" spans="1:11" x14ac:dyDescent="0.2">
      <c r="A41" s="4">
        <v>140</v>
      </c>
      <c r="B41" s="4">
        <f>RADIANS(Table1[[#This Row],[Theta (Degrees)]])</f>
        <v>2.4434609527920612</v>
      </c>
      <c r="C41" s="2">
        <f>180-Table1[[#This Row],[Theta (Degrees)]]</f>
        <v>40</v>
      </c>
      <c r="D41" s="2">
        <f>RADIANS(Table1[[#This Row],[Beta (Degrees)]])</f>
        <v>0.69813170079773179</v>
      </c>
      <c r="E41">
        <v>-1.385</v>
      </c>
      <c r="F41">
        <v>0.105</v>
      </c>
      <c r="G41" s="4">
        <f>2*Table1[[#This Row],[Standard Deviation in Pcyl-Pwall (in. H2O)]]</f>
        <v>0.21</v>
      </c>
      <c r="H41" s="4"/>
      <c r="I41" s="4" cm="1">
        <f t="array" ref="I41">Table1[[#This Row],[Pcyl-Pwall (in. H2O)]]/Table4[Corresponding q (in. H2O)]</f>
        <v>-1.1105931906765019</v>
      </c>
      <c r="J41" s="2"/>
      <c r="K41" s="2"/>
    </row>
    <row r="42" spans="1:11" x14ac:dyDescent="0.2">
      <c r="A42" s="4">
        <v>150</v>
      </c>
      <c r="B42" s="4">
        <f>RADIANS(Table1[[#This Row],[Theta (Degrees)]])</f>
        <v>2.6179938779914944</v>
      </c>
      <c r="C42" s="2">
        <f>180-Table1[[#This Row],[Theta (Degrees)]]</f>
        <v>30</v>
      </c>
      <c r="D42" s="2">
        <f>RADIANS(Table1[[#This Row],[Beta (Degrees)]])</f>
        <v>0.52359877559829882</v>
      </c>
      <c r="E42">
        <v>-1.363</v>
      </c>
      <c r="F42">
        <v>0.10199999999999999</v>
      </c>
      <c r="G42" s="4">
        <f>2*Table1[[#This Row],[Standard Deviation in Pcyl-Pwall (in. H2O)]]</f>
        <v>0.20399999999999999</v>
      </c>
      <c r="H42" s="4"/>
      <c r="I42" s="4" cm="1">
        <f t="array" ref="I42">Table1[[#This Row],[Pcyl-Pwall (in. H2O)]]/Table4[Corresponding q (in. H2O)]</f>
        <v>-1.092951999200052</v>
      </c>
    </row>
    <row r="43" spans="1:11" x14ac:dyDescent="0.2">
      <c r="A43" s="4">
        <v>160</v>
      </c>
      <c r="B43" s="4">
        <f>RADIANS(Table1[[#This Row],[Theta (Degrees)]])</f>
        <v>2.7925268031909272</v>
      </c>
      <c r="C43" s="2">
        <f>180-Table1[[#This Row],[Theta (Degrees)]]</f>
        <v>20</v>
      </c>
      <c r="D43" s="2">
        <f>RADIANS(Table1[[#This Row],[Beta (Degrees)]])</f>
        <v>0.3490658503988659</v>
      </c>
      <c r="E43">
        <v>-1.3240000000000001</v>
      </c>
      <c r="F43">
        <v>9.9000000000000005E-2</v>
      </c>
      <c r="G43" s="4">
        <f>2*Table1[[#This Row],[Standard Deviation in Pcyl-Pwall (in. H2O)]]</f>
        <v>0.19800000000000001</v>
      </c>
      <c r="H43" s="4"/>
      <c r="I43" s="4" cm="1">
        <f t="array" ref="I43">Table1[[#This Row],[Pcyl-Pwall (in. H2O)]]/Table4[Corresponding q (in. H2O)]</f>
        <v>-1.0616789779463456</v>
      </c>
    </row>
    <row r="44" spans="1:11" x14ac:dyDescent="0.2">
      <c r="A44" s="4">
        <v>170</v>
      </c>
      <c r="B44" s="4">
        <f>RADIANS(Table1[[#This Row],[Theta (Degrees)]])</f>
        <v>2.9670597283903604</v>
      </c>
      <c r="C44" s="2">
        <f>180-Table1[[#This Row],[Theta (Degrees)]]</f>
        <v>10</v>
      </c>
      <c r="D44" s="2">
        <f>RADIANS(Table1[[#This Row],[Beta (Degrees)]])</f>
        <v>0.17453292519943295</v>
      </c>
      <c r="E44">
        <v>-1.3260000000000001</v>
      </c>
      <c r="F44">
        <v>8.7999999999999995E-2</v>
      </c>
      <c r="G44" s="4">
        <f>2*Table1[[#This Row],[Standard Deviation in Pcyl-Pwall (in. H2O)]]</f>
        <v>0.17599999999999999</v>
      </c>
      <c r="H44" s="4"/>
      <c r="I44" s="4" cm="1">
        <f t="array" ref="I44">Table1[[#This Row],[Pcyl-Pwall (in. H2O)]]/Table4[Corresponding q (in. H2O)]</f>
        <v>-1.0632827226260229</v>
      </c>
    </row>
    <row r="45" spans="1:11" x14ac:dyDescent="0.2">
      <c r="A45" s="4">
        <v>180</v>
      </c>
      <c r="B45" s="4">
        <f>RADIANS(Table1[[#This Row],[Theta (Degrees)]])</f>
        <v>3.1415926535897931</v>
      </c>
      <c r="C45" s="2">
        <f>180-Table1[[#This Row],[Theta (Degrees)]]</f>
        <v>0</v>
      </c>
      <c r="D45" s="2">
        <f>RADIANS(Table1[[#This Row],[Beta (Degrees)]])</f>
        <v>0</v>
      </c>
      <c r="E45">
        <v>-1.292</v>
      </c>
      <c r="F45">
        <v>8.5000000000000006E-2</v>
      </c>
      <c r="G45" s="4">
        <f>2*Table1[[#This Row],[Standard Deviation in Pcyl-Pwall (in. H2O)]]</f>
        <v>0.17</v>
      </c>
      <c r="H45" s="4"/>
      <c r="I45" s="4" cm="1">
        <f t="array" ref="I45">Table1[[#This Row],[Pcyl-Pwall (in. H2O)]]/Table4[Corresponding q (in. H2O)]</f>
        <v>-1.0360190630715094</v>
      </c>
    </row>
    <row r="46" spans="1:11" x14ac:dyDescent="0.2">
      <c r="A46" s="4">
        <v>190</v>
      </c>
      <c r="B46" s="4">
        <f>RADIANS(Table1[[#This Row],[Theta (Degrees)]])</f>
        <v>3.3161255787892263</v>
      </c>
      <c r="C46" s="2">
        <f>180-Table1[[#This Row],[Theta (Degrees)]]</f>
        <v>-10</v>
      </c>
      <c r="D46" s="2">
        <f>RADIANS(Table1[[#This Row],[Beta (Degrees)]])</f>
        <v>-0.17453292519943295</v>
      </c>
      <c r="E46">
        <v>-1.266</v>
      </c>
      <c r="F46">
        <v>7.8E-2</v>
      </c>
      <c r="G46" s="4">
        <f>2*Table1[[#This Row],[Standard Deviation in Pcyl-Pwall (in. H2O)]]</f>
        <v>0.156</v>
      </c>
      <c r="H46" s="4"/>
      <c r="I46" s="4" cm="1">
        <f t="array" ref="I46">Table1[[#This Row],[Pcyl-Pwall (in. H2O)]]/Table4[Corresponding q (in. H2O)]</f>
        <v>-1.015170382235705</v>
      </c>
    </row>
    <row r="47" spans="1:11" x14ac:dyDescent="0.2">
      <c r="A47" s="4">
        <v>200</v>
      </c>
      <c r="B47" s="4">
        <f>RADIANS(Table1[[#This Row],[Theta (Degrees)]])</f>
        <v>3.4906585039886591</v>
      </c>
      <c r="C47" s="2">
        <f>180-Table1[[#This Row],[Theta (Degrees)]]</f>
        <v>-20</v>
      </c>
      <c r="D47" s="2">
        <f>RADIANS(Table1[[#This Row],[Beta (Degrees)]])</f>
        <v>-0.3490658503988659</v>
      </c>
      <c r="E47">
        <v>-1.2330000000000001</v>
      </c>
      <c r="F47">
        <v>8.3000000000000004E-2</v>
      </c>
      <c r="G47" s="4">
        <f>2*Table1[[#This Row],[Standard Deviation in Pcyl-Pwall (in. H2O)]]</f>
        <v>0.16600000000000001</v>
      </c>
      <c r="H47" s="4"/>
      <c r="I47" s="4" cm="1">
        <f t="array" ref="I47">Table1[[#This Row],[Pcyl-Pwall (in. H2O)]]/Table4[Corresponding q (in. H2O)]</f>
        <v>-0.98870859502103037</v>
      </c>
    </row>
    <row r="48" spans="1:11" x14ac:dyDescent="0.2">
      <c r="A48" s="4">
        <v>210</v>
      </c>
      <c r="B48" s="4">
        <f>RADIANS(Table1[[#This Row],[Theta (Degrees)]])</f>
        <v>3.6651914291880923</v>
      </c>
      <c r="C48" s="2">
        <f>180-Table1[[#This Row],[Theta (Degrees)]]</f>
        <v>-30</v>
      </c>
      <c r="D48" s="2">
        <f>RADIANS(Table1[[#This Row],[Beta (Degrees)]])</f>
        <v>-0.52359877559829882</v>
      </c>
      <c r="E48">
        <v>-1.25</v>
      </c>
      <c r="F48">
        <v>8.8999999999999996E-2</v>
      </c>
      <c r="G48" s="4">
        <f>2*Table1[[#This Row],[Standard Deviation in Pcyl-Pwall (in. H2O)]]</f>
        <v>0.17799999999999999</v>
      </c>
      <c r="H48" s="4"/>
      <c r="I48" s="4" cm="1">
        <f t="array" ref="I48">Table1[[#This Row],[Pcyl-Pwall (in. H2O)]]/Table4[Corresponding q (in. H2O)]</f>
        <v>-1.002340424798287</v>
      </c>
    </row>
    <row r="49" spans="1:9" x14ac:dyDescent="0.2">
      <c r="A49" s="4">
        <v>220</v>
      </c>
      <c r="B49" s="4">
        <f>RADIANS(Table1[[#This Row],[Theta (Degrees)]])</f>
        <v>3.839724354387525</v>
      </c>
      <c r="C49" s="2">
        <f>180-Table1[[#This Row],[Theta (Degrees)]]</f>
        <v>-40</v>
      </c>
      <c r="D49" s="2">
        <f>RADIANS(Table1[[#This Row],[Beta (Degrees)]])</f>
        <v>-0.69813170079773179</v>
      </c>
      <c r="E49">
        <v>-1.3280000000000001</v>
      </c>
      <c r="F49">
        <v>9.7000000000000003E-2</v>
      </c>
      <c r="G49" s="4">
        <f>2*Table1[[#This Row],[Standard Deviation in Pcyl-Pwall (in. H2O)]]</f>
        <v>0.19400000000000001</v>
      </c>
      <c r="H49" s="4"/>
      <c r="I49" s="4" cm="1">
        <f t="array" ref="I49">Table1[[#This Row],[Pcyl-Pwall (in. H2O)]]/Table4[Corresponding q (in. H2O)]</f>
        <v>-1.0648864673057001</v>
      </c>
    </row>
    <row r="50" spans="1:9" x14ac:dyDescent="0.2">
      <c r="A50" s="4">
        <v>230</v>
      </c>
      <c r="B50" s="4">
        <f>RADIANS(Table1[[#This Row],[Theta (Degrees)]])</f>
        <v>4.0142572795869578</v>
      </c>
      <c r="C50" s="2">
        <f>180-Table1[[#This Row],[Theta (Degrees)]]</f>
        <v>-50</v>
      </c>
      <c r="D50" s="2">
        <f>RADIANS(Table1[[#This Row],[Beta (Degrees)]])</f>
        <v>-0.87266462599716477</v>
      </c>
      <c r="E50">
        <v>-1.4610000000000001</v>
      </c>
      <c r="F50">
        <v>0.10199999999999999</v>
      </c>
      <c r="G50" s="4">
        <f>2*Table1[[#This Row],[Standard Deviation in Pcyl-Pwall (in. H2O)]]</f>
        <v>0.20399999999999999</v>
      </c>
      <c r="H50" s="4"/>
      <c r="I50" s="4" cm="1">
        <f t="array" ref="I50">Table1[[#This Row],[Pcyl-Pwall (in. H2O)]]/Table4[Corresponding q (in. H2O)]</f>
        <v>-1.1715354885042379</v>
      </c>
    </row>
    <row r="51" spans="1:9" x14ac:dyDescent="0.2">
      <c r="A51" s="4">
        <v>240</v>
      </c>
      <c r="B51" s="4">
        <f>RADIANS(Table1[[#This Row],[Theta (Degrees)]])</f>
        <v>4.1887902047863905</v>
      </c>
      <c r="C51" s="2">
        <f>180-Table1[[#This Row],[Theta (Degrees)]]</f>
        <v>-60</v>
      </c>
      <c r="D51" s="2">
        <f>RADIANS(Table1[[#This Row],[Beta (Degrees)]])</f>
        <v>-1.0471975511965976</v>
      </c>
      <c r="E51">
        <v>-1.4450000000000001</v>
      </c>
      <c r="F51">
        <v>8.3000000000000004E-2</v>
      </c>
      <c r="G51" s="4">
        <f>2*Table1[[#This Row],[Standard Deviation in Pcyl-Pwall (in. H2O)]]</f>
        <v>0.16600000000000001</v>
      </c>
      <c r="H51" s="4"/>
      <c r="I51" s="4" cm="1">
        <f t="array" ref="I51">Table1[[#This Row],[Pcyl-Pwall (in. H2O)]]/Table4[Corresponding q (in. H2O)]</f>
        <v>-1.1587055310668197</v>
      </c>
    </row>
    <row r="52" spans="1:9" x14ac:dyDescent="0.2">
      <c r="A52" s="4">
        <v>250</v>
      </c>
      <c r="B52" s="4">
        <f>RADIANS(Table1[[#This Row],[Theta (Degrees)]])</f>
        <v>4.3633231299858242</v>
      </c>
      <c r="C52" s="2">
        <f>180-Table1[[#This Row],[Theta (Degrees)]]</f>
        <v>-70</v>
      </c>
      <c r="D52" s="2">
        <f>RADIANS(Table1[[#This Row],[Beta (Degrees)]])</f>
        <v>-1.2217304763960306</v>
      </c>
      <c r="E52">
        <v>-1.115</v>
      </c>
      <c r="F52">
        <v>6.7000000000000004E-2</v>
      </c>
      <c r="G52" s="4">
        <f>2*Table1[[#This Row],[Standard Deviation in Pcyl-Pwall (in. H2O)]]</f>
        <v>0.13400000000000001</v>
      </c>
      <c r="H52" s="4"/>
      <c r="I52" s="4" cm="1">
        <f t="array" ref="I52">Table1[[#This Row],[Pcyl-Pwall (in. H2O)]]/Table4[Corresponding q (in. H2O)]</f>
        <v>-0.89408765892007191</v>
      </c>
    </row>
    <row r="53" spans="1:9" x14ac:dyDescent="0.2">
      <c r="A53" s="4">
        <v>260</v>
      </c>
      <c r="B53" s="4">
        <f>RADIANS(Table1[[#This Row],[Theta (Degrees)]])</f>
        <v>4.5378560551852569</v>
      </c>
      <c r="C53" s="2">
        <f>180-Table1[[#This Row],[Theta (Degrees)]]</f>
        <v>-80</v>
      </c>
      <c r="D53" s="2">
        <f>RADIANS(Table1[[#This Row],[Beta (Degrees)]])</f>
        <v>-1.3962634015954636</v>
      </c>
      <c r="E53">
        <v>-0.55400000000000005</v>
      </c>
      <c r="F53">
        <v>6.7000000000000004E-2</v>
      </c>
      <c r="G53" s="4">
        <f>2*Table1[[#This Row],[Standard Deviation in Pcyl-Pwall (in. H2O)]]</f>
        <v>0.13400000000000001</v>
      </c>
      <c r="H53" s="4"/>
      <c r="I53" s="4" cm="1">
        <f t="array" ref="I53">Table1[[#This Row],[Pcyl-Pwall (in. H2O)]]/Table4[Corresponding q (in. H2O)]</f>
        <v>-0.44423727627060083</v>
      </c>
    </row>
    <row r="54" spans="1:9" x14ac:dyDescent="0.2">
      <c r="A54" s="4">
        <v>270</v>
      </c>
      <c r="B54" s="4">
        <f>RADIANS(Table1[[#This Row],[Theta (Degrees)]])</f>
        <v>4.7123889803846897</v>
      </c>
      <c r="C54" s="2">
        <f>180-Table1[[#This Row],[Theta (Degrees)]]</f>
        <v>-90</v>
      </c>
      <c r="D54" s="2">
        <f>RADIANS(Table1[[#This Row],[Beta (Degrees)]])</f>
        <v>-1.5707963267948966</v>
      </c>
      <c r="E54">
        <v>5.6000000000000001E-2</v>
      </c>
      <c r="F54">
        <v>7.0000000000000007E-2</v>
      </c>
      <c r="G54" s="4">
        <f>2*Table1[[#This Row],[Standard Deviation in Pcyl-Pwall (in. H2O)]]</f>
        <v>0.14000000000000001</v>
      </c>
      <c r="H54" s="4"/>
      <c r="I54" s="4" cm="1">
        <f t="array" ref="I54">Table1[[#This Row],[Pcyl-Pwall (in. H2O)]]/Table4[Corresponding q (in. H2O)]</f>
        <v>4.4904851030963255E-2</v>
      </c>
    </row>
    <row r="55" spans="1:9" x14ac:dyDescent="0.2">
      <c r="A55" s="4">
        <v>280</v>
      </c>
      <c r="B55" s="4">
        <f>RADIANS(Table1[[#This Row],[Theta (Degrees)]])</f>
        <v>4.8869219055841224</v>
      </c>
      <c r="C55" s="2">
        <f>180-Table1[[#This Row],[Theta (Degrees)]]</f>
        <v>-100</v>
      </c>
      <c r="D55" s="2">
        <f>RADIANS(Table1[[#This Row],[Beta (Degrees)]])</f>
        <v>-1.7453292519943295</v>
      </c>
      <c r="E55">
        <v>0.57299999999999995</v>
      </c>
      <c r="F55">
        <v>6.7000000000000004E-2</v>
      </c>
      <c r="G55" s="4">
        <f>2*Table1[[#This Row],[Standard Deviation in Pcyl-Pwall (in. H2O)]]</f>
        <v>0.13400000000000001</v>
      </c>
      <c r="H55" s="4"/>
      <c r="I55" s="4" cm="1">
        <f t="array" ref="I55">Table1[[#This Row],[Pcyl-Pwall (in. H2O)]]/Table4[Corresponding q (in. H2O)]</f>
        <v>0.45947285072753469</v>
      </c>
    </row>
    <row r="56" spans="1:9" x14ac:dyDescent="0.2">
      <c r="A56" s="4">
        <v>290</v>
      </c>
      <c r="B56" s="4">
        <f>RADIANS(Table1[[#This Row],[Theta (Degrees)]])</f>
        <v>5.0614548307835561</v>
      </c>
      <c r="C56" s="2">
        <f>180-Table1[[#This Row],[Theta (Degrees)]]</f>
        <v>-110</v>
      </c>
      <c r="D56" s="2">
        <f>RADIANS(Table1[[#This Row],[Beta (Degrees)]])</f>
        <v>-1.9198621771937625</v>
      </c>
      <c r="E56">
        <v>0.96599999999999997</v>
      </c>
      <c r="F56">
        <v>6.4000000000000001E-2</v>
      </c>
      <c r="G56" s="4">
        <f>2*Table1[[#This Row],[Standard Deviation in Pcyl-Pwall (in. H2O)]]</f>
        <v>0.128</v>
      </c>
      <c r="H56" s="4"/>
      <c r="I56" s="4" cm="1">
        <f t="array" ref="I56">Table1[[#This Row],[Pcyl-Pwall (in. H2O)]]/Table4[Corresponding q (in. H2O)]</f>
        <v>0.77460868028411611</v>
      </c>
    </row>
    <row r="57" spans="1:9" x14ac:dyDescent="0.2">
      <c r="A57" s="4">
        <v>300</v>
      </c>
      <c r="B57" s="4">
        <f>RADIANS(Table1[[#This Row],[Theta (Degrees)]])</f>
        <v>5.2359877559829888</v>
      </c>
      <c r="C57" s="2">
        <f>180-Table1[[#This Row],[Theta (Degrees)]]</f>
        <v>-120</v>
      </c>
      <c r="D57" s="2">
        <f>RADIANS(Table1[[#This Row],[Beta (Degrees)]])</f>
        <v>-2.0943951023931953</v>
      </c>
      <c r="E57">
        <v>1.145</v>
      </c>
      <c r="F57">
        <v>6.5000000000000002E-2</v>
      </c>
      <c r="G57" s="4">
        <f>2*Table1[[#This Row],[Standard Deviation in Pcyl-Pwall (in. H2O)]]</f>
        <v>0.13</v>
      </c>
      <c r="H57" s="4"/>
      <c r="I57" s="4" cm="1">
        <f t="array" ref="I57">Table1[[#This Row],[Pcyl-Pwall (in. H2O)]]/Table4[Corresponding q (in. H2O)]</f>
        <v>0.91814382911523085</v>
      </c>
    </row>
    <row r="58" spans="1:9" x14ac:dyDescent="0.2">
      <c r="A58" s="4">
        <v>310</v>
      </c>
      <c r="B58" s="4">
        <f>RADIANS(Table1[[#This Row],[Theta (Degrees)]])</f>
        <v>5.4105206811824216</v>
      </c>
      <c r="C58" s="2">
        <f>180-Table1[[#This Row],[Theta (Degrees)]]</f>
        <v>-130</v>
      </c>
      <c r="D58" s="2">
        <f>RADIANS(Table1[[#This Row],[Beta (Degrees)]])</f>
        <v>-2.2689280275926285</v>
      </c>
      <c r="E58">
        <v>1.1439999999999999</v>
      </c>
      <c r="F58">
        <v>6.8000000000000005E-2</v>
      </c>
      <c r="G58" s="4">
        <f>2*Table1[[#This Row],[Standard Deviation in Pcyl-Pwall (in. H2O)]]</f>
        <v>0.13600000000000001</v>
      </c>
      <c r="H58" s="4"/>
      <c r="I58" s="4" cm="1">
        <f t="array" ref="I58">Table1[[#This Row],[Pcyl-Pwall (in. H2O)]]/Table4[Corresponding q (in. H2O)]</f>
        <v>0.9173419567753921</v>
      </c>
    </row>
    <row r="59" spans="1:9" x14ac:dyDescent="0.2">
      <c r="A59" s="4">
        <v>320</v>
      </c>
      <c r="B59" s="4">
        <f>RADIANS(Table1[[#This Row],[Theta (Degrees)]])</f>
        <v>5.5850536063818543</v>
      </c>
      <c r="C59" s="2">
        <f>180-Table1[[#This Row],[Theta (Degrees)]]</f>
        <v>-140</v>
      </c>
      <c r="D59" s="2">
        <f>RADIANS(Table1[[#This Row],[Beta (Degrees)]])</f>
        <v>-2.4434609527920612</v>
      </c>
      <c r="E59">
        <v>0.96499999999999997</v>
      </c>
      <c r="F59">
        <v>7.0999999999999994E-2</v>
      </c>
      <c r="G59" s="4">
        <f>2*Table1[[#This Row],[Standard Deviation in Pcyl-Pwall (in. H2O)]]</f>
        <v>0.14199999999999999</v>
      </c>
      <c r="H59" s="4"/>
      <c r="I59" s="4" cm="1">
        <f t="array" ref="I59">Table1[[#This Row],[Pcyl-Pwall (in. H2O)]]/Table4[Corresponding q (in. H2O)]</f>
        <v>0.77380680794427747</v>
      </c>
    </row>
    <row r="60" spans="1:9" x14ac:dyDescent="0.2">
      <c r="A60" s="4">
        <v>330</v>
      </c>
      <c r="B60" s="4">
        <f>RADIANS(Table1[[#This Row],[Theta (Degrees)]])</f>
        <v>5.7595865315812871</v>
      </c>
      <c r="C60" s="2">
        <f>180-Table1[[#This Row],[Theta (Degrees)]]</f>
        <v>-150</v>
      </c>
      <c r="D60" s="2">
        <f>RADIANS(Table1[[#This Row],[Beta (Degrees)]])</f>
        <v>-2.6179938779914944</v>
      </c>
      <c r="E60">
        <v>0.55000000000000004</v>
      </c>
      <c r="F60">
        <v>6.6000000000000003E-2</v>
      </c>
      <c r="G60" s="4">
        <f>2*Table1[[#This Row],[Standard Deviation in Pcyl-Pwall (in. H2O)]]</f>
        <v>0.13200000000000001</v>
      </c>
      <c r="H60" s="4"/>
      <c r="I60" s="4" cm="1">
        <f t="array" ref="I60">Table1[[#This Row],[Pcyl-Pwall (in. H2O)]]/Table4[Corresponding q (in. H2O)]</f>
        <v>0.44102978691124628</v>
      </c>
    </row>
    <row r="61" spans="1:9" x14ac:dyDescent="0.2">
      <c r="A61" s="4">
        <v>340</v>
      </c>
      <c r="B61" s="4">
        <f>RADIANS(Table1[[#This Row],[Theta (Degrees)]])</f>
        <v>5.9341194567807207</v>
      </c>
      <c r="C61" s="2">
        <f>180-Table1[[#This Row],[Theta (Degrees)]]</f>
        <v>-160</v>
      </c>
      <c r="D61" s="2">
        <f>RADIANS(Table1[[#This Row],[Beta (Degrees)]])</f>
        <v>-2.7925268031909272</v>
      </c>
      <c r="E61">
        <v>1.7999999999999999E-2</v>
      </c>
      <c r="F61">
        <v>7.0999999999999994E-2</v>
      </c>
      <c r="G61" s="4">
        <f>2*Table1[[#This Row],[Standard Deviation in Pcyl-Pwall (in. H2O)]]</f>
        <v>0.14199999999999999</v>
      </c>
      <c r="H61" s="4"/>
      <c r="I61" s="4" cm="1">
        <f t="array" ref="I61">Table1[[#This Row],[Pcyl-Pwall (in. H2O)]]/Table4[Corresponding q (in. H2O)]</f>
        <v>1.4433702117095331E-2</v>
      </c>
    </row>
    <row r="62" spans="1:9" x14ac:dyDescent="0.2">
      <c r="A62" s="4">
        <v>350</v>
      </c>
      <c r="B62" s="4">
        <f>RADIANS(Table1[[#This Row],[Theta (Degrees)]])</f>
        <v>6.1086523819801535</v>
      </c>
      <c r="C62" s="2">
        <f>180-Table1[[#This Row],[Theta (Degrees)]]</f>
        <v>-170</v>
      </c>
      <c r="D62" s="2">
        <f>RADIANS(Table1[[#This Row],[Beta (Degrees)]])</f>
        <v>-2.9670597283903604</v>
      </c>
      <c r="E62">
        <v>-0.58799999999999997</v>
      </c>
      <c r="F62">
        <v>7.0999999999999994E-2</v>
      </c>
      <c r="G62" s="4">
        <f>2*Table1[[#This Row],[Standard Deviation in Pcyl-Pwall (in. H2O)]]</f>
        <v>0.14199999999999999</v>
      </c>
      <c r="H62" s="4"/>
      <c r="I62" s="4" cm="1">
        <f t="array" ref="I62">Table1[[#This Row],[Pcyl-Pwall (in. H2O)]]/Table4[Corresponding q (in. H2O)]</f>
        <v>-0.47150093582511415</v>
      </c>
    </row>
    <row r="63" spans="1:9" x14ac:dyDescent="0.2">
      <c r="A63" s="4">
        <v>360</v>
      </c>
      <c r="B63" s="4">
        <f>RADIANS(Table1[[#This Row],[Theta (Degrees)]])</f>
        <v>6.2831853071795862</v>
      </c>
      <c r="C63" s="2">
        <f>180-Table1[[#This Row],[Theta (Degrees)]]</f>
        <v>-180</v>
      </c>
      <c r="D63" s="2">
        <f>RADIANS(Table1[[#This Row],[Beta (Degrees)]])</f>
        <v>-3.1415926535897931</v>
      </c>
      <c r="E63">
        <v>-1.1120000000000001</v>
      </c>
      <c r="F63">
        <v>6.7000000000000004E-2</v>
      </c>
      <c r="G63" s="4">
        <f>2*Table1[[#This Row],[Standard Deviation in Pcyl-Pwall (in. H2O)]]</f>
        <v>0.13400000000000001</v>
      </c>
      <c r="H63" s="4"/>
      <c r="I63" s="4" cm="1">
        <f t="array" ref="I63">Table1[[#This Row],[Pcyl-Pwall (in. H2O)]]/Table4[Corresponding q (in. H2O)]</f>
        <v>-0.89168204190055611</v>
      </c>
    </row>
    <row r="64" spans="1:9" x14ac:dyDescent="0.2">
      <c r="A64" s="4"/>
      <c r="B64" s="4"/>
      <c r="C64" s="2"/>
      <c r="D64" s="2"/>
      <c r="E64" s="2"/>
      <c r="F64" s="4"/>
      <c r="G64" s="4"/>
      <c r="H64" s="4"/>
      <c r="I64" s="4"/>
    </row>
    <row r="65" spans="1:10" x14ac:dyDescent="0.2">
      <c r="A65" s="4"/>
      <c r="B65" s="4"/>
      <c r="C65" s="2"/>
      <c r="D65" s="2"/>
      <c r="E65" s="2"/>
      <c r="F65" s="4"/>
      <c r="G65" s="4"/>
      <c r="H65" s="4"/>
      <c r="I65" s="4"/>
    </row>
    <row r="66" spans="1:10" x14ac:dyDescent="0.2">
      <c r="A66" s="4"/>
      <c r="B66" s="4"/>
      <c r="C66" s="2"/>
      <c r="D66" s="2"/>
      <c r="E66" s="2"/>
      <c r="F66" s="4"/>
      <c r="G66" s="4"/>
      <c r="H66" s="4"/>
      <c r="I66" s="4"/>
    </row>
    <row r="67" spans="1:10" x14ac:dyDescent="0.2">
      <c r="A67" s="4"/>
      <c r="B67" s="4"/>
      <c r="C67" s="2"/>
      <c r="D67" s="2"/>
      <c r="E67" s="2"/>
      <c r="F67" s="4"/>
      <c r="G67" s="4"/>
      <c r="H67" s="4"/>
      <c r="I67" s="4"/>
    </row>
    <row r="68" spans="1:10" x14ac:dyDescent="0.2">
      <c r="A68" s="4"/>
      <c r="B68" s="4"/>
      <c r="C68" s="2"/>
      <c r="D68" s="2"/>
      <c r="E68" s="2"/>
      <c r="F68" s="4"/>
      <c r="G68" s="4"/>
      <c r="H68" s="4"/>
      <c r="I68" s="4"/>
    </row>
    <row r="69" spans="1:10" x14ac:dyDescent="0.2">
      <c r="A69" s="4"/>
      <c r="B69" s="4"/>
      <c r="C69" s="4"/>
      <c r="D69" s="4"/>
      <c r="E69" s="4"/>
      <c r="F69" s="4"/>
      <c r="G69" s="4"/>
      <c r="H69" s="4"/>
      <c r="I69" s="4"/>
    </row>
    <row r="74" spans="1:10" x14ac:dyDescent="0.2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25</v>
      </c>
    </row>
    <row r="75" spans="1:10" x14ac:dyDescent="0.2">
      <c r="A75">
        <v>55</v>
      </c>
      <c r="B75">
        <v>6.8680000000000003</v>
      </c>
      <c r="C75">
        <v>7.3999999999999996E-2</v>
      </c>
      <c r="D75">
        <f>2*C75</f>
        <v>0.14799999999999999</v>
      </c>
      <c r="F75">
        <f>Table47[[#This Row],[P1-P2 (in. H2O)]]*A18+A20</f>
        <v>3.6276884000000007</v>
      </c>
    </row>
    <row r="77" spans="1:10" ht="17" x14ac:dyDescent="0.25">
      <c r="A77" t="s">
        <v>20</v>
      </c>
      <c r="B77" t="s">
        <v>21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22</v>
      </c>
    </row>
    <row r="78" spans="1:10" x14ac:dyDescent="0.2">
      <c r="A78" s="4">
        <v>0</v>
      </c>
      <c r="B78" s="4">
        <f>RADIANS(Table16[[#This Row],[Theta (Degrees)]])</f>
        <v>0</v>
      </c>
      <c r="C78">
        <f>180 - Table16[[#This Row],[Theta (Degrees)]]</f>
        <v>180</v>
      </c>
      <c r="D78">
        <f>RADIANS(Table16[[#This Row],[Beta (Degrees)]])</f>
        <v>3.1415926535897931</v>
      </c>
      <c r="E78">
        <v>-3.407</v>
      </c>
      <c r="F78">
        <v>8.7999999999999995E-2</v>
      </c>
      <c r="G78" s="4">
        <f>2*Table16[[#This Row],[Standard Deviation in Pcyl-Pwall (in. H2O)]]</f>
        <v>0.17599999999999999</v>
      </c>
      <c r="H78" s="4"/>
      <c r="I78" s="4" cm="1">
        <f t="array" ref="I78">Table16[[#This Row],[Pcyl-Pwall (in. H2O)]]/Table47[Corresponding q (in. H2O)]</f>
        <v>-0.93916555787977807</v>
      </c>
    </row>
    <row r="79" spans="1:10" x14ac:dyDescent="0.2">
      <c r="A79" s="4">
        <v>10</v>
      </c>
      <c r="B79" s="4">
        <f>RADIANS(Table16[[#This Row],[Theta (Degrees)]])</f>
        <v>0.17453292519943295</v>
      </c>
      <c r="C79" s="2">
        <f>180 - Table16[[#This Row],[Theta (Degrees)]]</f>
        <v>170</v>
      </c>
      <c r="D79" s="2">
        <f>RADIANS(Table16[[#This Row],[Beta (Degrees)]])</f>
        <v>2.9670597283903604</v>
      </c>
      <c r="E79">
        <v>-4.476</v>
      </c>
      <c r="F79">
        <v>9.4E-2</v>
      </c>
      <c r="G79" s="4">
        <f>2*Table16[[#This Row],[Standard Deviation in Pcyl-Pwall (in. H2O)]]</f>
        <v>0.188</v>
      </c>
      <c r="H79" s="4"/>
      <c r="I79" s="4" cm="1">
        <f t="array" ref="I79">Table16[[#This Row],[Pcyl-Pwall (in. H2O)]]/Table47[Corresponding q (in. H2O)]</f>
        <v>-1.2338435682623676</v>
      </c>
    </row>
    <row r="80" spans="1:10" x14ac:dyDescent="0.2">
      <c r="A80" s="4">
        <v>20</v>
      </c>
      <c r="B80" s="4">
        <f>RADIANS(Table16[[#This Row],[Theta (Degrees)]])</f>
        <v>0.3490658503988659</v>
      </c>
      <c r="C80" s="2">
        <f>180 - Table16[[#This Row],[Theta (Degrees)]]</f>
        <v>160</v>
      </c>
      <c r="D80" s="2">
        <f>RADIANS(Table16[[#This Row],[Beta (Degrees)]])</f>
        <v>2.7925268031909272</v>
      </c>
      <c r="E80">
        <v>-4.5049999999999999</v>
      </c>
      <c r="F80">
        <v>0.106</v>
      </c>
      <c r="G80" s="4">
        <f>2*Table16[[#This Row],[Standard Deviation in Pcyl-Pwall (in. H2O)]]</f>
        <v>0.21199999999999999</v>
      </c>
      <c r="H80" s="4"/>
      <c r="I80" s="4" cm="1">
        <f t="array" ref="I80">Table16[[#This Row],[Pcyl-Pwall (in. H2O)]]/Table47[Corresponding q (in. H2O)]</f>
        <v>-1.2418376396385089</v>
      </c>
      <c r="J80" s="2"/>
    </row>
    <row r="81" spans="1:10" x14ac:dyDescent="0.2">
      <c r="A81" s="4">
        <v>30</v>
      </c>
      <c r="B81" s="4">
        <f>RADIANS(Table16[[#This Row],[Theta (Degrees)]])</f>
        <v>0.52359877559829882</v>
      </c>
      <c r="C81" s="2">
        <f>180 - Table16[[#This Row],[Theta (Degrees)]]</f>
        <v>150</v>
      </c>
      <c r="D81" s="2">
        <f>RADIANS(Table16[[#This Row],[Beta (Degrees)]])</f>
        <v>2.6179938779914944</v>
      </c>
      <c r="E81">
        <v>-4.1639999999999997</v>
      </c>
      <c r="F81">
        <v>0.16800000000000001</v>
      </c>
      <c r="G81" s="4">
        <f>2*Table16[[#This Row],[Standard Deviation in Pcyl-Pwall (in. H2O)]]</f>
        <v>0.33600000000000002</v>
      </c>
      <c r="H81" s="4"/>
      <c r="I81" s="4" cm="1">
        <f t="array" ref="I81">Table16[[#This Row],[Pcyl-Pwall (in. H2O)]]/Table47[Corresponding q (in. H2O)]</f>
        <v>-1.1478383865604331</v>
      </c>
    </row>
    <row r="82" spans="1:10" x14ac:dyDescent="0.2">
      <c r="A82" s="4">
        <v>40</v>
      </c>
      <c r="B82" s="4">
        <f>RADIANS(Table16[[#This Row],[Theta (Degrees)]])</f>
        <v>0.69813170079773179</v>
      </c>
      <c r="C82" s="2">
        <f>180 - Table16[[#This Row],[Theta (Degrees)]]</f>
        <v>140</v>
      </c>
      <c r="D82" s="2">
        <f>RADIANS(Table16[[#This Row],[Beta (Degrees)]])</f>
        <v>2.4434609527920612</v>
      </c>
      <c r="E82">
        <v>-3.827</v>
      </c>
      <c r="F82">
        <v>0.122</v>
      </c>
      <c r="G82" s="4">
        <f>2*Table16[[#This Row],[Standard Deviation in Pcyl-Pwall (in. H2O)]]</f>
        <v>0.24399999999999999</v>
      </c>
      <c r="H82" s="4"/>
      <c r="I82" s="4" cm="1">
        <f t="array" ref="I82">Table16[[#This Row],[Pcyl-Pwall (in. H2O)]]/Table47[Corresponding q (in. H2O)]</f>
        <v>-1.0549417640169976</v>
      </c>
      <c r="J82" s="2"/>
    </row>
    <row r="83" spans="1:10" x14ac:dyDescent="0.2">
      <c r="A83" s="4">
        <v>50</v>
      </c>
      <c r="B83" s="4">
        <f>RADIANS(Table16[[#This Row],[Theta (Degrees)]])</f>
        <v>0.87266462599716477</v>
      </c>
      <c r="C83" s="2">
        <f>180 - Table16[[#This Row],[Theta (Degrees)]]</f>
        <v>130</v>
      </c>
      <c r="D83" s="2">
        <f>RADIANS(Table16[[#This Row],[Beta (Degrees)]])</f>
        <v>2.2689280275926285</v>
      </c>
      <c r="E83">
        <v>-3.8290000000000002</v>
      </c>
      <c r="F83">
        <v>0.11899999999999999</v>
      </c>
      <c r="G83" s="4">
        <f>2*Table16[[#This Row],[Standard Deviation in Pcyl-Pwall (in. H2O)]]</f>
        <v>0.23799999999999999</v>
      </c>
      <c r="H83" s="4"/>
      <c r="I83" s="4" cm="1">
        <f t="array" ref="I83">Table16[[#This Row],[Pcyl-Pwall (in. H2O)]]/Table47[Corresponding q (in. H2O)]</f>
        <v>-1.0554930792843176</v>
      </c>
      <c r="J83" s="2"/>
    </row>
    <row r="84" spans="1:10" x14ac:dyDescent="0.2">
      <c r="A84" s="4">
        <v>60</v>
      </c>
      <c r="B84" s="4">
        <f>RADIANS(Table16[[#This Row],[Theta (Degrees)]])</f>
        <v>1.0471975511965976</v>
      </c>
      <c r="C84" s="2">
        <f>180 - Table16[[#This Row],[Theta (Degrees)]]</f>
        <v>120</v>
      </c>
      <c r="D84" s="2">
        <f>RADIANS(Table16[[#This Row],[Beta (Degrees)]])</f>
        <v>2.0943951023931953</v>
      </c>
      <c r="E84">
        <v>-3.8679999999999999</v>
      </c>
      <c r="F84">
        <v>0.153</v>
      </c>
      <c r="G84" s="4">
        <f>2*Table16[[#This Row],[Standard Deviation in Pcyl-Pwall (in. H2O)]]</f>
        <v>0.30599999999999999</v>
      </c>
      <c r="H84" s="4"/>
      <c r="I84" s="4" cm="1">
        <f t="array" ref="I84">Table16[[#This Row],[Pcyl-Pwall (in. H2O)]]/Table47[Corresponding q (in. H2O)]</f>
        <v>-1.0662437269970593</v>
      </c>
      <c r="J84" s="2"/>
    </row>
    <row r="85" spans="1:10" x14ac:dyDescent="0.2">
      <c r="A85" s="4">
        <v>70</v>
      </c>
      <c r="B85" s="4">
        <f>RADIANS(Table16[[#This Row],[Theta (Degrees)]])</f>
        <v>1.2217304763960306</v>
      </c>
      <c r="C85" s="2">
        <f>180 - Table16[[#This Row],[Theta (Degrees)]]</f>
        <v>110</v>
      </c>
      <c r="D85" s="2">
        <f>RADIANS(Table16[[#This Row],[Beta (Degrees)]])</f>
        <v>1.9198621771937625</v>
      </c>
      <c r="E85">
        <v>-3.948</v>
      </c>
      <c r="F85">
        <v>0.129</v>
      </c>
      <c r="G85" s="4">
        <f>2*Table16[[#This Row],[Standard Deviation in Pcyl-Pwall (in. H2O)]]</f>
        <v>0.25800000000000001</v>
      </c>
      <c r="H85" s="4"/>
      <c r="I85" s="4" cm="1">
        <f t="array" ref="I85">Table16[[#This Row],[Pcyl-Pwall (in. H2O)]]/Table47[Corresponding q (in. H2O)]</f>
        <v>-1.0882963376898631</v>
      </c>
      <c r="J85" s="2"/>
    </row>
    <row r="86" spans="1:10" x14ac:dyDescent="0.2">
      <c r="A86" s="4">
        <v>80</v>
      </c>
      <c r="B86" s="4">
        <f>RADIANS(Table16[[#This Row],[Theta (Degrees)]])</f>
        <v>1.3962634015954636</v>
      </c>
      <c r="C86" s="2">
        <f>180 - Table16[[#This Row],[Theta (Degrees)]]</f>
        <v>100</v>
      </c>
      <c r="D86" s="2">
        <f>RADIANS(Table16[[#This Row],[Beta (Degrees)]])</f>
        <v>1.7453292519943295</v>
      </c>
      <c r="E86">
        <v>-4.0369999999999999</v>
      </c>
      <c r="F86">
        <v>0.151</v>
      </c>
      <c r="G86" s="4">
        <f>2*Table16[[#This Row],[Standard Deviation in Pcyl-Pwall (in. H2O)]]</f>
        <v>0.30199999999999999</v>
      </c>
      <c r="H86" s="4"/>
      <c r="I86" s="4" cm="1">
        <f t="array" ref="I86">Table16[[#This Row],[Pcyl-Pwall (in. H2O)]]/Table47[Corresponding q (in. H2O)]</f>
        <v>-1.1128298670856072</v>
      </c>
      <c r="J86" s="2"/>
    </row>
    <row r="87" spans="1:10" x14ac:dyDescent="0.2">
      <c r="A87" s="4">
        <v>90</v>
      </c>
      <c r="B87" s="4">
        <f>RADIANS(Table16[[#This Row],[Theta (Degrees)]])</f>
        <v>1.5707963267948966</v>
      </c>
      <c r="C87" s="2">
        <f>180 - Table16[[#This Row],[Theta (Degrees)]]</f>
        <v>90</v>
      </c>
      <c r="D87" s="2">
        <f>RADIANS(Table16[[#This Row],[Beta (Degrees)]])</f>
        <v>1.5707963267948966</v>
      </c>
      <c r="E87">
        <v>-4.0869999999999997</v>
      </c>
      <c r="F87">
        <v>0.189</v>
      </c>
      <c r="G87" s="4">
        <f>2*Table16[[#This Row],[Standard Deviation in Pcyl-Pwall (in. H2O)]]</f>
        <v>0.378</v>
      </c>
      <c r="H87" s="4"/>
      <c r="I87" s="4" cm="1">
        <f t="array" ref="I87">Table16[[#This Row],[Pcyl-Pwall (in. H2O)]]/Table47[Corresponding q (in. H2O)]</f>
        <v>-1.1266127487686095</v>
      </c>
      <c r="J87" s="2"/>
    </row>
    <row r="88" spans="1:10" x14ac:dyDescent="0.2">
      <c r="A88" s="4">
        <v>100</v>
      </c>
      <c r="B88" s="4">
        <f>RADIANS(Table16[[#This Row],[Theta (Degrees)]])</f>
        <v>1.7453292519943295</v>
      </c>
      <c r="C88" s="2">
        <f>180 - Table16[[#This Row],[Theta (Degrees)]]</f>
        <v>80</v>
      </c>
      <c r="D88" s="2">
        <f>RADIANS(Table16[[#This Row],[Beta (Degrees)]])</f>
        <v>1.3962634015954636</v>
      </c>
      <c r="E88">
        <v>-4.2300000000000004</v>
      </c>
      <c r="F88">
        <v>0.17399999999999999</v>
      </c>
      <c r="G88" s="4">
        <f>2*Table16[[#This Row],[Standard Deviation in Pcyl-Pwall (in. H2O)]]</f>
        <v>0.34799999999999998</v>
      </c>
      <c r="H88" s="4"/>
      <c r="I88" s="4" cm="1">
        <f t="array" ref="I88">Table16[[#This Row],[Pcyl-Pwall (in. H2O)]]/Table47[Corresponding q (in. H2O)]</f>
        <v>-1.1660317903819963</v>
      </c>
      <c r="J88" s="2"/>
    </row>
    <row r="89" spans="1:10" x14ac:dyDescent="0.2">
      <c r="A89" s="4">
        <v>110</v>
      </c>
      <c r="B89" s="4">
        <f>RADIANS(Table16[[#This Row],[Theta (Degrees)]])</f>
        <v>1.9198621771937625</v>
      </c>
      <c r="C89" s="2">
        <f>180 - Table16[[#This Row],[Theta (Degrees)]]</f>
        <v>70</v>
      </c>
      <c r="D89" s="2">
        <f>RADIANS(Table16[[#This Row],[Beta (Degrees)]])</f>
        <v>1.2217304763960306</v>
      </c>
      <c r="E89">
        <v>-4.1420000000000003</v>
      </c>
      <c r="F89">
        <v>0.23599999999999999</v>
      </c>
      <c r="G89" s="4">
        <f>2*Table16[[#This Row],[Standard Deviation in Pcyl-Pwall (in. H2O)]]</f>
        <v>0.47199999999999998</v>
      </c>
      <c r="H89" s="4"/>
      <c r="I89" s="4" cm="1">
        <f t="array" ref="I89">Table16[[#This Row],[Pcyl-Pwall (in. H2O)]]/Table47[Corresponding q (in. H2O)]</f>
        <v>-1.1417739186199123</v>
      </c>
      <c r="J89" s="2"/>
    </row>
    <row r="90" spans="1:10" x14ac:dyDescent="0.2">
      <c r="A90" s="4">
        <v>120</v>
      </c>
      <c r="B90" s="4">
        <f>RADIANS(Table16[[#This Row],[Theta (Degrees)]])</f>
        <v>2.0943951023931953</v>
      </c>
      <c r="C90" s="2">
        <f>180 - Table16[[#This Row],[Theta (Degrees)]]</f>
        <v>60</v>
      </c>
      <c r="D90" s="2">
        <f>RADIANS(Table16[[#This Row],[Beta (Degrees)]])</f>
        <v>1.0471975511965976</v>
      </c>
      <c r="E90">
        <v>-4.4740000000000002</v>
      </c>
      <c r="F90">
        <v>0.22</v>
      </c>
      <c r="G90" s="4">
        <f>2*Table16[[#This Row],[Standard Deviation in Pcyl-Pwall (in. H2O)]]</f>
        <v>0.44</v>
      </c>
      <c r="H90" s="4"/>
      <c r="I90" s="4" cm="1">
        <f t="array" ref="I90">Table16[[#This Row],[Pcyl-Pwall (in. H2O)]]/Table47[Corresponding q (in. H2O)]</f>
        <v>-1.2332922529950476</v>
      </c>
      <c r="J90" s="2"/>
    </row>
    <row r="91" spans="1:10" x14ac:dyDescent="0.2">
      <c r="A91" s="4">
        <v>130</v>
      </c>
      <c r="B91" s="4">
        <f>RADIANS(Table16[[#This Row],[Theta (Degrees)]])</f>
        <v>2.2689280275926285</v>
      </c>
      <c r="C91" s="2">
        <f>180 - Table16[[#This Row],[Theta (Degrees)]]</f>
        <v>50</v>
      </c>
      <c r="D91" s="2">
        <f>RADIANS(Table16[[#This Row],[Beta (Degrees)]])</f>
        <v>0.87266462599716477</v>
      </c>
      <c r="E91">
        <v>-4.3040000000000003</v>
      </c>
      <c r="F91">
        <v>0.26500000000000001</v>
      </c>
      <c r="G91" s="4">
        <f>2*Table16[[#This Row],[Standard Deviation in Pcyl-Pwall (in. H2O)]]</f>
        <v>0.53</v>
      </c>
      <c r="H91" s="4"/>
      <c r="I91" s="4" cm="1">
        <f t="array" ref="I91">Table16[[#This Row],[Pcyl-Pwall (in. H2O)]]/Table47[Corresponding q (in. H2O)]</f>
        <v>-1.1864304552728397</v>
      </c>
      <c r="J91" s="2"/>
    </row>
    <row r="92" spans="1:10" x14ac:dyDescent="0.2">
      <c r="A92" s="4">
        <v>140</v>
      </c>
      <c r="B92" s="4">
        <f>RADIANS(Table16[[#This Row],[Theta (Degrees)]])</f>
        <v>2.4434609527920612</v>
      </c>
      <c r="C92" s="2">
        <f>180 - Table16[[#This Row],[Theta (Degrees)]]</f>
        <v>40</v>
      </c>
      <c r="D92" s="2">
        <f>RADIANS(Table16[[#This Row],[Beta (Degrees)]])</f>
        <v>0.69813170079773179</v>
      </c>
      <c r="E92">
        <v>-4.2549999999999999</v>
      </c>
      <c r="F92">
        <v>0.17899999999999999</v>
      </c>
      <c r="G92" s="4">
        <f>2*Table16[[#This Row],[Standard Deviation in Pcyl-Pwall (in. H2O)]]</f>
        <v>0.35799999999999998</v>
      </c>
      <c r="H92" s="4"/>
      <c r="I92" s="4" cm="1">
        <f t="array" ref="I92">Table16[[#This Row],[Pcyl-Pwall (in. H2O)]]/Table47[Corresponding q (in. H2O)]</f>
        <v>-1.1729232312234974</v>
      </c>
      <c r="J92" s="2"/>
    </row>
    <row r="93" spans="1:10" x14ac:dyDescent="0.2">
      <c r="A93" s="4">
        <v>150</v>
      </c>
      <c r="B93" s="4">
        <f>RADIANS(Table16[[#This Row],[Theta (Degrees)]])</f>
        <v>2.6179938779914944</v>
      </c>
      <c r="C93" s="2">
        <f>180 - Table16[[#This Row],[Theta (Degrees)]]</f>
        <v>30</v>
      </c>
      <c r="D93" s="2">
        <f>RADIANS(Table16[[#This Row],[Beta (Degrees)]])</f>
        <v>0.52359877559829882</v>
      </c>
      <c r="E93">
        <v>-4.157</v>
      </c>
      <c r="F93">
        <v>0.18</v>
      </c>
      <c r="G93" s="4">
        <f>2*Table16[[#This Row],[Standard Deviation in Pcyl-Pwall (in. H2O)]]</f>
        <v>0.36</v>
      </c>
      <c r="H93" s="4"/>
      <c r="I93" s="4" cm="1">
        <f t="array" ref="I93">Table16[[#This Row],[Pcyl-Pwall (in. H2O)]]/Table47[Corresponding q (in. H2O)]</f>
        <v>-1.1459087831248129</v>
      </c>
    </row>
    <row r="94" spans="1:10" x14ac:dyDescent="0.2">
      <c r="A94" s="4">
        <v>160</v>
      </c>
      <c r="B94" s="4">
        <f>RADIANS(Table16[[#This Row],[Theta (Degrees)]])</f>
        <v>2.7925268031909272</v>
      </c>
      <c r="C94" s="2">
        <f>180 - Table16[[#This Row],[Theta (Degrees)]]</f>
        <v>20</v>
      </c>
      <c r="D94" s="2">
        <f>RADIANS(Table16[[#This Row],[Beta (Degrees)]])</f>
        <v>0.3490658503988659</v>
      </c>
      <c r="E94">
        <v>-4.1580000000000004</v>
      </c>
      <c r="F94">
        <v>0.14299999999999999</v>
      </c>
      <c r="G94" s="4">
        <f>2*Table16[[#This Row],[Standard Deviation in Pcyl-Pwall (in. H2O)]]</f>
        <v>0.28599999999999998</v>
      </c>
      <c r="H94" s="4"/>
      <c r="I94" s="4" cm="1">
        <f t="array" ref="I94">Table16[[#This Row],[Pcyl-Pwall (in. H2O)]]/Table47[Corresponding q (in. H2O)]</f>
        <v>-1.1461844407584729</v>
      </c>
    </row>
    <row r="95" spans="1:10" x14ac:dyDescent="0.2">
      <c r="A95" s="4">
        <v>170</v>
      </c>
      <c r="B95" s="4">
        <f>RADIANS(Table16[[#This Row],[Theta (Degrees)]])</f>
        <v>2.9670597283903604</v>
      </c>
      <c r="C95" s="2">
        <f>180 - Table16[[#This Row],[Theta (Degrees)]]</f>
        <v>10</v>
      </c>
      <c r="D95" s="2">
        <f>RADIANS(Table16[[#This Row],[Beta (Degrees)]])</f>
        <v>0.17453292519943295</v>
      </c>
      <c r="E95">
        <v>-3.9740000000000002</v>
      </c>
      <c r="F95">
        <v>0.161</v>
      </c>
      <c r="G95" s="4">
        <f>2*Table16[[#This Row],[Standard Deviation in Pcyl-Pwall (in. H2O)]]</f>
        <v>0.32200000000000001</v>
      </c>
      <c r="H95" s="4"/>
      <c r="I95" s="4" cm="1">
        <f t="array" ref="I95">Table16[[#This Row],[Pcyl-Pwall (in. H2O)]]/Table47[Corresponding q (in. H2O)]</f>
        <v>-1.0954634361650244</v>
      </c>
    </row>
    <row r="96" spans="1:10" x14ac:dyDescent="0.2">
      <c r="A96" s="4">
        <v>180</v>
      </c>
      <c r="B96" s="4">
        <f>RADIANS(Table16[[#This Row],[Theta (Degrees)]])</f>
        <v>3.1415926535897931</v>
      </c>
      <c r="C96" s="2">
        <f>180 - Table16[[#This Row],[Theta (Degrees)]]</f>
        <v>0</v>
      </c>
      <c r="D96" s="2">
        <f>RADIANS(Table16[[#This Row],[Beta (Degrees)]])</f>
        <v>0</v>
      </c>
      <c r="E96">
        <v>-3.9159999999999999</v>
      </c>
      <c r="F96">
        <v>0.159</v>
      </c>
      <c r="G96" s="4">
        <f>2*Table16[[#This Row],[Standard Deviation in Pcyl-Pwall (in. H2O)]]</f>
        <v>0.318</v>
      </c>
      <c r="H96" s="4"/>
      <c r="I96" s="4" cm="1">
        <f t="array" ref="I96">Table16[[#This Row],[Pcyl-Pwall (in. H2O)]]/Table47[Corresponding q (in. H2O)]</f>
        <v>-1.0794752934127416</v>
      </c>
    </row>
    <row r="97" spans="1:9" x14ac:dyDescent="0.2">
      <c r="A97" s="4">
        <v>190</v>
      </c>
      <c r="B97" s="4">
        <f>RADIANS(Table16[[#This Row],[Theta (Degrees)]])</f>
        <v>3.3161255787892263</v>
      </c>
      <c r="C97" s="2">
        <f>180 - Table16[[#This Row],[Theta (Degrees)]]</f>
        <v>-10</v>
      </c>
      <c r="D97" s="2">
        <f>RADIANS(Table16[[#This Row],[Beta (Degrees)]])</f>
        <v>-0.17453292519943295</v>
      </c>
      <c r="E97">
        <v>-3.84</v>
      </c>
      <c r="F97">
        <v>0.13700000000000001</v>
      </c>
      <c r="G97" s="4">
        <f>2*Table16[[#This Row],[Standard Deviation in Pcyl-Pwall (in. H2O)]]</f>
        <v>0.27400000000000002</v>
      </c>
      <c r="H97" s="4"/>
      <c r="I97" s="4" cm="1">
        <f t="array" ref="I97">Table16[[#This Row],[Pcyl-Pwall (in. H2O)]]/Table47[Corresponding q (in. H2O)]</f>
        <v>-1.058525313254578</v>
      </c>
    </row>
    <row r="98" spans="1:9" x14ac:dyDescent="0.2">
      <c r="A98" s="4">
        <v>200</v>
      </c>
      <c r="B98" s="4">
        <f>RADIANS(Table16[[#This Row],[Theta (Degrees)]])</f>
        <v>3.4906585039886591</v>
      </c>
      <c r="C98" s="2">
        <f>180 - Table16[[#This Row],[Theta (Degrees)]]</f>
        <v>-20</v>
      </c>
      <c r="D98" s="2">
        <f>RADIANS(Table16[[#This Row],[Beta (Degrees)]])</f>
        <v>-0.3490658503988659</v>
      </c>
      <c r="E98">
        <v>-3.7709999999999999</v>
      </c>
      <c r="F98">
        <v>0.13300000000000001</v>
      </c>
      <c r="G98" s="4">
        <f>2*Table16[[#This Row],[Standard Deviation in Pcyl-Pwall (in. H2O)]]</f>
        <v>0.26600000000000001</v>
      </c>
      <c r="H98" s="4"/>
      <c r="I98" s="4" cm="1">
        <f t="array" ref="I98">Table16[[#This Row],[Pcyl-Pwall (in. H2O)]]/Table47[Corresponding q (in. H2O)]</f>
        <v>-1.0395049365320348</v>
      </c>
    </row>
    <row r="99" spans="1:9" x14ac:dyDescent="0.2">
      <c r="A99" s="4">
        <v>210</v>
      </c>
      <c r="B99" s="4">
        <f>RADIANS(Table16[[#This Row],[Theta (Degrees)]])</f>
        <v>3.6651914291880923</v>
      </c>
      <c r="C99" s="2">
        <f>180 - Table16[[#This Row],[Theta (Degrees)]]</f>
        <v>-30</v>
      </c>
      <c r="D99" s="2">
        <f>RADIANS(Table16[[#This Row],[Beta (Degrees)]])</f>
        <v>-0.52359877559829882</v>
      </c>
      <c r="E99">
        <v>-3.7770000000000001</v>
      </c>
      <c r="F99">
        <v>0.14099999999999999</v>
      </c>
      <c r="G99" s="4">
        <f>2*Table16[[#This Row],[Standard Deviation in Pcyl-Pwall (in. H2O)]]</f>
        <v>0.28199999999999997</v>
      </c>
      <c r="H99" s="4"/>
      <c r="I99" s="4" cm="1">
        <f t="array" ref="I99">Table16[[#This Row],[Pcyl-Pwall (in. H2O)]]/Table47[Corresponding q (in. H2O)]</f>
        <v>-1.0411588823339952</v>
      </c>
    </row>
    <row r="100" spans="1:9" x14ac:dyDescent="0.2">
      <c r="A100" s="4">
        <v>220</v>
      </c>
      <c r="B100" s="4">
        <f>RADIANS(Table16[[#This Row],[Theta (Degrees)]])</f>
        <v>3.839724354387525</v>
      </c>
      <c r="C100" s="2">
        <f>180 - Table16[[#This Row],[Theta (Degrees)]]</f>
        <v>-40</v>
      </c>
      <c r="D100" s="2">
        <f>RADIANS(Table16[[#This Row],[Beta (Degrees)]])</f>
        <v>-0.69813170079773179</v>
      </c>
      <c r="E100">
        <v>-4.085</v>
      </c>
      <c r="F100">
        <v>0.17799999999999999</v>
      </c>
      <c r="G100" s="4">
        <f>2*Table16[[#This Row],[Standard Deviation in Pcyl-Pwall (in. H2O)]]</f>
        <v>0.35599999999999998</v>
      </c>
      <c r="H100" s="4"/>
      <c r="I100" s="4" cm="1">
        <f t="array" ref="I100">Table16[[#This Row],[Pcyl-Pwall (in. H2O)]]/Table47[Corresponding q (in. H2O)]</f>
        <v>-1.1260614335012895</v>
      </c>
    </row>
    <row r="101" spans="1:9" x14ac:dyDescent="0.2">
      <c r="A101" s="4">
        <v>230</v>
      </c>
      <c r="B101" s="4">
        <f>RADIANS(Table16[[#This Row],[Theta (Degrees)]])</f>
        <v>4.0142572795869578</v>
      </c>
      <c r="C101" s="2">
        <f>180 - Table16[[#This Row],[Theta (Degrees)]]</f>
        <v>-50</v>
      </c>
      <c r="D101" s="2">
        <f>RADIANS(Table16[[#This Row],[Beta (Degrees)]])</f>
        <v>-0.87266462599716477</v>
      </c>
      <c r="E101">
        <v>-4.4379999999999997</v>
      </c>
      <c r="F101">
        <v>0.126</v>
      </c>
      <c r="G101" s="4">
        <f>2*Table16[[#This Row],[Standard Deviation in Pcyl-Pwall (in. H2O)]]</f>
        <v>0.252</v>
      </c>
      <c r="H101" s="4"/>
      <c r="I101" s="4" cm="1">
        <f t="array" ref="I101">Table16[[#This Row],[Pcyl-Pwall (in. H2O)]]/Table47[Corresponding q (in. H2O)]</f>
        <v>-1.2233685781832857</v>
      </c>
    </row>
    <row r="102" spans="1:9" x14ac:dyDescent="0.2">
      <c r="A102" s="4">
        <v>240</v>
      </c>
      <c r="B102" s="4">
        <f>RADIANS(Table16[[#This Row],[Theta (Degrees)]])</f>
        <v>4.1887902047863905</v>
      </c>
      <c r="C102" s="2">
        <f>180 - Table16[[#This Row],[Theta (Degrees)]]</f>
        <v>-60</v>
      </c>
      <c r="D102" s="2">
        <f>RADIANS(Table16[[#This Row],[Beta (Degrees)]])</f>
        <v>-1.0471975511965976</v>
      </c>
      <c r="E102">
        <v>-4.3079999999999998</v>
      </c>
      <c r="F102">
        <v>0.10299999999999999</v>
      </c>
      <c r="G102" s="4">
        <f>2*Table16[[#This Row],[Standard Deviation in Pcyl-Pwall (in. H2O)]]</f>
        <v>0.20599999999999999</v>
      </c>
      <c r="H102" s="4"/>
      <c r="I102" s="4" cm="1">
        <f t="array" ref="I102">Table16[[#This Row],[Pcyl-Pwall (in. H2O)]]/Table47[Corresponding q (in. H2O)]</f>
        <v>-1.1875330858074797</v>
      </c>
    </row>
    <row r="103" spans="1:9" x14ac:dyDescent="0.2">
      <c r="A103" s="4">
        <v>250</v>
      </c>
      <c r="B103" s="4">
        <f>RADIANS(Table16[[#This Row],[Theta (Degrees)]])</f>
        <v>4.3633231299858242</v>
      </c>
      <c r="C103" s="2">
        <f>180 - Table16[[#This Row],[Theta (Degrees)]]</f>
        <v>-70</v>
      </c>
      <c r="D103" s="2">
        <f>RADIANS(Table16[[#This Row],[Beta (Degrees)]])</f>
        <v>-1.2217304763960306</v>
      </c>
      <c r="E103">
        <v>-3.2549999999999999</v>
      </c>
      <c r="F103">
        <v>0.08</v>
      </c>
      <c r="G103" s="4">
        <f>2*Table16[[#This Row],[Standard Deviation in Pcyl-Pwall (in. H2O)]]</f>
        <v>0.16</v>
      </c>
      <c r="H103" s="4"/>
      <c r="I103" s="4" cm="1">
        <f t="array" ref="I103">Table16[[#This Row],[Pcyl-Pwall (in. H2O)]]/Table47[Corresponding q (in. H2O)]</f>
        <v>-0.89726559756345092</v>
      </c>
    </row>
    <row r="104" spans="1:9" x14ac:dyDescent="0.2">
      <c r="A104" s="4">
        <v>260</v>
      </c>
      <c r="B104" s="4">
        <f>RADIANS(Table16[[#This Row],[Theta (Degrees)]])</f>
        <v>4.5378560551852569</v>
      </c>
      <c r="C104" s="4">
        <f>180 - Table16[[#This Row],[Theta (Degrees)]]</f>
        <v>-80</v>
      </c>
      <c r="D104" s="4">
        <f>RADIANS(Table16[[#This Row],[Beta (Degrees)]])</f>
        <v>-1.3962634015954636</v>
      </c>
      <c r="E104">
        <v>-1.619</v>
      </c>
      <c r="F104">
        <v>0.08</v>
      </c>
      <c r="G104" s="4">
        <f>2*Table16[[#This Row],[Standard Deviation in Pcyl-Pwall (in. H2O)]]</f>
        <v>0.16</v>
      </c>
      <c r="H104" s="4"/>
      <c r="I104" s="4" cm="1">
        <f t="array" ref="I104">Table16[[#This Row],[Pcyl-Pwall (in. H2O)]]/Table47[Corresponding q (in. H2O)]</f>
        <v>-0.44628970889561509</v>
      </c>
    </row>
    <row r="105" spans="1:9" x14ac:dyDescent="0.2">
      <c r="A105" s="2">
        <v>270</v>
      </c>
      <c r="B105" s="2">
        <f>RADIANS(Table16[[#This Row],[Theta (Degrees)]])</f>
        <v>4.7123889803846897</v>
      </c>
      <c r="C105" s="2">
        <f>180 - Table16[[#This Row],[Theta (Degrees)]]</f>
        <v>-90</v>
      </c>
      <c r="D105" s="2">
        <f>RADIANS(Table16[[#This Row],[Beta (Degrees)]])</f>
        <v>-1.5707963267948966</v>
      </c>
      <c r="E105">
        <v>0.14699999999999999</v>
      </c>
      <c r="F105">
        <v>6.2E-2</v>
      </c>
      <c r="G105" s="2">
        <f>2*Table16[[#This Row],[Standard Deviation in Pcyl-Pwall (in. H2O)]]</f>
        <v>0.124</v>
      </c>
      <c r="H105" s="2"/>
      <c r="I105" s="2" cm="1">
        <f t="array" ref="I105">Table16[[#This Row],[Pcyl-Pwall (in. H2O)]]/Table47[Corresponding q (in. H2O)]</f>
        <v>4.0521672148026815E-2</v>
      </c>
    </row>
    <row r="106" spans="1:9" x14ac:dyDescent="0.2">
      <c r="A106" s="2">
        <v>280</v>
      </c>
      <c r="B106" s="2">
        <f>RADIANS(Table16[[#This Row],[Theta (Degrees)]])</f>
        <v>4.8869219055841224</v>
      </c>
      <c r="C106" s="2">
        <f>180 - Table16[[#This Row],[Theta (Degrees)]]</f>
        <v>-100</v>
      </c>
      <c r="D106" s="2">
        <f>RADIANS(Table16[[#This Row],[Beta (Degrees)]])</f>
        <v>-1.7453292519943295</v>
      </c>
      <c r="E106">
        <v>1.704</v>
      </c>
      <c r="F106">
        <v>6.9000000000000006E-2</v>
      </c>
      <c r="G106" s="2">
        <f>2*Table16[[#This Row],[Standard Deviation in Pcyl-Pwall (in. H2O)]]</f>
        <v>0.13800000000000001</v>
      </c>
      <c r="H106" s="2"/>
      <c r="I106" s="2" cm="1">
        <f t="array" ref="I106">Table16[[#This Row],[Pcyl-Pwall (in. H2O)]]/Table47[Corresponding q (in. H2O)]</f>
        <v>0.46972060775671903</v>
      </c>
    </row>
    <row r="107" spans="1:9" x14ac:dyDescent="0.2">
      <c r="A107" s="2">
        <v>290</v>
      </c>
      <c r="B107" s="2">
        <f>RADIANS(Table16[[#This Row],[Theta (Degrees)]])</f>
        <v>5.0614548307835561</v>
      </c>
      <c r="C107" s="2">
        <f>180 - Table16[[#This Row],[Theta (Degrees)]]</f>
        <v>-110</v>
      </c>
      <c r="D107" s="2">
        <f>RADIANS(Table16[[#This Row],[Beta (Degrees)]])</f>
        <v>-1.9198621771937625</v>
      </c>
      <c r="E107">
        <v>2.8620000000000001</v>
      </c>
      <c r="F107">
        <v>6.4000000000000001E-2</v>
      </c>
      <c r="G107" s="2">
        <f>2*Table16[[#This Row],[Standard Deviation in Pcyl-Pwall (in. H2O)]]</f>
        <v>0.128</v>
      </c>
      <c r="H107" s="2"/>
      <c r="I107" s="2" cm="1">
        <f t="array" ref="I107">Table16[[#This Row],[Pcyl-Pwall (in. H2O)]]/Table47[Corresponding q (in. H2O)]</f>
        <v>0.78893214753505281</v>
      </c>
    </row>
    <row r="108" spans="1:9" x14ac:dyDescent="0.2">
      <c r="A108" s="2">
        <v>300</v>
      </c>
      <c r="B108" s="2">
        <f>RADIANS(Table16[[#This Row],[Theta (Degrees)]])</f>
        <v>5.2359877559829888</v>
      </c>
      <c r="C108" s="2">
        <f>180 - Table16[[#This Row],[Theta (Degrees)]]</f>
        <v>-120</v>
      </c>
      <c r="D108" s="2">
        <f>RADIANS(Table16[[#This Row],[Beta (Degrees)]])</f>
        <v>-2.0943951023931953</v>
      </c>
      <c r="E108">
        <v>3.395</v>
      </c>
      <c r="F108">
        <v>6.6000000000000003E-2</v>
      </c>
      <c r="G108" s="2">
        <f>2*Table16[[#This Row],[Standard Deviation in Pcyl-Pwall (in. H2O)]]</f>
        <v>0.13200000000000001</v>
      </c>
      <c r="H108" s="2"/>
      <c r="I108" s="2" cm="1">
        <f t="array" ref="I108">Table16[[#This Row],[Pcyl-Pwall (in. H2O)]]/Table47[Corresponding q (in. H2O)]</f>
        <v>0.93585766627585742</v>
      </c>
    </row>
    <row r="109" spans="1:9" x14ac:dyDescent="0.2">
      <c r="A109" s="2">
        <v>310</v>
      </c>
      <c r="B109" s="2">
        <f>RADIANS(Table16[[#This Row],[Theta (Degrees)]])</f>
        <v>5.4105206811824216</v>
      </c>
      <c r="C109" s="2">
        <f>180 - Table16[[#This Row],[Theta (Degrees)]]</f>
        <v>-130</v>
      </c>
      <c r="D109" s="2">
        <f>RADIANS(Table16[[#This Row],[Beta (Degrees)]])</f>
        <v>-2.2689280275926285</v>
      </c>
      <c r="E109">
        <v>3.395</v>
      </c>
      <c r="F109">
        <v>6.6000000000000003E-2</v>
      </c>
      <c r="G109" s="2">
        <f>2*Table16[[#This Row],[Standard Deviation in Pcyl-Pwall (in. H2O)]]</f>
        <v>0.13200000000000001</v>
      </c>
      <c r="H109" s="2"/>
      <c r="I109" s="2" cm="1">
        <f t="array" ref="I109">Table16[[#This Row],[Pcyl-Pwall (in. H2O)]]/Table47[Corresponding q (in. H2O)]</f>
        <v>0.93585766627585742</v>
      </c>
    </row>
    <row r="110" spans="1:9" x14ac:dyDescent="0.2">
      <c r="A110" s="2">
        <v>320</v>
      </c>
      <c r="B110" s="2">
        <f>RADIANS(Table16[[#This Row],[Theta (Degrees)]])</f>
        <v>5.5850536063818543</v>
      </c>
      <c r="C110" s="2">
        <f>180 - Table16[[#This Row],[Theta (Degrees)]]</f>
        <v>-140</v>
      </c>
      <c r="D110" s="2">
        <f>RADIANS(Table16[[#This Row],[Beta (Degrees)]])</f>
        <v>-2.4434609527920612</v>
      </c>
      <c r="E110">
        <v>2.8119999999999998</v>
      </c>
      <c r="F110">
        <v>6.6000000000000003E-2</v>
      </c>
      <c r="G110" s="2">
        <f>2*Table16[[#This Row],[Standard Deviation in Pcyl-Pwall (in. H2O)]]</f>
        <v>0.13200000000000001</v>
      </c>
      <c r="H110" s="2"/>
      <c r="I110" s="2" cm="1">
        <f t="array" ref="I110">Table16[[#This Row],[Pcyl-Pwall (in. H2O)]]/Table47[Corresponding q (in. H2O)]</f>
        <v>0.77514926585205035</v>
      </c>
    </row>
    <row r="111" spans="1:9" x14ac:dyDescent="0.2">
      <c r="A111" s="2">
        <v>330</v>
      </c>
      <c r="B111" s="2">
        <f>RADIANS(Table16[[#This Row],[Theta (Degrees)]])</f>
        <v>5.7595865315812871</v>
      </c>
      <c r="C111" s="2">
        <f>180 - Table16[[#This Row],[Theta (Degrees)]]</f>
        <v>-150</v>
      </c>
      <c r="D111" s="2">
        <f>RADIANS(Table16[[#This Row],[Beta (Degrees)]])</f>
        <v>-2.6179938779914944</v>
      </c>
      <c r="E111">
        <v>1.617</v>
      </c>
      <c r="F111">
        <v>6.3E-2</v>
      </c>
      <c r="G111" s="2">
        <f>2*Table16[[#This Row],[Standard Deviation in Pcyl-Pwall (in. H2O)]]</f>
        <v>0.126</v>
      </c>
      <c r="H111" s="2"/>
      <c r="I111" s="2" cm="1">
        <f t="array" ref="I111">Table16[[#This Row],[Pcyl-Pwall (in. H2O)]]/Table47[Corresponding q (in. H2O)]</f>
        <v>0.44573839362829498</v>
      </c>
    </row>
    <row r="112" spans="1:9" x14ac:dyDescent="0.2">
      <c r="A112" s="2">
        <v>340</v>
      </c>
      <c r="B112" s="2">
        <f>RADIANS(Table16[[#This Row],[Theta (Degrees)]])</f>
        <v>5.9341194567807207</v>
      </c>
      <c r="C112" s="2">
        <f>180 - Table16[[#This Row],[Theta (Degrees)]]</f>
        <v>-160</v>
      </c>
      <c r="D112" s="2">
        <f>RADIANS(Table16[[#This Row],[Beta (Degrees)]])</f>
        <v>-2.7925268031909272</v>
      </c>
      <c r="E112">
        <v>-1.9E-2</v>
      </c>
      <c r="F112">
        <v>6.7000000000000004E-2</v>
      </c>
      <c r="G112" s="2">
        <f>2*Table16[[#This Row],[Standard Deviation in Pcyl-Pwall (in. H2O)]]</f>
        <v>0.13400000000000001</v>
      </c>
      <c r="H112" s="2"/>
      <c r="I112" s="2" cm="1">
        <f t="array" ref="I112">Table16[[#This Row],[Pcyl-Pwall (in. H2O)]]/Table47[Corresponding q (in. H2O)]</f>
        <v>-5.237495039540881E-3</v>
      </c>
    </row>
    <row r="113" spans="1:9" x14ac:dyDescent="0.2">
      <c r="A113" s="2">
        <v>350</v>
      </c>
      <c r="B113" s="2">
        <f>RADIANS(Table16[[#This Row],[Theta (Degrees)]])</f>
        <v>6.1086523819801535</v>
      </c>
      <c r="C113" s="2">
        <f>180 - Table16[[#This Row],[Theta (Degrees)]]</f>
        <v>-170</v>
      </c>
      <c r="D113" s="2">
        <f>RADIANS(Table16[[#This Row],[Beta (Degrees)]])</f>
        <v>-2.9670597283903604</v>
      </c>
      <c r="E113">
        <v>-1.83</v>
      </c>
      <c r="F113">
        <v>7.0999999999999994E-2</v>
      </c>
      <c r="G113" s="2">
        <f>2*Table16[[#This Row],[Standard Deviation in Pcyl-Pwall (in. H2O)]]</f>
        <v>0.14199999999999999</v>
      </c>
      <c r="H113" s="2"/>
      <c r="I113" s="2" cm="1">
        <f t="array" ref="I113">Table16[[#This Row],[Pcyl-Pwall (in. H2O)]]/Table47[Corresponding q (in. H2O)]</f>
        <v>-0.50445346959788495</v>
      </c>
    </row>
    <row r="114" spans="1:9" x14ac:dyDescent="0.2">
      <c r="A114" s="2">
        <v>360</v>
      </c>
      <c r="B114" s="2">
        <f>RADIANS(Table16[[#This Row],[Theta (Degrees)]])</f>
        <v>6.2831853071795862</v>
      </c>
      <c r="C114" s="2">
        <f>180 - Table16[[#This Row],[Theta (Degrees)]]</f>
        <v>-180</v>
      </c>
      <c r="D114" s="2">
        <f>RADIANS(Table16[[#This Row],[Beta (Degrees)]])</f>
        <v>-3.1415926535897931</v>
      </c>
      <c r="E114">
        <v>-3.4239999999999999</v>
      </c>
      <c r="F114">
        <v>7.5999999999999998E-2</v>
      </c>
      <c r="G114" s="2">
        <f>2*Table16[[#This Row],[Standard Deviation in Pcyl-Pwall (in. H2O)]]</f>
        <v>0.152</v>
      </c>
      <c r="H114" s="2"/>
      <c r="I114" s="2" cm="1">
        <f t="array" ref="I114">Table16[[#This Row],[Pcyl-Pwall (in. H2O)]]/Table47[Corresponding q (in. H2O)]</f>
        <v>-0.94385173765199881</v>
      </c>
    </row>
    <row r="120" spans="1:9" x14ac:dyDescent="0.2">
      <c r="A120" s="3"/>
    </row>
  </sheetData>
  <mergeCells count="2">
    <mergeCell ref="A9:B9"/>
    <mergeCell ref="A16:B16"/>
  </mergeCells>
  <phoneticPr fontId="2" type="noConversion"/>
  <pageMargins left="0.7" right="0.7" top="0.75" bottom="0.75" header="0.3" footer="0.3"/>
  <pageSetup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866af8-819d-489a-8e3e-7840dd9dfd69">
      <Terms xmlns="http://schemas.microsoft.com/office/infopath/2007/PartnerControls"/>
    </lcf76f155ced4ddcb4097134ff3c332f>
    <TaxCatchAll xmlns="6e43c2dc-55c6-4f19-b103-6a9ff424e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4A976A3DA01B4890AD8387D20132CE" ma:contentTypeVersion="10" ma:contentTypeDescription="Create a new document." ma:contentTypeScope="" ma:versionID="2006a0a2d606620b316ace0ce13fc652">
  <xsd:schema xmlns:xsd="http://www.w3.org/2001/XMLSchema" xmlns:xs="http://www.w3.org/2001/XMLSchema" xmlns:p="http://schemas.microsoft.com/office/2006/metadata/properties" xmlns:ns2="31866af8-819d-489a-8e3e-7840dd9dfd69" xmlns:ns3="6e43c2dc-55c6-4f19-b103-6a9ff424e6e0" targetNamespace="http://schemas.microsoft.com/office/2006/metadata/properties" ma:root="true" ma:fieldsID="eb14105f88b5effc0584837c9415fed8" ns2:_="" ns3:_="">
    <xsd:import namespace="31866af8-819d-489a-8e3e-7840dd9dfd69"/>
    <xsd:import namespace="6e43c2dc-55c6-4f19-b103-6a9ff424e6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66af8-819d-489a-8e3e-7840dd9df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3c2dc-55c6-4f19-b103-6a9ff424e6e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b0f73f-194a-4635-8e1d-8c3a31cf4bdc}" ma:internalName="TaxCatchAll" ma:showField="CatchAllData" ma:web="6e43c2dc-55c6-4f19-b103-6a9ff424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C81FAD-5A8C-4845-8012-B9E8BDBE318B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31866af8-819d-489a-8e3e-7840dd9dfd69"/>
    <ds:schemaRef ds:uri="http://schemas.microsoft.com/office/infopath/2007/PartnerControls"/>
    <ds:schemaRef ds:uri="6e43c2dc-55c6-4f19-b103-6a9ff424e6e0"/>
  </ds:schemaRefs>
</ds:datastoreItem>
</file>

<file path=customXml/itemProps2.xml><?xml version="1.0" encoding="utf-8"?>
<ds:datastoreItem xmlns:ds="http://schemas.openxmlformats.org/officeDocument/2006/customXml" ds:itemID="{831E94B4-6917-45F5-BF7D-F29482120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866af8-819d-489a-8e3e-7840dd9dfd69"/>
    <ds:schemaRef ds:uri="6e43c2dc-55c6-4f19-b103-6a9ff424e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FDF923-A154-49A5-8C80-FA4FF72CF3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Touchton, Noah A.</cp:lastModifiedBy>
  <cp:revision/>
  <dcterms:created xsi:type="dcterms:W3CDTF">2025-09-02T12:56:17Z</dcterms:created>
  <dcterms:modified xsi:type="dcterms:W3CDTF">2025-09-14T22:39:26Z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0x0101000C4A976A3DA01B4890AD8387D20132CE</vt:lpwstr>
  </property>
  <property fmtid="{D5CDD505-2E9C-101B-9397-08002B2CF9AE}" pid="3" name="MediaServiceImageTags">
    <vt:lpwstr/>
  </property>
</Properties>
</file>