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zerihun/Desktop/"/>
    </mc:Choice>
  </mc:AlternateContent>
  <xr:revisionPtr revIDLastSave="0" documentId="13_ncr:1_{42B6EDF7-6179-5C46-B342-FACC60BE551D}" xr6:coauthVersionLast="47" xr6:coauthVersionMax="47" xr10:uidLastSave="{00000000-0000-0000-0000-000000000000}"/>
  <bookViews>
    <workbookView xWindow="0" yWindow="740" windowWidth="30240" windowHeight="18900" xr2:uid="{673A135F-57EF-FC4F-BABB-1C6C3DF0FC9C}"/>
  </bookViews>
  <sheets>
    <sheet name="Capital Budgeting" sheetId="13" r:id="rId1"/>
  </sheets>
  <externalReferences>
    <externalReference r:id="rId2"/>
    <externalReference r:id="rId3"/>
    <externalReference r:id="rId4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Defects">#REF!</definedName>
    <definedName name="Discounted_Payback">#REF!</definedName>
    <definedName name="IRR">'[1]Exh 12-1 to 12-4'!$B$29</definedName>
    <definedName name="Maintenance">#REF!</definedName>
    <definedName name="MIRR">#REF!</definedName>
    <definedName name="NPV">'[1]Exh 12-1 to 12-4'!$B$27</definedName>
    <definedName name="Payback_Period">#REF!</definedName>
    <definedName name="PI">'[1]Exh 12-1 to 12-4'!$B$28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lected_Projects">'[2]Capital Rationing'!$C$21</definedName>
    <definedName name="Selling_Price">'[3]Base Case'!$B$11</definedName>
    <definedName name="taxtable">#REF!</definedName>
    <definedName name="Variable_Cost_per_unit">'[3]Base Case'!$B$12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13" l="1"/>
  <c r="G53" i="13" l="1"/>
  <c r="G13" i="13"/>
  <c r="G11" i="13"/>
  <c r="G16" i="13"/>
  <c r="T17" i="13"/>
  <c r="T16" i="13"/>
  <c r="T15" i="13"/>
  <c r="T11" i="13"/>
  <c r="T10" i="13"/>
  <c r="T12" i="13" s="1"/>
  <c r="T19" i="13" s="1"/>
  <c r="M34" i="13"/>
  <c r="N34" i="13"/>
  <c r="G15" i="13"/>
  <c r="G14" i="13"/>
  <c r="F15" i="13"/>
  <c r="F31" i="13" s="1"/>
  <c r="F14" i="13"/>
  <c r="F30" i="13" s="1"/>
  <c r="G27" i="13" l="1"/>
  <c r="G8" i="13"/>
  <c r="G22" i="13" s="1"/>
  <c r="G23" i="13" s="1"/>
  <c r="G44" i="13" s="1"/>
  <c r="G45" i="13" s="1"/>
  <c r="G46" i="13" s="1"/>
  <c r="H27" i="13" l="1"/>
  <c r="H28" i="13" s="1"/>
  <c r="H29" i="13" s="1"/>
  <c r="G31" i="13"/>
  <c r="G30" i="13"/>
  <c r="G17" i="13"/>
  <c r="G39" i="13" s="1"/>
  <c r="G28" i="13"/>
  <c r="G29" i="13" s="1"/>
  <c r="H30" i="13" l="1"/>
  <c r="G32" i="13"/>
  <c r="H31" i="13"/>
  <c r="H32" i="13" s="1"/>
  <c r="H39" i="13"/>
  <c r="H40" i="13" s="1"/>
  <c r="I27" i="13"/>
  <c r="I31" i="13" l="1"/>
  <c r="I39" i="13"/>
  <c r="I40" i="13" s="1"/>
  <c r="I28" i="13"/>
  <c r="I29" i="13" s="1"/>
  <c r="J27" i="13"/>
  <c r="I30" i="13"/>
  <c r="H33" i="13"/>
  <c r="I32" i="13" l="1"/>
  <c r="I33" i="13" s="1"/>
  <c r="J31" i="13"/>
  <c r="J39" i="13"/>
  <c r="J40" i="13" s="1"/>
  <c r="J28" i="13"/>
  <c r="J29" i="13" s="1"/>
  <c r="J30" i="13"/>
  <c r="K27" i="13"/>
  <c r="K28" i="13" l="1"/>
  <c r="K39" i="13"/>
  <c r="K31" i="13"/>
  <c r="L27" i="13"/>
  <c r="K30" i="13"/>
  <c r="K29" i="13"/>
  <c r="J32" i="13"/>
  <c r="J33" i="13" s="1"/>
  <c r="L39" i="13" l="1"/>
  <c r="L40" i="13" s="1"/>
  <c r="M27" i="13"/>
  <c r="K32" i="13"/>
  <c r="K33" i="13" s="1"/>
  <c r="L28" i="13"/>
  <c r="L29" i="13" s="1"/>
  <c r="L31" i="13"/>
  <c r="L30" i="13"/>
  <c r="K40" i="13"/>
  <c r="N27" i="13" l="1"/>
  <c r="M39" i="13"/>
  <c r="N40" i="13" s="1"/>
  <c r="M30" i="13"/>
  <c r="M31" i="13"/>
  <c r="M28" i="13"/>
  <c r="M29" i="13" s="1"/>
  <c r="M40" i="13"/>
  <c r="L32" i="13"/>
  <c r="L33" i="13" s="1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T75" i="13"/>
  <c r="T76" i="13"/>
  <c r="T77" i="13"/>
  <c r="T78" i="13"/>
  <c r="T79" i="13"/>
  <c r="T80" i="13"/>
  <c r="T81" i="13"/>
  <c r="T82" i="13"/>
  <c r="T83" i="13"/>
  <c r="T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25" i="13"/>
  <c r="H53" i="13"/>
  <c r="H50" i="13"/>
  <c r="H51" i="13"/>
  <c r="H52" i="13"/>
  <c r="M32" i="13" l="1"/>
  <c r="M33" i="13" s="1"/>
  <c r="M35" i="13" s="1"/>
  <c r="M44" i="13" s="1"/>
  <c r="M45" i="13" s="1"/>
  <c r="N30" i="13"/>
  <c r="N31" i="13"/>
  <c r="N28" i="13"/>
  <c r="N29" i="13" s="1"/>
  <c r="G10" i="13"/>
  <c r="H34" i="13" s="1"/>
  <c r="H35" i="13" s="1"/>
  <c r="H44" i="13" s="1"/>
  <c r="N32" i="13" l="1"/>
  <c r="N33" i="13" s="1"/>
  <c r="N35" i="13" s="1"/>
  <c r="N44" i="13" s="1"/>
  <c r="N45" i="13" s="1"/>
  <c r="H45" i="13"/>
  <c r="H46" i="13" s="1"/>
  <c r="I34" i="13"/>
  <c r="I35" i="13" s="1"/>
  <c r="I44" i="13" s="1"/>
  <c r="J34" i="13"/>
  <c r="J35" i="13" s="1"/>
  <c r="J44" i="13" s="1"/>
  <c r="K34" i="13"/>
  <c r="K35" i="13" s="1"/>
  <c r="K44" i="13" s="1"/>
  <c r="L34" i="13"/>
  <c r="L35" i="13" s="1"/>
  <c r="L44" i="13" s="1"/>
  <c r="G51" i="13" l="1"/>
  <c r="G52" i="13"/>
  <c r="L45" i="13"/>
  <c r="J45" i="13"/>
  <c r="K45" i="13"/>
  <c r="I45" i="13"/>
  <c r="I46" i="13" s="1"/>
  <c r="J46" i="13" l="1"/>
  <c r="K46" i="13"/>
  <c r="L46" i="13"/>
  <c r="M46" i="13" s="1"/>
  <c r="N46" i="13" s="1"/>
</calcChain>
</file>

<file path=xl/sharedStrings.xml><?xml version="1.0" encoding="utf-8"?>
<sst xmlns="http://schemas.openxmlformats.org/spreadsheetml/2006/main" count="129" uniqueCount="115">
  <si>
    <t>6. Project Valuation &amp; Investment Criteria</t>
  </si>
  <si>
    <t>2. Captial investment</t>
  </si>
  <si>
    <t xml:space="preserve"> -</t>
  </si>
  <si>
    <t xml:space="preserve"> +</t>
  </si>
  <si>
    <t>3. Operating Cash Flows</t>
  </si>
  <si>
    <t xml:space="preserve"> =</t>
  </si>
  <si>
    <t>Profit before tax (EBIT)</t>
  </si>
  <si>
    <t>Tax</t>
  </si>
  <si>
    <t>Add back Depreciation</t>
  </si>
  <si>
    <t>Operating Cash Flows</t>
  </si>
  <si>
    <t>4. Change in working capital</t>
  </si>
  <si>
    <t>Cash Flows of Changes in net Working capital</t>
  </si>
  <si>
    <t>5. Project Cash flows</t>
  </si>
  <si>
    <t>Project cash flows</t>
  </si>
  <si>
    <t>Present Value of projected cash flows</t>
  </si>
  <si>
    <t>Cumulative PV of projected cash flows</t>
  </si>
  <si>
    <t>Part I. Financial Statements (I/S &amp; B/S)</t>
  </si>
  <si>
    <t>Part II. Capital Budgeting and Investment Evaluation</t>
  </si>
  <si>
    <t>Part III. Beta &amp; WACC</t>
  </si>
  <si>
    <t>STATEMENTS OF OPERATIONS (I/S),  (year ended, $, In millions )</t>
  </si>
  <si>
    <t>1. Input variables (Assumption Table 1) ($, million)</t>
  </si>
  <si>
    <t>Input variables (Assumption table 2). WACC (%)</t>
  </si>
  <si>
    <t/>
  </si>
  <si>
    <t>YEAR ENDED MAY 31,</t>
  </si>
  <si>
    <t>Investment in plant and equipment, t0 (2023)</t>
  </si>
  <si>
    <t>Market price per share, as of today ($)</t>
  </si>
  <si>
    <t>(In millions, except per share data)</t>
  </si>
  <si>
    <t>Useful life of the plant and equipment (years)</t>
  </si>
  <si>
    <t>Number of Shares Outstanding (#, million)</t>
  </si>
  <si>
    <t>Revenues</t>
  </si>
  <si>
    <t>Depreciation expense by straight line method</t>
  </si>
  <si>
    <t>Market Value (MV) of Equity ($, million)</t>
  </si>
  <si>
    <t>Cost of sales</t>
  </si>
  <si>
    <t>Revenue attributable to PP&amp;E, t0 (2021)</t>
  </si>
  <si>
    <t>Market Value (MV) of Debt ($, million)</t>
  </si>
  <si>
    <t>Gross profit</t>
  </si>
  <si>
    <t>Revenue growth (%)</t>
  </si>
  <si>
    <t>Total MV of Equity &amp; Debt ($, million)</t>
  </si>
  <si>
    <t>Demand creation expense</t>
  </si>
  <si>
    <t>Costs of Sales (% of sales of the year)</t>
  </si>
  <si>
    <t>Risk free rate (T-bill, %)</t>
  </si>
  <si>
    <t>Operating overhead expense</t>
  </si>
  <si>
    <t>Market rate (S&amp;P 500, %)</t>
  </si>
  <si>
    <t>Total selling and administrative expense</t>
  </si>
  <si>
    <t>Beta of the equity</t>
  </si>
  <si>
    <t>Interest expense (income), net</t>
  </si>
  <si>
    <t>Tax Rate (%)</t>
  </si>
  <si>
    <t>Equity Risk Premium (%)</t>
  </si>
  <si>
    <t>Other (income) expense, net</t>
  </si>
  <si>
    <t>NOWC attributable to PPE, t0-5(% of sales of the year)</t>
  </si>
  <si>
    <t>Cost of equity by CAPM (%)</t>
  </si>
  <si>
    <t>Income before income taxes</t>
  </si>
  <si>
    <t>Cost of debt (%)</t>
  </si>
  <si>
    <t>Income tax expense</t>
  </si>
  <si>
    <t>Weighted Average Cost of Capital (%)</t>
  </si>
  <si>
    <t>NET INCOME</t>
  </si>
  <si>
    <t>Investment in fixed assets (PPE)</t>
  </si>
  <si>
    <t>60 months</t>
  </si>
  <si>
    <t>S&amp;P500 (SPY ETF)</t>
  </si>
  <si>
    <t>Nike, Inc.</t>
  </si>
  <si>
    <t>Cash Flow in fixed assets (PPE)</t>
  </si>
  <si>
    <t>Dates</t>
  </si>
  <si>
    <t>Prices</t>
  </si>
  <si>
    <t>Monthly rate</t>
  </si>
  <si>
    <t>Revenues (attributable to the PP&amp;E)</t>
  </si>
  <si>
    <t>Cost of Sales</t>
  </si>
  <si>
    <t>Gross Margin</t>
  </si>
  <si>
    <t>-</t>
  </si>
  <si>
    <t>BALANCE SHEETS (In millions, as of)</t>
  </si>
  <si>
    <t>MAY 31,</t>
  </si>
  <si>
    <t>(In millions)</t>
  </si>
  <si>
    <t>ASSETS</t>
  </si>
  <si>
    <t>Current assets:</t>
  </si>
  <si>
    <t>Cash and equivalents</t>
  </si>
  <si>
    <t>Short-term investments</t>
  </si>
  <si>
    <t>Net Operating Working capital (NOWC)</t>
  </si>
  <si>
    <t>Accounts receivable, net</t>
  </si>
  <si>
    <t>Inventories</t>
  </si>
  <si>
    <t>Prepaid expenses and other current assets</t>
  </si>
  <si>
    <t>Total current assets</t>
  </si>
  <si>
    <t>Property, plant and equipment, net</t>
  </si>
  <si>
    <t>Operating lease right-of-use assets, net</t>
  </si>
  <si>
    <t>Identifiable intangible assets, net</t>
  </si>
  <si>
    <t>Goodwill</t>
  </si>
  <si>
    <t>Deferred income taxes and other assets</t>
  </si>
  <si>
    <t>TOTAL ASSETS</t>
  </si>
  <si>
    <t>LIABILITIES AND SHAREHOLDERS' EQUITY</t>
  </si>
  <si>
    <t>Disc. Payback Period (DPP)</t>
  </si>
  <si>
    <t>Current liabilities:</t>
  </si>
  <si>
    <t>Net Present Value (NPV)</t>
  </si>
  <si>
    <t>Current portion of long-term debt</t>
  </si>
  <si>
    <t>Internal Rate of Return (IRR)</t>
  </si>
  <si>
    <t>Notes payable</t>
  </si>
  <si>
    <t>Profitablility Index (PI)</t>
  </si>
  <si>
    <t>Accounts payable</t>
  </si>
  <si>
    <t>Current portion of operating lease liabilities</t>
  </si>
  <si>
    <t>Accrued liabilities</t>
  </si>
  <si>
    <t>Income taxes payable</t>
  </si>
  <si>
    <t>Total current liabilities</t>
  </si>
  <si>
    <t>Long-term debt</t>
  </si>
  <si>
    <t>Operating lease liabilities</t>
  </si>
  <si>
    <t>Deferred income taxes and other liabilities</t>
  </si>
  <si>
    <t>Commitments and contingencies (Note 16)</t>
  </si>
  <si>
    <t>Redeemable preferred stock</t>
  </si>
  <si>
    <t>Shareholders' equity:</t>
  </si>
  <si>
    <t>Common stock at stated value:</t>
  </si>
  <si>
    <t>Class A convertible - 305 and 305 shares outstanding</t>
  </si>
  <si>
    <t>Class B - 1,227 and 1,266 shares outstanding</t>
  </si>
  <si>
    <t>Capital in excess of stated value</t>
  </si>
  <si>
    <t>Accumulated other comprehensive income (loss)</t>
  </si>
  <si>
    <t>Retained earnings (deficit)</t>
  </si>
  <si>
    <t>Total shareholders' equity</t>
  </si>
  <si>
    <t>TOTAL LIABILITIES AND SHAREHOLDERS' EQUITY</t>
  </si>
  <si>
    <t xml:space="preserve">Beta (Nike Inc.) </t>
  </si>
  <si>
    <r>
      <t xml:space="preserve">Evaluation of Capital Investment (PP&amp;E) for </t>
    </r>
    <r>
      <rPr>
        <b/>
        <sz val="24"/>
        <color theme="3"/>
        <rFont val="Times New Roman"/>
        <family val="1"/>
      </rPr>
      <t>Nike, Inc</t>
    </r>
    <r>
      <rPr>
        <b/>
        <sz val="24"/>
        <color theme="4" tint="-0.499984740745262"/>
        <rFont val="Times New Roman"/>
        <family val="1"/>
      </rPr>
      <t xml:space="preserve">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</si>
</sst>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4" tint="-0.499984740745262"/>
      <name val="Times New Roman"/>
      <family val="1"/>
    </font>
    <font>
      <i/>
      <sz val="12"/>
      <color theme="4" tint="-0.499984740745262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u/>
      <sz val="12"/>
      <color theme="1"/>
      <name val="Times New Roman"/>
      <family val="1"/>
    </font>
    <font>
      <b/>
      <sz val="24"/>
      <color theme="4" tint="-0.499984740745262"/>
      <name val="Times New Roman"/>
      <family val="1"/>
    </font>
    <font>
      <b/>
      <sz val="22"/>
      <color theme="4" tint="-0.499984740745262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i/>
      <u/>
      <sz val="12"/>
      <color theme="1"/>
      <name val="Times New Roman"/>
      <family val="1"/>
    </font>
    <font>
      <i/>
      <u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sz val="10"/>
      <color rgb="FF000000"/>
      <name val="Helvetica Neue"/>
      <family val="2"/>
    </font>
    <font>
      <sz val="10"/>
      <name val="Arial"/>
      <family val="2"/>
    </font>
    <font>
      <b/>
      <sz val="24"/>
      <color theme="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3" fillId="0" borderId="0" xfId="2" applyFont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1" xfId="6" applyFont="1" applyBorder="1" applyAlignment="1">
      <alignment vertical="center"/>
    </xf>
    <xf numFmtId="0" fontId="6" fillId="0" borderId="0" xfId="6" applyFont="1" applyAlignment="1">
      <alignment vertical="center"/>
    </xf>
    <xf numFmtId="0" fontId="3" fillId="0" borderId="0" xfId="6" applyFont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right" vertical="center"/>
    </xf>
    <xf numFmtId="0" fontId="14" fillId="0" borderId="1" xfId="2" applyFont="1" applyBorder="1" applyAlignment="1">
      <alignment vertical="center"/>
    </xf>
    <xf numFmtId="0" fontId="3" fillId="0" borderId="1" xfId="2" applyFont="1" applyBorder="1" applyAlignment="1">
      <alignment vertical="center"/>
    </xf>
    <xf numFmtId="0" fontId="3" fillId="0" borderId="0" xfId="2" applyFont="1" applyAlignment="1">
      <alignment vertical="center"/>
    </xf>
    <xf numFmtId="164" fontId="3" fillId="3" borderId="0" xfId="1" applyNumberFormat="1" applyFont="1" applyFill="1" applyAlignment="1">
      <alignment vertical="center"/>
    </xf>
    <xf numFmtId="0" fontId="3" fillId="3" borderId="0" xfId="2" applyFont="1" applyFill="1" applyAlignment="1">
      <alignment vertical="center"/>
    </xf>
    <xf numFmtId="164" fontId="3" fillId="3" borderId="0" xfId="0" applyNumberFormat="1" applyFont="1" applyFill="1" applyAlignment="1">
      <alignment vertical="center"/>
    </xf>
    <xf numFmtId="9" fontId="3" fillId="3" borderId="0" xfId="4" applyFont="1" applyFill="1" applyAlignment="1">
      <alignment vertical="center"/>
    </xf>
    <xf numFmtId="164" fontId="3" fillId="3" borderId="1" xfId="0" applyNumberFormat="1" applyFont="1" applyFill="1" applyBorder="1" applyAlignment="1">
      <alignment vertical="center"/>
    </xf>
    <xf numFmtId="10" fontId="3" fillId="3" borderId="0" xfId="0" applyNumberFormat="1" applyFont="1" applyFill="1" applyAlignment="1">
      <alignment vertical="center"/>
    </xf>
    <xf numFmtId="9" fontId="3" fillId="3" borderId="0" xfId="5" applyFont="1" applyFill="1" applyAlignment="1">
      <alignment vertical="center"/>
    </xf>
    <xf numFmtId="9" fontId="3" fillId="3" borderId="0" xfId="0" applyNumberFormat="1" applyFont="1" applyFill="1" applyAlignment="1">
      <alignment vertical="center"/>
    </xf>
    <xf numFmtId="43" fontId="3" fillId="3" borderId="0" xfId="0" applyNumberFormat="1" applyFont="1" applyFill="1" applyAlignment="1">
      <alignment vertical="center"/>
    </xf>
    <xf numFmtId="10" fontId="3" fillId="3" borderId="1" xfId="5" applyNumberFormat="1" applyFont="1" applyFill="1" applyBorder="1" applyAlignment="1">
      <alignment vertical="center"/>
    </xf>
    <xf numFmtId="0" fontId="3" fillId="0" borderId="1" xfId="2" applyFont="1" applyBorder="1" applyAlignment="1">
      <alignment horizontal="left" vertical="center"/>
    </xf>
    <xf numFmtId="0" fontId="13" fillId="0" borderId="0" xfId="2" applyFont="1" applyAlignment="1">
      <alignment horizontal="left" vertical="center"/>
    </xf>
    <xf numFmtId="0" fontId="13" fillId="0" borderId="0" xfId="0" applyFont="1" applyAlignment="1">
      <alignment vertical="center"/>
    </xf>
    <xf numFmtId="10" fontId="13" fillId="3" borderId="0" xfId="5" applyNumberFormat="1" applyFont="1" applyFill="1" applyBorder="1" applyAlignment="1">
      <alignment horizontal="right" vertical="center"/>
    </xf>
    <xf numFmtId="0" fontId="14" fillId="0" borderId="1" xfId="0" applyFont="1" applyBorder="1" applyAlignment="1">
      <alignment horizontal="left" vertical="center"/>
    </xf>
    <xf numFmtId="0" fontId="15" fillId="0" borderId="1" xfId="6" applyFont="1" applyBorder="1" applyAlignment="1">
      <alignment vertical="center"/>
    </xf>
    <xf numFmtId="0" fontId="3" fillId="0" borderId="1" xfId="6" applyFont="1" applyBorder="1" applyAlignment="1">
      <alignment vertical="center"/>
    </xf>
    <xf numFmtId="0" fontId="6" fillId="0" borderId="0" xfId="0" applyFont="1" applyAlignment="1">
      <alignment horizontal="right" vertical="center"/>
    </xf>
    <xf numFmtId="0" fontId="16" fillId="0" borderId="3" xfId="6" applyFont="1" applyBorder="1" applyAlignment="1">
      <alignment horizontal="right" vertical="center"/>
    </xf>
    <xf numFmtId="0" fontId="6" fillId="0" borderId="7" xfId="6" applyFont="1" applyBorder="1" applyAlignment="1">
      <alignment horizontal="right" vertical="center"/>
    </xf>
    <xf numFmtId="0" fontId="18" fillId="0" borderId="1" xfId="6" applyFont="1" applyBorder="1" applyAlignment="1">
      <alignment horizontal="right" vertical="center"/>
    </xf>
    <xf numFmtId="0" fontId="18" fillId="0" borderId="7" xfId="6" applyFont="1" applyBorder="1" applyAlignment="1">
      <alignment horizontal="right" vertical="center"/>
    </xf>
    <xf numFmtId="0" fontId="19" fillId="2" borderId="3" xfId="6" applyFont="1" applyFill="1" applyBorder="1" applyAlignment="1">
      <alignment vertical="center"/>
    </xf>
    <xf numFmtId="0" fontId="3" fillId="2" borderId="0" xfId="6" applyFont="1" applyFill="1" applyAlignment="1">
      <alignment vertical="center"/>
    </xf>
    <xf numFmtId="10" fontId="19" fillId="2" borderId="3" xfId="7" applyNumberFormat="1" applyFont="1" applyFill="1" applyBorder="1" applyAlignment="1">
      <alignment vertical="center"/>
    </xf>
    <xf numFmtId="10" fontId="19" fillId="2" borderId="0" xfId="7" applyNumberFormat="1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164" fontId="8" fillId="3" borderId="0" xfId="1" applyNumberFormat="1" applyFont="1" applyFill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64" fontId="3" fillId="0" borderId="0" xfId="1" applyNumberFormat="1" applyFont="1" applyFill="1" applyAlignment="1">
      <alignment vertical="center"/>
    </xf>
    <xf numFmtId="164" fontId="3" fillId="0" borderId="1" xfId="1" applyNumberFormat="1" applyFont="1" applyFill="1" applyBorder="1" applyAlignment="1">
      <alignment vertical="center"/>
    </xf>
    <xf numFmtId="164" fontId="3" fillId="3" borderId="1" xfId="1" applyNumberFormat="1" applyFont="1" applyFill="1" applyBorder="1" applyAlignment="1">
      <alignment vertical="center"/>
    </xf>
    <xf numFmtId="164" fontId="3" fillId="3" borderId="2" xfId="0" applyNumberFormat="1" applyFont="1" applyFill="1" applyBorder="1" applyAlignment="1">
      <alignment vertical="center"/>
    </xf>
    <xf numFmtId="43" fontId="3" fillId="3" borderId="1" xfId="0" applyNumberFormat="1" applyFont="1" applyFill="1" applyBorder="1" applyAlignment="1">
      <alignment vertical="center"/>
    </xf>
    <xf numFmtId="14" fontId="21" fillId="0" borderId="0" xfId="0" applyNumberFormat="1" applyFont="1"/>
    <xf numFmtId="0" fontId="21" fillId="0" borderId="0" xfId="0" applyFont="1"/>
    <xf numFmtId="0" fontId="22" fillId="0" borderId="0" xfId="0" applyFont="1" applyAlignment="1">
      <alignment vertical="top"/>
    </xf>
    <xf numFmtId="42" fontId="22" fillId="0" borderId="0" xfId="0" applyNumberFormat="1" applyFont="1" applyAlignment="1">
      <alignment vertical="top"/>
    </xf>
    <xf numFmtId="37" fontId="22" fillId="0" borderId="0" xfId="0" applyNumberFormat="1" applyFont="1" applyAlignment="1">
      <alignment vertical="top"/>
    </xf>
    <xf numFmtId="0" fontId="0" fillId="0" borderId="0" xfId="0" applyAlignment="1">
      <alignment vertical="top"/>
    </xf>
    <xf numFmtId="44" fontId="22" fillId="0" borderId="0" xfId="0" applyNumberFormat="1" applyFont="1" applyAlignment="1">
      <alignment vertical="top"/>
    </xf>
    <xf numFmtId="43" fontId="22" fillId="0" borderId="0" xfId="0" applyNumberFormat="1" applyFont="1" applyAlignment="1">
      <alignment vertical="top"/>
    </xf>
    <xf numFmtId="8" fontId="3" fillId="3" borderId="0" xfId="0" applyNumberFormat="1" applyFont="1" applyFill="1" applyAlignment="1">
      <alignment vertical="center"/>
    </xf>
    <xf numFmtId="0" fontId="7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37" fontId="7" fillId="0" borderId="0" xfId="0" applyNumberFormat="1" applyFont="1" applyAlignment="1">
      <alignment horizontal="right" vertical="top"/>
    </xf>
    <xf numFmtId="42" fontId="7" fillId="0" borderId="0" xfId="0" applyNumberFormat="1" applyFont="1" applyAlignment="1">
      <alignment horizontal="right" vertical="top"/>
    </xf>
    <xf numFmtId="165" fontId="3" fillId="3" borderId="0" xfId="4" applyNumberFormat="1" applyFont="1" applyFill="1" applyAlignment="1">
      <alignment vertical="center"/>
    </xf>
    <xf numFmtId="10" fontId="13" fillId="0" borderId="0" xfId="5" applyNumberFormat="1" applyFont="1" applyFill="1" applyBorder="1" applyAlignment="1">
      <alignment horizontal="right" vertical="center"/>
    </xf>
    <xf numFmtId="164" fontId="3" fillId="0" borderId="0" xfId="1" applyNumberFormat="1" applyFont="1" applyFill="1" applyBorder="1" applyAlignment="1">
      <alignment vertical="center"/>
    </xf>
    <xf numFmtId="164" fontId="3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/>
    </xf>
    <xf numFmtId="43" fontId="3" fillId="0" borderId="0" xfId="0" applyNumberFormat="1" applyFont="1" applyAlignment="1">
      <alignment vertical="center"/>
    </xf>
    <xf numFmtId="10" fontId="3" fillId="0" borderId="0" xfId="5" applyNumberFormat="1" applyFont="1" applyFill="1" applyBorder="1" applyAlignment="1">
      <alignment vertical="center"/>
    </xf>
    <xf numFmtId="166" fontId="3" fillId="3" borderId="1" xfId="0" applyNumberFormat="1" applyFont="1" applyFill="1" applyBorder="1" applyAlignment="1">
      <alignment vertical="center"/>
    </xf>
    <xf numFmtId="0" fontId="17" fillId="0" borderId="4" xfId="6" applyFont="1" applyBorder="1" applyAlignment="1">
      <alignment horizontal="center" vertical="center"/>
    </xf>
    <xf numFmtId="0" fontId="17" fillId="0" borderId="5" xfId="6" applyFont="1" applyBorder="1" applyAlignment="1">
      <alignment horizontal="center" vertical="center"/>
    </xf>
    <xf numFmtId="0" fontId="17" fillId="0" borderId="6" xfId="6" applyFont="1" applyBorder="1" applyAlignment="1">
      <alignment horizontal="center" vertical="center"/>
    </xf>
    <xf numFmtId="0" fontId="17" fillId="0" borderId="0" xfId="6" applyFont="1" applyAlignment="1">
      <alignment horizontal="center" vertical="center"/>
    </xf>
  </cellXfs>
  <cellStyles count="8">
    <cellStyle name="Comma" xfId="1" builtinId="3"/>
    <cellStyle name="Comma 2" xfId="3" xr:uid="{EF3C5F3F-73EB-BD42-A05F-909DD1D9EA71}"/>
    <cellStyle name="Normal" xfId="0" builtinId="0"/>
    <cellStyle name="Normal 2" xfId="2" xr:uid="{05B6E6F8-A3E7-9941-B9A6-6A074445E3E1}"/>
    <cellStyle name="Normal 3" xfId="6" xr:uid="{08693053-AF5B-1946-98D8-AFE75784632E}"/>
    <cellStyle name="Percent" xfId="5" builtinId="5"/>
    <cellStyle name="Percent 2" xfId="4" xr:uid="{0099FD40-F900-6643-A96B-E7052F5AF639}"/>
    <cellStyle name="Percent 2 2 2" xfId="7" xr:uid="{386E076A-77C8-9740-BD04-24BD50CF3D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ahn/Desktop/HULT/HULT%20Professor%20PG/PG%202022%20Fall_Financial%20Planning%20&amp;%20Analysis/Mayes_FAME_9e_Instructor%20Data%20Files%20and%20Solutions/Chapter%2012/Chapter%2012%20Worksheets.xlsm" TargetMode="External"/></Relationships>
</file>

<file path=xl/externalLinks/_rels/externalLink2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hultstudents-my.sharepoint.com/Users/paulbumchanahn/Desktop/HULT/HULT%20Professor%20PG/PG%202024%20Spring_Financial%20Planning%20&amp;%20Analysis/2024S_MFIN1756_Class%20Materials/2024S_MFIN1756_FP&amp;A_Class%20Exercise_Session%204.%20Capital%20Budgeting%20&amp;%20Investment%20Decision_A.xlsx" TargetMode="External"/><Relationship Id="rId2" Type="http://schemas.microsoft.com/office/2019/04/relationships/externalLinkLongPath" Target="/Users/paulbumchanahn/Desktop/HULT/HULT%20Professor%20PG/PG%202024%20Spring_Financial%20Planning%20&amp;%20Analysis/2024S_MFIN1756_Class%20Materials/2024S_MFIN1756_FP&amp;A_Class%20Exercise_Session%204.%20Capital%20Budgeting%20&amp;%20Investment%20Decision_A.xlsx?2A3881F2" TargetMode="External"/><Relationship Id="rId1" Type="http://schemas.openxmlformats.org/officeDocument/2006/relationships/externalLinkPath" Target="file:///2A3881F2/2024S_MFIN1756_FP&amp;A_Class%20Exercise_Session%204.%20Capital%20Budgeting%20&amp;%20Investment%20Decision_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ahn/Desktop/Accounting%20TA/Performance%20Management/C:/Users/John/Accounting%20HULT%20My%20Files/accounting%20hult%20team%20files/Managerial%20Accounting/Chapter%202/C-V-P%20Graph%20for%20Class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h 12-1 to 12-4"/>
      <sheetName val="Fig 12-6"/>
      <sheetName val="Fig 12-6 Large Chart"/>
      <sheetName val="Scenario Summary (Exh 12-7)"/>
      <sheetName val="Exh 12-8"/>
      <sheetName val="Exh 12-9"/>
      <sheetName val="Exh 12-10"/>
      <sheetName val="Exh 12-11"/>
      <sheetName val="Scenario Summary (Exh 12-1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NPV IRR PI"/>
      <sheetName val="Crossover rate"/>
      <sheetName val="Project interaction"/>
      <sheetName val="EAC Application"/>
      <sheetName val="Capital Rationing"/>
      <sheetName val="Case P&amp;S"/>
      <sheetName val="Gain on Sale after tax"/>
      <sheetName val="Case. Blooper 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Case"/>
      <sheetName val="FCFF vs. FCF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E66E-95DF-144F-B5C4-D3603778BA71}">
  <sheetPr>
    <pageSetUpPr fitToPage="1"/>
  </sheetPr>
  <dimension ref="B2:W90"/>
  <sheetViews>
    <sheetView showGridLines="0" tabSelected="1" zoomScaleNormal="115" workbookViewId="0">
      <selection activeCell="G53" sqref="G53"/>
    </sheetView>
  </sheetViews>
  <sheetFormatPr baseColWidth="10" defaultColWidth="10.83203125" defaultRowHeight="16" x14ac:dyDescent="0.2"/>
  <cols>
    <col min="1" max="1" width="2.33203125" style="2" customWidth="1"/>
    <col min="2" max="2" width="47" style="2" customWidth="1"/>
    <col min="3" max="4" width="16.5" style="1" customWidth="1"/>
    <col min="5" max="5" width="6" style="2" customWidth="1"/>
    <col min="6" max="6" width="61.5" style="2" customWidth="1"/>
    <col min="7" max="14" width="11.6640625" style="2" customWidth="1"/>
    <col min="15" max="15" width="7" style="2" customWidth="1"/>
    <col min="16" max="20" width="11.1640625" style="2" customWidth="1"/>
    <col min="21" max="16384" width="10.83203125" style="2"/>
  </cols>
  <sheetData>
    <row r="2" spans="2:23" s="10" customFormat="1" ht="35" customHeight="1" x14ac:dyDescent="0.2">
      <c r="B2" s="11" t="s">
        <v>114</v>
      </c>
      <c r="C2" s="12"/>
      <c r="D2" s="12"/>
      <c r="H2" s="13"/>
    </row>
    <row r="5" spans="2:23" s="16" customFormat="1" ht="20" x14ac:dyDescent="0.2">
      <c r="B5" s="14" t="s">
        <v>16</v>
      </c>
      <c r="C5" s="15"/>
      <c r="D5" s="15"/>
      <c r="F5" s="14" t="s">
        <v>17</v>
      </c>
      <c r="G5" s="17"/>
      <c r="H5" s="17"/>
      <c r="I5" s="17"/>
      <c r="J5" s="17"/>
      <c r="K5" s="17"/>
      <c r="L5" s="17"/>
      <c r="M5" s="17"/>
      <c r="N5" s="17"/>
      <c r="P5" s="14" t="s">
        <v>18</v>
      </c>
      <c r="Q5" s="14"/>
      <c r="R5" s="14"/>
      <c r="S5" s="18"/>
      <c r="T5" s="18"/>
    </row>
    <row r="6" spans="2:23" x14ac:dyDescent="0.2">
      <c r="P6" s="19"/>
      <c r="Q6" s="20"/>
      <c r="R6" s="20"/>
      <c r="S6" s="20"/>
      <c r="T6" s="20"/>
    </row>
    <row r="7" spans="2:23" ht="18" x14ac:dyDescent="0.2">
      <c r="B7" s="21" t="s">
        <v>19</v>
      </c>
      <c r="C7" s="22"/>
      <c r="D7" s="22"/>
      <c r="F7" s="23" t="s">
        <v>20</v>
      </c>
      <c r="G7" s="24">
        <v>0</v>
      </c>
      <c r="H7" s="3">
        <v>1</v>
      </c>
      <c r="I7" s="3">
        <v>2</v>
      </c>
      <c r="J7" s="3">
        <v>3</v>
      </c>
      <c r="K7" s="3">
        <v>4</v>
      </c>
      <c r="L7" s="3">
        <v>5</v>
      </c>
      <c r="M7" s="3">
        <v>6</v>
      </c>
      <c r="N7" s="3">
        <v>7</v>
      </c>
      <c r="P7" s="23" t="s">
        <v>21</v>
      </c>
      <c r="Q7" s="24"/>
      <c r="R7" s="7"/>
      <c r="S7" s="7"/>
      <c r="T7" s="7"/>
    </row>
    <row r="8" spans="2:23" ht="17" customHeight="1" x14ac:dyDescent="0.2">
      <c r="B8" s="64" t="s">
        <v>22</v>
      </c>
      <c r="C8" s="64" t="s">
        <v>22</v>
      </c>
      <c r="D8" s="64" t="s">
        <v>23</v>
      </c>
      <c r="F8" s="25" t="s">
        <v>24</v>
      </c>
      <c r="G8" s="26">
        <f>C35</f>
        <v>5081</v>
      </c>
      <c r="H8" s="6"/>
      <c r="P8" s="2" t="s">
        <v>25</v>
      </c>
      <c r="T8" s="26">
        <v>94.32</v>
      </c>
      <c r="W8" s="77"/>
    </row>
    <row r="9" spans="2:23" x14ac:dyDescent="0.2">
      <c r="B9" s="64" t="s">
        <v>26</v>
      </c>
      <c r="C9" s="64">
        <v>2023</v>
      </c>
      <c r="D9" s="64">
        <v>2022</v>
      </c>
      <c r="F9" s="25" t="s">
        <v>27</v>
      </c>
      <c r="G9" s="27">
        <v>7</v>
      </c>
      <c r="H9" s="6"/>
      <c r="P9" s="2" t="s">
        <v>28</v>
      </c>
      <c r="T9" s="26">
        <v>305</v>
      </c>
      <c r="W9" s="77"/>
    </row>
    <row r="10" spans="2:23" x14ac:dyDescent="0.2">
      <c r="B10" s="64" t="s">
        <v>29</v>
      </c>
      <c r="C10" s="65">
        <v>51217</v>
      </c>
      <c r="D10" s="65">
        <v>46710</v>
      </c>
      <c r="F10" s="2" t="s">
        <v>30</v>
      </c>
      <c r="G10" s="28">
        <f>G8/G9</f>
        <v>725.85714285714289</v>
      </c>
      <c r="H10" s="6"/>
      <c r="P10" s="2" t="s">
        <v>31</v>
      </c>
      <c r="T10" s="26">
        <f>T8*T9</f>
        <v>28767.599999999999</v>
      </c>
      <c r="W10" s="77"/>
    </row>
    <row r="11" spans="2:23" x14ac:dyDescent="0.2">
      <c r="B11" s="64" t="s">
        <v>32</v>
      </c>
      <c r="C11" s="66">
        <v>28925</v>
      </c>
      <c r="D11" s="66">
        <v>25231</v>
      </c>
      <c r="F11" s="25" t="s">
        <v>33</v>
      </c>
      <c r="G11" s="26">
        <f>C10*C35/C40</f>
        <v>6933.8300871279744</v>
      </c>
      <c r="H11" s="6"/>
      <c r="P11" s="2" t="s">
        <v>34</v>
      </c>
      <c r="T11" s="26">
        <f>C50+C51+C52</f>
        <v>14271</v>
      </c>
      <c r="W11" s="77"/>
    </row>
    <row r="12" spans="2:23" x14ac:dyDescent="0.2">
      <c r="B12" s="64" t="s">
        <v>35</v>
      </c>
      <c r="C12" s="66">
        <v>22292</v>
      </c>
      <c r="D12" s="66">
        <v>21479</v>
      </c>
      <c r="F12" s="25" t="s">
        <v>36</v>
      </c>
      <c r="G12" s="29">
        <v>0.11</v>
      </c>
      <c r="H12" s="29">
        <v>0.12</v>
      </c>
      <c r="I12" s="29">
        <v>0.12</v>
      </c>
      <c r="J12" s="29">
        <v>0.13</v>
      </c>
      <c r="K12" s="29">
        <v>0.14000000000000001</v>
      </c>
      <c r="L12" s="29">
        <v>0.15</v>
      </c>
      <c r="M12" s="29">
        <v>0.15</v>
      </c>
      <c r="N12" s="29">
        <v>0.16</v>
      </c>
      <c r="P12" s="7" t="s">
        <v>37</v>
      </c>
      <c r="Q12" s="7"/>
      <c r="R12" s="7"/>
      <c r="S12" s="7"/>
      <c r="T12" s="30">
        <f>T10+T11</f>
        <v>43038.6</v>
      </c>
      <c r="W12" s="78"/>
    </row>
    <row r="13" spans="2:23" x14ac:dyDescent="0.2">
      <c r="B13" s="64" t="s">
        <v>38</v>
      </c>
      <c r="C13" s="66">
        <v>4060</v>
      </c>
      <c r="D13" s="66">
        <v>3850</v>
      </c>
      <c r="F13" s="25" t="s">
        <v>39</v>
      </c>
      <c r="G13" s="29">
        <f>C11/C10</f>
        <v>0.56475389030985801</v>
      </c>
      <c r="H13" s="29">
        <v>0.56999999999999995</v>
      </c>
      <c r="I13" s="29">
        <v>0.56000000000000005</v>
      </c>
      <c r="J13" s="29">
        <v>0.55000000000000004</v>
      </c>
      <c r="K13" s="29">
        <v>0.56999999999999995</v>
      </c>
      <c r="L13" s="29">
        <v>0.57999999999999996</v>
      </c>
      <c r="M13" s="29">
        <v>0.57999999999999996</v>
      </c>
      <c r="N13" s="29">
        <v>0.59</v>
      </c>
      <c r="P13" s="2" t="s">
        <v>40</v>
      </c>
      <c r="T13" s="31">
        <v>5.16E-2</v>
      </c>
      <c r="W13" s="79"/>
    </row>
    <row r="14" spans="2:23" x14ac:dyDescent="0.2">
      <c r="B14" s="64" t="s">
        <v>41</v>
      </c>
      <c r="C14" s="66">
        <v>12317</v>
      </c>
      <c r="D14" s="66">
        <v>10954</v>
      </c>
      <c r="F14" s="25" t="str">
        <f>B13</f>
        <v>Demand creation expense</v>
      </c>
      <c r="G14" s="32">
        <f>C13/C10</f>
        <v>7.9270554698635212E-2</v>
      </c>
      <c r="H14" s="32">
        <v>0.08</v>
      </c>
      <c r="I14" s="32">
        <v>0.09</v>
      </c>
      <c r="J14" s="32">
        <v>0.1</v>
      </c>
      <c r="K14" s="32">
        <v>0.1</v>
      </c>
      <c r="L14" s="32">
        <v>0.11</v>
      </c>
      <c r="M14" s="32">
        <v>0.12</v>
      </c>
      <c r="N14" s="32">
        <v>0.14000000000000001</v>
      </c>
      <c r="P14" s="2" t="s">
        <v>42</v>
      </c>
      <c r="T14" s="33">
        <v>0.1</v>
      </c>
      <c r="W14" s="80"/>
    </row>
    <row r="15" spans="2:23" x14ac:dyDescent="0.2">
      <c r="B15" s="64" t="s">
        <v>43</v>
      </c>
      <c r="C15" s="66">
        <v>16377</v>
      </c>
      <c r="D15" s="66">
        <v>14804</v>
      </c>
      <c r="F15" s="25" t="str">
        <f>B14</f>
        <v>Operating overhead expense</v>
      </c>
      <c r="G15" s="29">
        <f>C14/C10</f>
        <v>0.24048655719780543</v>
      </c>
      <c r="H15" s="29">
        <v>0.24</v>
      </c>
      <c r="I15" s="29">
        <v>0.25</v>
      </c>
      <c r="J15" s="29">
        <v>0.25</v>
      </c>
      <c r="K15" s="29">
        <v>0.26</v>
      </c>
      <c r="L15" s="29">
        <v>0.27</v>
      </c>
      <c r="M15" s="29">
        <v>0.27</v>
      </c>
      <c r="N15" s="29">
        <v>0.28000000000000003</v>
      </c>
      <c r="P15" s="2" t="s">
        <v>44</v>
      </c>
      <c r="T15" s="34">
        <f>SLOPE(T25:T83,R25:R83)</f>
        <v>1.0111164414835963</v>
      </c>
      <c r="W15" s="81"/>
    </row>
    <row r="16" spans="2:23" x14ac:dyDescent="0.2">
      <c r="B16" s="64" t="s">
        <v>45</v>
      </c>
      <c r="C16" s="66">
        <v>-6</v>
      </c>
      <c r="D16" s="66">
        <v>205</v>
      </c>
      <c r="F16" s="25" t="s">
        <v>46</v>
      </c>
      <c r="G16" s="75">
        <f>C19/C18</f>
        <v>0.18238993710691823</v>
      </c>
      <c r="H16" s="29">
        <v>0.19</v>
      </c>
      <c r="I16" s="29">
        <v>0.19</v>
      </c>
      <c r="J16" s="29">
        <v>0.19</v>
      </c>
      <c r="K16" s="29">
        <v>0.2</v>
      </c>
      <c r="L16" s="29">
        <v>0.2</v>
      </c>
      <c r="M16" s="29">
        <v>0.2</v>
      </c>
      <c r="N16" s="29">
        <v>0.2</v>
      </c>
      <c r="P16" s="7" t="s">
        <v>47</v>
      </c>
      <c r="Q16" s="7"/>
      <c r="R16" s="7"/>
      <c r="S16" s="7"/>
      <c r="T16" s="35">
        <f>(T14-T13)*T15</f>
        <v>4.8938035767806067E-2</v>
      </c>
      <c r="W16" s="82"/>
    </row>
    <row r="17" spans="2:23" x14ac:dyDescent="0.2">
      <c r="B17" s="64" t="s">
        <v>48</v>
      </c>
      <c r="C17" s="66">
        <v>-280</v>
      </c>
      <c r="D17" s="66">
        <v>-181</v>
      </c>
      <c r="F17" s="4" t="s">
        <v>49</v>
      </c>
      <c r="G17" s="32">
        <f>(C34-C49)/G11</f>
        <v>2.2997390763298773</v>
      </c>
      <c r="H17" s="33">
        <v>2.31</v>
      </c>
      <c r="I17" s="33">
        <v>2.3199999999999998</v>
      </c>
      <c r="J17" s="33">
        <v>2.3199999999999998</v>
      </c>
      <c r="K17" s="33">
        <v>2.33</v>
      </c>
      <c r="L17" s="33">
        <v>2.34</v>
      </c>
      <c r="M17" s="33">
        <v>2.34</v>
      </c>
      <c r="N17" s="33">
        <v>2.35</v>
      </c>
      <c r="P17" s="4" t="s">
        <v>50</v>
      </c>
      <c r="T17" s="31">
        <f>T13+T16</f>
        <v>0.10053803576780607</v>
      </c>
      <c r="W17" s="79"/>
    </row>
    <row r="18" spans="2:23" x14ac:dyDescent="0.2">
      <c r="B18" s="64" t="s">
        <v>51</v>
      </c>
      <c r="C18" s="66">
        <v>6201</v>
      </c>
      <c r="D18" s="66">
        <v>6651</v>
      </c>
      <c r="F18" s="25"/>
      <c r="P18" s="36" t="s">
        <v>52</v>
      </c>
      <c r="Q18" s="7"/>
      <c r="R18" s="7"/>
      <c r="S18" s="7"/>
      <c r="T18" s="83">
        <v>3.875E-2</v>
      </c>
      <c r="W18" s="79"/>
    </row>
    <row r="19" spans="2:23" x14ac:dyDescent="0.2">
      <c r="B19" s="64" t="s">
        <v>53</v>
      </c>
      <c r="C19" s="66">
        <v>1131</v>
      </c>
      <c r="D19" s="66">
        <v>605</v>
      </c>
      <c r="P19" s="37" t="s">
        <v>54</v>
      </c>
      <c r="Q19" s="38"/>
      <c r="R19" s="38"/>
      <c r="T19" s="39">
        <f>T18*(1-G16)*T11/T12+T17*T10/T12</f>
        <v>7.7706463141142851E-2</v>
      </c>
      <c r="W19" s="76"/>
    </row>
    <row r="20" spans="2:23" x14ac:dyDescent="0.2">
      <c r="B20" s="64" t="s">
        <v>55</v>
      </c>
      <c r="C20" s="65">
        <v>5070</v>
      </c>
      <c r="D20" s="65">
        <v>6046</v>
      </c>
    </row>
    <row r="21" spans="2:23" ht="18" x14ac:dyDescent="0.2">
      <c r="B21" s="71"/>
      <c r="C21" s="72"/>
      <c r="D21" s="72"/>
      <c r="F21" s="40" t="s">
        <v>1</v>
      </c>
      <c r="G21" s="3">
        <v>0</v>
      </c>
      <c r="H21" s="3">
        <v>1</v>
      </c>
      <c r="I21" s="3">
        <v>2</v>
      </c>
      <c r="J21" s="3">
        <v>3</v>
      </c>
      <c r="K21" s="3">
        <v>4</v>
      </c>
      <c r="L21" s="3">
        <v>5</v>
      </c>
      <c r="M21" s="3">
        <v>6</v>
      </c>
      <c r="N21" s="3">
        <v>7</v>
      </c>
      <c r="P21" s="41" t="s">
        <v>113</v>
      </c>
      <c r="R21" s="42"/>
      <c r="S21" s="41"/>
      <c r="T21" s="41"/>
    </row>
    <row r="22" spans="2:23" x14ac:dyDescent="0.2">
      <c r="B22" s="71"/>
      <c r="C22" s="73"/>
      <c r="D22" s="73"/>
      <c r="E22" s="43" t="s">
        <v>2</v>
      </c>
      <c r="F22" s="2" t="s">
        <v>56</v>
      </c>
      <c r="G22" s="26">
        <f>G8</f>
        <v>5081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P22" s="44" t="s">
        <v>57</v>
      </c>
      <c r="Q22" s="84" t="s">
        <v>58</v>
      </c>
      <c r="R22" s="85"/>
      <c r="S22" s="86" t="s">
        <v>59</v>
      </c>
      <c r="T22" s="87"/>
    </row>
    <row r="23" spans="2:23" x14ac:dyDescent="0.2">
      <c r="B23" s="71"/>
      <c r="C23" s="73"/>
      <c r="D23" s="73"/>
      <c r="E23" s="1" t="s">
        <v>5</v>
      </c>
      <c r="F23" s="2" t="s">
        <v>60</v>
      </c>
      <c r="G23" s="26">
        <f>-G22</f>
        <v>-5081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P23" s="45" t="s">
        <v>61</v>
      </c>
      <c r="Q23" s="46" t="s">
        <v>62</v>
      </c>
      <c r="R23" s="47" t="s">
        <v>63</v>
      </c>
      <c r="S23" s="46" t="s">
        <v>62</v>
      </c>
      <c r="T23" s="46" t="s">
        <v>63</v>
      </c>
    </row>
    <row r="24" spans="2:23" x14ac:dyDescent="0.15">
      <c r="B24" s="54" t="s">
        <v>68</v>
      </c>
      <c r="C24" s="55"/>
      <c r="D24" s="56"/>
      <c r="E24" s="1"/>
      <c r="P24" s="62">
        <v>43647</v>
      </c>
      <c r="Q24" s="63">
        <v>275.79101600000001</v>
      </c>
      <c r="R24" s="48"/>
      <c r="S24" s="63">
        <v>81.576194999999998</v>
      </c>
      <c r="T24" s="49"/>
    </row>
    <row r="25" spans="2:23" x14ac:dyDescent="0.15">
      <c r="B25" s="64" t="s">
        <v>22</v>
      </c>
      <c r="C25" s="64" t="s">
        <v>22</v>
      </c>
      <c r="D25" s="64" t="s">
        <v>69</v>
      </c>
      <c r="P25" s="62">
        <v>43678</v>
      </c>
      <c r="Q25" s="63">
        <v>271.17321800000002</v>
      </c>
      <c r="R25" s="50">
        <f>Q25/Q24-1</f>
        <v>-1.6743830408166738E-2</v>
      </c>
      <c r="S25" s="63">
        <v>80.125420000000005</v>
      </c>
      <c r="T25" s="51">
        <f>S25/S24-1</f>
        <v>-1.778429356750455E-2</v>
      </c>
    </row>
    <row r="26" spans="2:23" ht="18" x14ac:dyDescent="0.15">
      <c r="B26" s="64" t="s">
        <v>70</v>
      </c>
      <c r="C26" s="64">
        <v>2023</v>
      </c>
      <c r="D26" s="64">
        <v>2022</v>
      </c>
      <c r="E26" s="1"/>
      <c r="F26" s="52" t="s">
        <v>4</v>
      </c>
      <c r="G26" s="3">
        <v>0</v>
      </c>
      <c r="H26" s="3">
        <v>1</v>
      </c>
      <c r="I26" s="3">
        <v>2</v>
      </c>
      <c r="J26" s="3">
        <v>3</v>
      </c>
      <c r="K26" s="3">
        <v>4</v>
      </c>
      <c r="L26" s="3">
        <v>5</v>
      </c>
      <c r="M26" s="3">
        <v>6</v>
      </c>
      <c r="N26" s="3">
        <v>7</v>
      </c>
      <c r="P26" s="62">
        <v>43709</v>
      </c>
      <c r="Q26" s="63">
        <v>275.17895499999997</v>
      </c>
      <c r="R26" s="50">
        <f t="shared" ref="R26:R83" si="0">Q26/Q25-1</f>
        <v>1.477187544383507E-2</v>
      </c>
      <c r="S26" s="63">
        <v>89.287796</v>
      </c>
      <c r="T26" s="51">
        <f t="shared" ref="T26:T83" si="1">S26/S25-1</f>
        <v>0.1143504271178859</v>
      </c>
    </row>
    <row r="27" spans="2:23" x14ac:dyDescent="0.15">
      <c r="B27" s="64" t="s">
        <v>71</v>
      </c>
      <c r="C27" s="67"/>
      <c r="D27" s="67"/>
      <c r="E27" s="1" t="s">
        <v>3</v>
      </c>
      <c r="F27" s="2" t="s">
        <v>64</v>
      </c>
      <c r="G27" s="26">
        <f>G11</f>
        <v>6933.8300871279744</v>
      </c>
      <c r="H27" s="26">
        <f>G27*(1+H12)</f>
        <v>7765.8896975833322</v>
      </c>
      <c r="I27" s="26">
        <f>H27*(1+I12)</f>
        <v>8697.7964612933338</v>
      </c>
      <c r="J27" s="26">
        <f t="shared" ref="J27:K27" si="2">I27*(1+J12)</f>
        <v>9828.5100012614657</v>
      </c>
      <c r="K27" s="26">
        <f t="shared" si="2"/>
        <v>11204.501401438072</v>
      </c>
      <c r="L27" s="26">
        <f>K27*(1+L12)</f>
        <v>12885.176611653782</v>
      </c>
      <c r="M27" s="26">
        <f t="shared" ref="M27:N27" si="3">L27*(1+M12)</f>
        <v>14817.953103401847</v>
      </c>
      <c r="N27" s="26">
        <f t="shared" si="3"/>
        <v>17188.825599946143</v>
      </c>
      <c r="P27" s="62">
        <v>43739</v>
      </c>
      <c r="Q27" s="63">
        <v>282.56051600000001</v>
      </c>
      <c r="R27" s="50">
        <f t="shared" si="0"/>
        <v>2.6824584023876552E-2</v>
      </c>
      <c r="S27" s="63">
        <v>85.133315999999994</v>
      </c>
      <c r="T27" s="51">
        <f t="shared" si="1"/>
        <v>-4.6529091164933756E-2</v>
      </c>
    </row>
    <row r="28" spans="2:23" x14ac:dyDescent="0.15">
      <c r="B28" s="64" t="s">
        <v>72</v>
      </c>
      <c r="C28" s="67"/>
      <c r="D28" s="67"/>
      <c r="E28" s="1" t="s">
        <v>2</v>
      </c>
      <c r="F28" s="8" t="s">
        <v>65</v>
      </c>
      <c r="G28" s="53">
        <f>G11*G13</f>
        <v>3915.9075164530655</v>
      </c>
      <c r="H28" s="53">
        <f>H27*H13</f>
        <v>4426.5571276224991</v>
      </c>
      <c r="I28" s="53">
        <f>I27*I13</f>
        <v>4870.766018324267</v>
      </c>
      <c r="J28" s="53">
        <f t="shared" ref="J28:L28" si="4">J27*J13</f>
        <v>5405.6805006938066</v>
      </c>
      <c r="K28" s="53">
        <f t="shared" si="4"/>
        <v>6386.5657988197008</v>
      </c>
      <c r="L28" s="53">
        <f t="shared" si="4"/>
        <v>7473.4024347591931</v>
      </c>
      <c r="M28" s="53">
        <f t="shared" ref="M28:N28" si="5">M27*M13</f>
        <v>8594.4127999730717</v>
      </c>
      <c r="N28" s="53">
        <f t="shared" si="5"/>
        <v>10141.407103968224</v>
      </c>
      <c r="P28" s="62">
        <v>43770</v>
      </c>
      <c r="Q28" s="63">
        <v>292.78872699999999</v>
      </c>
      <c r="R28" s="50">
        <f t="shared" si="0"/>
        <v>3.6198302384187198E-2</v>
      </c>
      <c r="S28" s="63">
        <v>88.878990000000002</v>
      </c>
      <c r="T28" s="51">
        <f t="shared" si="1"/>
        <v>4.3997745841357849E-2</v>
      </c>
    </row>
    <row r="29" spans="2:23" x14ac:dyDescent="0.15">
      <c r="B29" s="64" t="s">
        <v>73</v>
      </c>
      <c r="C29" s="65">
        <v>7441</v>
      </c>
      <c r="D29" s="65">
        <v>8574</v>
      </c>
      <c r="E29" s="1" t="s">
        <v>5</v>
      </c>
      <c r="F29" s="2" t="s">
        <v>66</v>
      </c>
      <c r="G29" s="26">
        <f>G27-G28</f>
        <v>3017.9225706749089</v>
      </c>
      <c r="H29" s="26">
        <f>H27-H28</f>
        <v>3339.3325699608331</v>
      </c>
      <c r="I29" s="26">
        <f>I27-I28</f>
        <v>3827.0304429690668</v>
      </c>
      <c r="J29" s="26">
        <f t="shared" ref="J29:L29" si="6">J27-J28</f>
        <v>4422.8295005676591</v>
      </c>
      <c r="K29" s="26">
        <f t="shared" si="6"/>
        <v>4817.9356026183714</v>
      </c>
      <c r="L29" s="26">
        <f t="shared" si="6"/>
        <v>5411.7741768945889</v>
      </c>
      <c r="M29" s="26">
        <f t="shared" ref="M29:N29" si="7">M27-M28</f>
        <v>6223.5403034287756</v>
      </c>
      <c r="N29" s="26">
        <f t="shared" si="7"/>
        <v>7047.4184959779195</v>
      </c>
      <c r="P29" s="62">
        <v>43800</v>
      </c>
      <c r="Q29" s="63">
        <v>299.821777</v>
      </c>
      <c r="R29" s="50">
        <f t="shared" si="0"/>
        <v>2.4020904329421056E-2</v>
      </c>
      <c r="S29" s="63">
        <v>96.564628999999996</v>
      </c>
      <c r="T29" s="51">
        <f t="shared" si="1"/>
        <v>8.6473068607102688E-2</v>
      </c>
    </row>
    <row r="30" spans="2:23" x14ac:dyDescent="0.15">
      <c r="B30" s="64" t="s">
        <v>74</v>
      </c>
      <c r="C30" s="66">
        <v>3234</v>
      </c>
      <c r="D30" s="66">
        <v>4423</v>
      </c>
      <c r="E30" s="1" t="s">
        <v>2</v>
      </c>
      <c r="F30" s="2" t="str">
        <f>F14</f>
        <v>Demand creation expense</v>
      </c>
      <c r="G30" s="26">
        <f>G27*G14</f>
        <v>549.64855719272066</v>
      </c>
      <c r="H30" s="26">
        <f>H27*H14</f>
        <v>621.27117580666663</v>
      </c>
      <c r="I30" s="26">
        <f>I27*I14</f>
        <v>782.80168151639998</v>
      </c>
      <c r="J30" s="26">
        <f t="shared" ref="J30:L30" si="8">J27*J14</f>
        <v>982.85100012614657</v>
      </c>
      <c r="K30" s="26">
        <f t="shared" si="8"/>
        <v>1120.4501401438072</v>
      </c>
      <c r="L30" s="26">
        <f t="shared" si="8"/>
        <v>1417.3694272819159</v>
      </c>
      <c r="M30" s="26">
        <f t="shared" ref="M30:N30" si="9">M27*M14</f>
        <v>1778.1543724082217</v>
      </c>
      <c r="N30" s="26">
        <f t="shared" si="9"/>
        <v>2406.4355839924601</v>
      </c>
      <c r="P30" s="62">
        <v>43831</v>
      </c>
      <c r="Q30" s="63">
        <v>301.174103</v>
      </c>
      <c r="R30" s="50">
        <f t="shared" si="0"/>
        <v>4.5104328762617385E-3</v>
      </c>
      <c r="S30" s="63">
        <v>91.789291000000006</v>
      </c>
      <c r="T30" s="51">
        <f t="shared" si="1"/>
        <v>-4.9452248193279869E-2</v>
      </c>
    </row>
    <row r="31" spans="2:23" x14ac:dyDescent="0.15">
      <c r="B31" s="64" t="s">
        <v>76</v>
      </c>
      <c r="C31" s="66">
        <v>4131</v>
      </c>
      <c r="D31" s="66">
        <v>4667</v>
      </c>
      <c r="E31" s="1" t="s">
        <v>67</v>
      </c>
      <c r="F31" s="8" t="str">
        <f>F15</f>
        <v>Operating overhead expense</v>
      </c>
      <c r="G31" s="53">
        <f>G27*G15</f>
        <v>1667.4929258479658</v>
      </c>
      <c r="H31" s="53">
        <f>H27*H15</f>
        <v>1863.8135274199997</v>
      </c>
      <c r="I31" s="53">
        <f>I27*I15</f>
        <v>2174.4491153233334</v>
      </c>
      <c r="J31" s="53">
        <f t="shared" ref="J31:L31" si="10">J27*J15</f>
        <v>2457.1275003153664</v>
      </c>
      <c r="K31" s="53">
        <f t="shared" si="10"/>
        <v>2913.1703643738988</v>
      </c>
      <c r="L31" s="53">
        <f t="shared" si="10"/>
        <v>3478.9976851465212</v>
      </c>
      <c r="M31" s="53">
        <f t="shared" ref="M31:N31" si="11">M27*M15</f>
        <v>4000.8473379184989</v>
      </c>
      <c r="N31" s="53">
        <f t="shared" si="11"/>
        <v>4812.8711679849202</v>
      </c>
      <c r="P31" s="62">
        <v>43862</v>
      </c>
      <c r="Q31" s="63">
        <v>277.33145100000002</v>
      </c>
      <c r="R31" s="50">
        <f t="shared" si="0"/>
        <v>-7.9165677800657308E-2</v>
      </c>
      <c r="S31" s="63">
        <v>85.193420000000003</v>
      </c>
      <c r="T31" s="51">
        <f t="shared" si="1"/>
        <v>-7.1858829370410993E-2</v>
      </c>
    </row>
    <row r="32" spans="2:23" x14ac:dyDescent="0.15">
      <c r="B32" s="64" t="s">
        <v>77</v>
      </c>
      <c r="C32" s="66">
        <v>8454</v>
      </c>
      <c r="D32" s="66">
        <v>8420</v>
      </c>
      <c r="E32" s="1" t="s">
        <v>5</v>
      </c>
      <c r="F32" s="2" t="s">
        <v>6</v>
      </c>
      <c r="G32" s="26">
        <f>G29-G30-G31</f>
        <v>800.78108763422256</v>
      </c>
      <c r="H32" s="26">
        <f>H29-H30-H31</f>
        <v>854.24786673416679</v>
      </c>
      <c r="I32" s="26">
        <f>I29-I30-I31</f>
        <v>869.77964612933329</v>
      </c>
      <c r="J32" s="26">
        <f t="shared" ref="J32:L32" si="12">J29-J30-J31</f>
        <v>982.85100012614612</v>
      </c>
      <c r="K32" s="26">
        <f t="shared" si="12"/>
        <v>784.31509810066518</v>
      </c>
      <c r="L32" s="26">
        <f t="shared" si="12"/>
        <v>515.40706446615195</v>
      </c>
      <c r="M32" s="26">
        <f t="shared" ref="M32:N32" si="13">M29-M30-M31</f>
        <v>444.53859310205462</v>
      </c>
      <c r="N32" s="26">
        <f t="shared" si="13"/>
        <v>-171.88825599946085</v>
      </c>
      <c r="P32" s="62">
        <v>43891</v>
      </c>
      <c r="Q32" s="63">
        <v>241.281937</v>
      </c>
      <c r="R32" s="50">
        <f t="shared" si="0"/>
        <v>-0.12998711062165114</v>
      </c>
      <c r="S32" s="63">
        <v>79.083243999999993</v>
      </c>
      <c r="T32" s="51">
        <f t="shared" si="1"/>
        <v>-7.1721219784344981E-2</v>
      </c>
    </row>
    <row r="33" spans="2:20" x14ac:dyDescent="0.15">
      <c r="B33" s="64" t="s">
        <v>78</v>
      </c>
      <c r="C33" s="66">
        <v>1942</v>
      </c>
      <c r="D33" s="66">
        <v>2129</v>
      </c>
      <c r="E33" s="1" t="s">
        <v>2</v>
      </c>
      <c r="F33" s="2" t="s">
        <v>7</v>
      </c>
      <c r="G33" s="57"/>
      <c r="H33" s="26">
        <f>H16*H32</f>
        <v>162.30709467949168</v>
      </c>
      <c r="I33" s="26">
        <f>I16*I32</f>
        <v>165.25813276457333</v>
      </c>
      <c r="J33" s="26">
        <f t="shared" ref="J33:L33" si="14">J16*J32</f>
        <v>186.74169002396778</v>
      </c>
      <c r="K33" s="26">
        <f t="shared" si="14"/>
        <v>156.86301962013306</v>
      </c>
      <c r="L33" s="26">
        <f t="shared" si="14"/>
        <v>103.08141289323039</v>
      </c>
      <c r="M33" s="26">
        <f t="shared" ref="M33:N33" si="15">M16*M32</f>
        <v>88.907718620410932</v>
      </c>
      <c r="N33" s="26">
        <f t="shared" si="15"/>
        <v>-34.377651199892171</v>
      </c>
      <c r="P33" s="62">
        <v>43922</v>
      </c>
      <c r="Q33" s="63">
        <v>273.51971400000002</v>
      </c>
      <c r="R33" s="50">
        <f t="shared" si="0"/>
        <v>0.13361040366647936</v>
      </c>
      <c r="S33" s="63">
        <v>83.327049000000002</v>
      </c>
      <c r="T33" s="51">
        <f t="shared" si="1"/>
        <v>5.3662505296317997E-2</v>
      </c>
    </row>
    <row r="34" spans="2:20" x14ac:dyDescent="0.15">
      <c r="B34" s="64" t="s">
        <v>79</v>
      </c>
      <c r="C34" s="66">
        <v>25202</v>
      </c>
      <c r="D34" s="66">
        <v>28213</v>
      </c>
      <c r="E34" s="1" t="s">
        <v>3</v>
      </c>
      <c r="F34" s="7" t="s">
        <v>8</v>
      </c>
      <c r="G34" s="58"/>
      <c r="H34" s="59">
        <f>$G$10</f>
        <v>725.85714285714289</v>
      </c>
      <c r="I34" s="59">
        <f t="shared" ref="I34:N34" si="16">$G$10</f>
        <v>725.85714285714289</v>
      </c>
      <c r="J34" s="59">
        <f t="shared" si="16"/>
        <v>725.85714285714289</v>
      </c>
      <c r="K34" s="59">
        <f t="shared" si="16"/>
        <v>725.85714285714289</v>
      </c>
      <c r="L34" s="59">
        <f t="shared" si="16"/>
        <v>725.85714285714289</v>
      </c>
      <c r="M34" s="59">
        <f t="shared" si="16"/>
        <v>725.85714285714289</v>
      </c>
      <c r="N34" s="59">
        <f t="shared" si="16"/>
        <v>725.85714285714289</v>
      </c>
      <c r="P34" s="62">
        <v>43952</v>
      </c>
      <c r="Q34" s="63">
        <v>286.55172700000003</v>
      </c>
      <c r="R34" s="50">
        <f t="shared" si="0"/>
        <v>4.7645607731221951E-2</v>
      </c>
      <c r="S34" s="63">
        <v>94.223206000000005</v>
      </c>
      <c r="T34" s="51">
        <f t="shared" si="1"/>
        <v>0.13076374515554967</v>
      </c>
    </row>
    <row r="35" spans="2:20" x14ac:dyDescent="0.15">
      <c r="B35" s="64" t="s">
        <v>80</v>
      </c>
      <c r="C35" s="66">
        <v>5081</v>
      </c>
      <c r="D35" s="66">
        <v>4791</v>
      </c>
      <c r="E35" s="1" t="s">
        <v>5</v>
      </c>
      <c r="F35" s="2" t="s">
        <v>9</v>
      </c>
      <c r="G35" s="57"/>
      <c r="H35" s="26">
        <f>H32-H33+H34</f>
        <v>1417.797914911818</v>
      </c>
      <c r="I35" s="26">
        <f>I32-I33+I34</f>
        <v>1430.3786562219029</v>
      </c>
      <c r="J35" s="26">
        <f t="shared" ref="J35:L35" si="17">J32-J33+J34</f>
        <v>1521.9664529593213</v>
      </c>
      <c r="K35" s="26">
        <f t="shared" si="17"/>
        <v>1353.3092213376749</v>
      </c>
      <c r="L35" s="26">
        <f t="shared" si="17"/>
        <v>1138.1827944300644</v>
      </c>
      <c r="M35" s="26">
        <f t="shared" ref="M35:N35" si="18">M32-M33+M34</f>
        <v>1081.4880173387864</v>
      </c>
      <c r="N35" s="26">
        <f t="shared" si="18"/>
        <v>588.34653805757421</v>
      </c>
      <c r="P35" s="62">
        <v>43983</v>
      </c>
      <c r="Q35" s="63">
        <v>290.35574300000002</v>
      </c>
      <c r="R35" s="50">
        <f t="shared" si="0"/>
        <v>1.3275145956457512E-2</v>
      </c>
      <c r="S35" s="63">
        <v>93.950394000000003</v>
      </c>
      <c r="T35" s="51">
        <f t="shared" si="1"/>
        <v>-2.8953801465851914E-3</v>
      </c>
    </row>
    <row r="36" spans="2:20" x14ac:dyDescent="0.15">
      <c r="B36" s="64" t="s">
        <v>81</v>
      </c>
      <c r="C36" s="66">
        <v>2923</v>
      </c>
      <c r="D36" s="66">
        <v>2926</v>
      </c>
      <c r="P36" s="62">
        <v>44013</v>
      </c>
      <c r="Q36" s="63">
        <v>308.80844100000002</v>
      </c>
      <c r="R36" s="50">
        <f t="shared" si="0"/>
        <v>6.3552033823556897E-2</v>
      </c>
      <c r="S36" s="63">
        <v>93.528801000000001</v>
      </c>
      <c r="T36" s="51">
        <f t="shared" si="1"/>
        <v>-4.4874000209089715E-3</v>
      </c>
    </row>
    <row r="37" spans="2:20" x14ac:dyDescent="0.15">
      <c r="B37" s="64" t="s">
        <v>82</v>
      </c>
      <c r="C37" s="66">
        <v>274</v>
      </c>
      <c r="D37" s="66">
        <v>286</v>
      </c>
      <c r="P37" s="62">
        <v>44044</v>
      </c>
      <c r="Q37" s="63">
        <v>330.36230499999999</v>
      </c>
      <c r="R37" s="50">
        <f t="shared" si="0"/>
        <v>6.9796874496704575E-2</v>
      </c>
      <c r="S37" s="63">
        <v>107.211731</v>
      </c>
      <c r="T37" s="51">
        <f t="shared" si="1"/>
        <v>0.14629643333073417</v>
      </c>
    </row>
    <row r="38" spans="2:20" ht="18" x14ac:dyDescent="0.15">
      <c r="B38" s="64" t="s">
        <v>83</v>
      </c>
      <c r="C38" s="66">
        <v>281</v>
      </c>
      <c r="D38" s="66">
        <v>284</v>
      </c>
      <c r="E38" s="1"/>
      <c r="F38" s="52" t="s">
        <v>10</v>
      </c>
      <c r="G38" s="3">
        <v>0</v>
      </c>
      <c r="H38" s="3">
        <v>1</v>
      </c>
      <c r="I38" s="3">
        <v>2</v>
      </c>
      <c r="J38" s="3">
        <v>3</v>
      </c>
      <c r="K38" s="3">
        <v>4</v>
      </c>
      <c r="L38" s="3">
        <v>5</v>
      </c>
      <c r="M38" s="6">
        <v>6</v>
      </c>
      <c r="N38" s="3">
        <v>7</v>
      </c>
      <c r="P38" s="62">
        <v>44075</v>
      </c>
      <c r="Q38" s="63">
        <v>316.72448700000001</v>
      </c>
      <c r="R38" s="50">
        <f t="shared" si="0"/>
        <v>-4.1281398614772313E-2</v>
      </c>
      <c r="S38" s="63">
        <v>120.55748</v>
      </c>
      <c r="T38" s="51">
        <f t="shared" si="1"/>
        <v>0.12448030523823927</v>
      </c>
    </row>
    <row r="39" spans="2:20" x14ac:dyDescent="0.15">
      <c r="B39" s="64" t="s">
        <v>84</v>
      </c>
      <c r="C39" s="66">
        <v>3770</v>
      </c>
      <c r="D39" s="66">
        <v>3821</v>
      </c>
      <c r="E39" s="43" t="s">
        <v>2</v>
      </c>
      <c r="F39" s="9" t="s">
        <v>75</v>
      </c>
      <c r="G39" s="60">
        <f>G27*G17</f>
        <v>15946</v>
      </c>
      <c r="H39" s="60">
        <f t="shared" ref="H39:M39" si="19">H27*H17</f>
        <v>17939.205201417499</v>
      </c>
      <c r="I39" s="60">
        <f t="shared" si="19"/>
        <v>20178.887790200533</v>
      </c>
      <c r="J39" s="60">
        <f t="shared" si="19"/>
        <v>22802.1432029266</v>
      </c>
      <c r="K39" s="60">
        <f t="shared" si="19"/>
        <v>26106.488265350708</v>
      </c>
      <c r="L39" s="60">
        <f t="shared" si="19"/>
        <v>30151.313271269846</v>
      </c>
      <c r="M39" s="60">
        <f t="shared" si="19"/>
        <v>34674.01026196032</v>
      </c>
      <c r="N39" s="28"/>
      <c r="P39" s="62">
        <v>44105</v>
      </c>
      <c r="Q39" s="63">
        <v>310.06362899999999</v>
      </c>
      <c r="R39" s="50">
        <f t="shared" si="0"/>
        <v>-2.1030448460399698E-2</v>
      </c>
      <c r="S39" s="63">
        <v>115.314194</v>
      </c>
      <c r="T39" s="51">
        <f t="shared" si="1"/>
        <v>-4.3492000662256669E-2</v>
      </c>
    </row>
    <row r="40" spans="2:20" x14ac:dyDescent="0.15">
      <c r="B40" s="64" t="s">
        <v>85</v>
      </c>
      <c r="C40" s="65">
        <v>37531</v>
      </c>
      <c r="D40" s="65">
        <v>40321</v>
      </c>
      <c r="E40" s="1" t="s">
        <v>5</v>
      </c>
      <c r="F40" s="2" t="s">
        <v>11</v>
      </c>
      <c r="G40" s="28">
        <v>0</v>
      </c>
      <c r="H40" s="28">
        <f t="shared" ref="H40:N40" si="20">G39-H39</f>
        <v>-1993.2052014174988</v>
      </c>
      <c r="I40" s="28">
        <f t="shared" si="20"/>
        <v>-2239.6825887830346</v>
      </c>
      <c r="J40" s="28">
        <f t="shared" si="20"/>
        <v>-2623.2554127260664</v>
      </c>
      <c r="K40" s="28">
        <f t="shared" si="20"/>
        <v>-3304.3450624241086</v>
      </c>
      <c r="L40" s="28">
        <f t="shared" si="20"/>
        <v>-4044.8250059191378</v>
      </c>
      <c r="M40" s="28">
        <f t="shared" si="20"/>
        <v>-4522.6969906904742</v>
      </c>
      <c r="N40" s="28">
        <f t="shared" si="20"/>
        <v>34674.01026196032</v>
      </c>
      <c r="P40" s="62">
        <v>44136</v>
      </c>
      <c r="Q40" s="63">
        <v>343.79132099999998</v>
      </c>
      <c r="R40" s="50">
        <f t="shared" si="0"/>
        <v>0.10877667951180436</v>
      </c>
      <c r="S40" s="63">
        <v>129.35394299999999</v>
      </c>
      <c r="T40" s="51">
        <f t="shared" si="1"/>
        <v>0.1217521322656947</v>
      </c>
    </row>
    <row r="41" spans="2:20" x14ac:dyDescent="0.15">
      <c r="B41" s="64" t="s">
        <v>86</v>
      </c>
      <c r="C41" s="67"/>
      <c r="D41" s="67"/>
      <c r="P41" s="62">
        <v>44166</v>
      </c>
      <c r="Q41" s="63">
        <v>355.01486199999999</v>
      </c>
      <c r="R41" s="50">
        <f t="shared" si="0"/>
        <v>3.2646376782734521E-2</v>
      </c>
      <c r="S41" s="63">
        <v>135.85524000000001</v>
      </c>
      <c r="T41" s="51">
        <f t="shared" si="1"/>
        <v>5.0259751262472285E-2</v>
      </c>
    </row>
    <row r="42" spans="2:20" x14ac:dyDescent="0.15">
      <c r="B42" s="64" t="s">
        <v>88</v>
      </c>
      <c r="C42" s="67"/>
      <c r="D42" s="67"/>
      <c r="P42" s="62">
        <v>44197</v>
      </c>
      <c r="Q42" s="63">
        <v>352.895081</v>
      </c>
      <c r="R42" s="50">
        <f t="shared" si="0"/>
        <v>-5.970964111356003E-3</v>
      </c>
      <c r="S42" s="63">
        <v>128.54612700000001</v>
      </c>
      <c r="T42" s="51">
        <f t="shared" si="1"/>
        <v>-5.3800744086131669E-2</v>
      </c>
    </row>
    <row r="43" spans="2:20" ht="18" x14ac:dyDescent="0.15">
      <c r="B43" s="64" t="s">
        <v>90</v>
      </c>
      <c r="C43" s="68">
        <v>0</v>
      </c>
      <c r="D43" s="65">
        <v>500</v>
      </c>
      <c r="F43" s="52" t="s">
        <v>12</v>
      </c>
      <c r="G43" s="3">
        <v>0</v>
      </c>
      <c r="H43" s="3">
        <v>1</v>
      </c>
      <c r="I43" s="3">
        <v>2</v>
      </c>
      <c r="J43" s="3">
        <v>3</v>
      </c>
      <c r="K43" s="3">
        <v>4</v>
      </c>
      <c r="L43" s="3">
        <v>5</v>
      </c>
      <c r="M43" s="3">
        <v>6</v>
      </c>
      <c r="N43" s="3">
        <v>7</v>
      </c>
      <c r="P43" s="62">
        <v>44228</v>
      </c>
      <c r="Q43" s="63">
        <v>362.70748900000001</v>
      </c>
      <c r="R43" s="50">
        <f t="shared" si="0"/>
        <v>2.7805454165568344E-2</v>
      </c>
      <c r="S43" s="63">
        <v>129.691193</v>
      </c>
      <c r="T43" s="51">
        <f t="shared" si="1"/>
        <v>8.9078218591525093E-3</v>
      </c>
    </row>
    <row r="44" spans="2:20" x14ac:dyDescent="0.15">
      <c r="B44" s="64" t="s">
        <v>92</v>
      </c>
      <c r="C44" s="66">
        <v>6</v>
      </c>
      <c r="D44" s="66">
        <v>10</v>
      </c>
      <c r="F44" s="2" t="s">
        <v>13</v>
      </c>
      <c r="G44" s="28">
        <f>G23+G35+G40</f>
        <v>-5081</v>
      </c>
      <c r="H44" s="28">
        <f t="shared" ref="H44:N44" si="21">H23+H35+H40</f>
        <v>-575.40728650568076</v>
      </c>
      <c r="I44" s="28">
        <f t="shared" si="21"/>
        <v>-809.30393256113166</v>
      </c>
      <c r="J44" s="28">
        <f t="shared" si="21"/>
        <v>-1101.2889597667452</v>
      </c>
      <c r="K44" s="28">
        <f t="shared" si="21"/>
        <v>-1951.0358410864337</v>
      </c>
      <c r="L44" s="28">
        <f t="shared" si="21"/>
        <v>-2906.6422114890734</v>
      </c>
      <c r="M44" s="28">
        <f t="shared" si="21"/>
        <v>-3441.2089733516877</v>
      </c>
      <c r="N44" s="28">
        <f t="shared" si="21"/>
        <v>35262.356800017893</v>
      </c>
      <c r="P44" s="62">
        <v>44256</v>
      </c>
      <c r="Q44" s="63">
        <v>377.93637100000001</v>
      </c>
      <c r="R44" s="50">
        <f t="shared" si="0"/>
        <v>4.1986676486847951E-2</v>
      </c>
      <c r="S44" s="63">
        <v>128.13249200000001</v>
      </c>
      <c r="T44" s="51">
        <f t="shared" si="1"/>
        <v>-1.2018557034940591E-2</v>
      </c>
    </row>
    <row r="45" spans="2:20" x14ac:dyDescent="0.15">
      <c r="B45" s="64" t="s">
        <v>94</v>
      </c>
      <c r="C45" s="66">
        <v>2862</v>
      </c>
      <c r="D45" s="66">
        <v>3358</v>
      </c>
      <c r="F45" s="2" t="s">
        <v>14</v>
      </c>
      <c r="G45" s="28">
        <f>G44</f>
        <v>-5081</v>
      </c>
      <c r="H45" s="28">
        <f>H44/(1+$T$19)^H43</f>
        <v>-533.91837776361376</v>
      </c>
      <c r="I45" s="28">
        <f>I44/(1+$T$19)^I43</f>
        <v>-696.80406558617483</v>
      </c>
      <c r="J45" s="28">
        <f>J44/(1+$T$19)^J43</f>
        <v>-879.83214160320756</v>
      </c>
      <c r="K45" s="28">
        <f>K44/(1+$T$19)^K43</f>
        <v>-1446.3163576598727</v>
      </c>
      <c r="L45" s="28">
        <f>L44/(1+$T$19)^L43</f>
        <v>-1999.3514378952971</v>
      </c>
      <c r="M45" s="28">
        <f t="shared" ref="M45:N45" si="22">M44/(1+$T$19)^M43</f>
        <v>-2196.3832467501657</v>
      </c>
      <c r="N45" s="28">
        <f t="shared" si="22"/>
        <v>20883.722984982553</v>
      </c>
      <c r="P45" s="62">
        <v>44287</v>
      </c>
      <c r="Q45" s="63">
        <v>399.23648100000003</v>
      </c>
      <c r="R45" s="50">
        <f t="shared" si="0"/>
        <v>5.635898430109032E-2</v>
      </c>
      <c r="S45" s="63">
        <v>127.872169</v>
      </c>
      <c r="T45" s="51">
        <f t="shared" si="1"/>
        <v>-2.0316704680964914E-3</v>
      </c>
    </row>
    <row r="46" spans="2:20" x14ac:dyDescent="0.15">
      <c r="B46" s="64" t="s">
        <v>95</v>
      </c>
      <c r="C46" s="66">
        <v>425</v>
      </c>
      <c r="D46" s="66">
        <v>420</v>
      </c>
      <c r="E46" s="1"/>
      <c r="F46" s="2" t="s">
        <v>15</v>
      </c>
      <c r="G46" s="28">
        <f>G45</f>
        <v>-5081</v>
      </c>
      <c r="H46" s="28">
        <f>G46+H45</f>
        <v>-5614.9183777636135</v>
      </c>
      <c r="I46" s="28">
        <f t="shared" ref="I46:K46" si="23">H46+I45</f>
        <v>-6311.7224433497886</v>
      </c>
      <c r="J46" s="28">
        <f t="shared" si="23"/>
        <v>-7191.5545849529963</v>
      </c>
      <c r="K46" s="28">
        <f t="shared" si="23"/>
        <v>-8637.8709426128698</v>
      </c>
      <c r="L46" s="28">
        <f>K46+L45</f>
        <v>-10637.222380508167</v>
      </c>
      <c r="M46" s="28">
        <f t="shared" ref="M46:N46" si="24">L46+M45</f>
        <v>-12833.605627258332</v>
      </c>
      <c r="N46" s="28">
        <f t="shared" si="24"/>
        <v>8050.1173577242207</v>
      </c>
      <c r="P46" s="62">
        <v>44317</v>
      </c>
      <c r="Q46" s="63">
        <v>401.85788000000002</v>
      </c>
      <c r="R46" s="50">
        <f t="shared" si="0"/>
        <v>6.5660307230290815E-3</v>
      </c>
      <c r="S46" s="63">
        <v>131.57470699999999</v>
      </c>
      <c r="T46" s="51">
        <f t="shared" si="1"/>
        <v>2.8954994890248553E-2</v>
      </c>
    </row>
    <row r="47" spans="2:20" x14ac:dyDescent="0.15">
      <c r="B47" s="64" t="s">
        <v>96</v>
      </c>
      <c r="C47" s="66">
        <v>5723</v>
      </c>
      <c r="D47" s="66">
        <v>6220</v>
      </c>
      <c r="E47" s="1"/>
      <c r="P47" s="62">
        <v>44348</v>
      </c>
      <c r="Q47" s="63">
        <v>409.530731</v>
      </c>
      <c r="R47" s="50">
        <f t="shared" si="0"/>
        <v>1.9093444179817842E-2</v>
      </c>
      <c r="S47" s="63">
        <v>149.25979599999999</v>
      </c>
      <c r="T47" s="51">
        <f t="shared" si="1"/>
        <v>0.13441100803667383</v>
      </c>
    </row>
    <row r="48" spans="2:20" x14ac:dyDescent="0.15">
      <c r="B48" s="64" t="s">
        <v>97</v>
      </c>
      <c r="C48" s="66">
        <v>240</v>
      </c>
      <c r="D48" s="66">
        <v>222</v>
      </c>
      <c r="P48" s="62">
        <v>44378</v>
      </c>
      <c r="Q48" s="63">
        <v>420.900848</v>
      </c>
      <c r="R48" s="50">
        <f t="shared" si="0"/>
        <v>2.7763769942822591E-2</v>
      </c>
      <c r="S48" s="63">
        <v>161.83902</v>
      </c>
      <c r="T48" s="51">
        <f t="shared" si="1"/>
        <v>8.42773763405118E-2</v>
      </c>
    </row>
    <row r="49" spans="2:20" ht="18" x14ac:dyDescent="0.15">
      <c r="B49" s="64" t="s">
        <v>98</v>
      </c>
      <c r="C49" s="66">
        <v>9256</v>
      </c>
      <c r="D49" s="66">
        <v>10730</v>
      </c>
      <c r="E49" s="1"/>
      <c r="F49" s="52" t="s">
        <v>0</v>
      </c>
      <c r="G49" s="5"/>
      <c r="P49" s="62">
        <v>44409</v>
      </c>
      <c r="Q49" s="63">
        <v>433.42678799999999</v>
      </c>
      <c r="R49" s="50">
        <f t="shared" si="0"/>
        <v>2.9759835504061583E-2</v>
      </c>
      <c r="S49" s="63">
        <v>159.16274999999999</v>
      </c>
      <c r="T49" s="51">
        <f t="shared" si="1"/>
        <v>-1.6536617683424071E-2</v>
      </c>
    </row>
    <row r="50" spans="2:20" x14ac:dyDescent="0.15">
      <c r="B50" s="64" t="s">
        <v>99</v>
      </c>
      <c r="C50" s="66">
        <v>8927</v>
      </c>
      <c r="D50" s="66">
        <v>8920</v>
      </c>
      <c r="E50" s="1"/>
      <c r="F50" s="38" t="s">
        <v>87</v>
      </c>
      <c r="G50" s="34">
        <f>M43+-M46/N45</f>
        <v>6.6145267123341442</v>
      </c>
      <c r="H50" s="6" t="str">
        <f ca="1">_xlfn.FORMULATEXT(G50)</f>
        <v>=M43+-M46/N45</v>
      </c>
      <c r="P50" s="62">
        <v>44440</v>
      </c>
      <c r="Q50" s="63">
        <v>411.90716600000002</v>
      </c>
      <c r="R50" s="50">
        <f t="shared" si="0"/>
        <v>-4.9649958414660689E-2</v>
      </c>
      <c r="S50" s="63">
        <v>140.54480000000001</v>
      </c>
      <c r="T50" s="51">
        <f t="shared" si="1"/>
        <v>-0.11697429203755261</v>
      </c>
    </row>
    <row r="51" spans="2:20" x14ac:dyDescent="0.15">
      <c r="B51" s="64" t="s">
        <v>100</v>
      </c>
      <c r="C51" s="66">
        <v>2786</v>
      </c>
      <c r="D51" s="66">
        <v>2777</v>
      </c>
      <c r="F51" s="38" t="s">
        <v>89</v>
      </c>
      <c r="G51" s="70">
        <f>NPV(T19,H44:N44)+G44</f>
        <v>8050.1173577242153</v>
      </c>
      <c r="H51" s="6" t="str">
        <f t="shared" ref="H51:H53" ca="1" si="25">_xlfn.FORMULATEXT(G51)</f>
        <v>=NPV(T19,H44:N44)+G44</v>
      </c>
      <c r="P51" s="62">
        <v>44470</v>
      </c>
      <c r="Q51" s="63">
        <v>442.220215</v>
      </c>
      <c r="R51" s="50">
        <f t="shared" si="0"/>
        <v>7.3591943773078095E-2</v>
      </c>
      <c r="S51" s="63">
        <v>161.89317299999999</v>
      </c>
      <c r="T51" s="51">
        <f t="shared" si="1"/>
        <v>0.15189728115163259</v>
      </c>
    </row>
    <row r="52" spans="2:20" x14ac:dyDescent="0.15">
      <c r="B52" s="64" t="s">
        <v>101</v>
      </c>
      <c r="C52" s="66">
        <v>2558</v>
      </c>
      <c r="D52" s="66">
        <v>2613</v>
      </c>
      <c r="F52" s="38" t="s">
        <v>91</v>
      </c>
      <c r="G52" s="31">
        <f>IRR(G44:N44)</f>
        <v>0.19564450716314141</v>
      </c>
      <c r="H52" s="6" t="str">
        <f t="shared" ca="1" si="25"/>
        <v>=IRR(G44:N44)</v>
      </c>
      <c r="P52" s="62">
        <v>44501</v>
      </c>
      <c r="Q52" s="63">
        <v>438.66708399999999</v>
      </c>
      <c r="R52" s="50">
        <f t="shared" si="0"/>
        <v>-8.0347548110165645E-3</v>
      </c>
      <c r="S52" s="63">
        <v>163.780258</v>
      </c>
      <c r="T52" s="51">
        <f t="shared" si="1"/>
        <v>1.1656359345060263E-2</v>
      </c>
    </row>
    <row r="53" spans="2:20" x14ac:dyDescent="0.15">
      <c r="B53" s="64" t="s">
        <v>102</v>
      </c>
      <c r="C53" s="67"/>
      <c r="D53" s="67"/>
      <c r="F53" s="21" t="s">
        <v>93</v>
      </c>
      <c r="G53" s="61">
        <f>NPV(T19,H44:N44)/-G44</f>
        <v>2.5843568899280092</v>
      </c>
      <c r="H53" s="6" t="str">
        <f t="shared" ca="1" si="25"/>
        <v>=NPV(T19,H44:N44)/-G44</v>
      </c>
      <c r="P53" s="62">
        <v>44531</v>
      </c>
      <c r="Q53" s="63">
        <v>457.34765599999997</v>
      </c>
      <c r="R53" s="50">
        <f t="shared" si="0"/>
        <v>4.2584850063653201E-2</v>
      </c>
      <c r="S53" s="63">
        <v>161.293182</v>
      </c>
      <c r="T53" s="51">
        <f t="shared" si="1"/>
        <v>-1.518544438976277E-2</v>
      </c>
    </row>
    <row r="54" spans="2:20" x14ac:dyDescent="0.15">
      <c r="B54" s="64" t="s">
        <v>103</v>
      </c>
      <c r="C54" s="69">
        <v>0</v>
      </c>
      <c r="D54" s="69">
        <v>0</v>
      </c>
      <c r="P54" s="62">
        <v>44562</v>
      </c>
      <c r="Q54" s="63">
        <v>434.74859600000002</v>
      </c>
      <c r="R54" s="50">
        <f t="shared" si="0"/>
        <v>-4.9413306712126182E-2</v>
      </c>
      <c r="S54" s="63">
        <v>143.55076600000001</v>
      </c>
      <c r="T54" s="51">
        <f t="shared" si="1"/>
        <v>-0.11000102905775644</v>
      </c>
    </row>
    <row r="55" spans="2:20" x14ac:dyDescent="0.15">
      <c r="B55" s="64" t="s">
        <v>104</v>
      </c>
      <c r="C55" s="67"/>
      <c r="D55" s="67"/>
      <c r="P55" s="62">
        <v>44593</v>
      </c>
      <c r="Q55" s="63">
        <v>421.91610700000001</v>
      </c>
      <c r="R55" s="50">
        <f t="shared" si="0"/>
        <v>-2.9517033793940106E-2</v>
      </c>
      <c r="S55" s="63">
        <v>132.382339</v>
      </c>
      <c r="T55" s="51">
        <f t="shared" si="1"/>
        <v>-7.7801235835969096E-2</v>
      </c>
    </row>
    <row r="56" spans="2:20" x14ac:dyDescent="0.15">
      <c r="B56" s="64" t="s">
        <v>105</v>
      </c>
      <c r="C56" s="67"/>
      <c r="D56" s="67"/>
      <c r="P56" s="62">
        <v>44621</v>
      </c>
      <c r="Q56" s="63">
        <v>436.42025799999999</v>
      </c>
      <c r="R56" s="50">
        <f t="shared" si="0"/>
        <v>3.4376860137268928E-2</v>
      </c>
      <c r="S56" s="63">
        <v>130.45309399999999</v>
      </c>
      <c r="T56" s="51">
        <f t="shared" si="1"/>
        <v>-1.4573280805984301E-2</v>
      </c>
    </row>
    <row r="57" spans="2:20" x14ac:dyDescent="0.15">
      <c r="B57" s="64" t="s">
        <v>106</v>
      </c>
      <c r="C57" s="69">
        <v>0</v>
      </c>
      <c r="D57" s="69">
        <v>0</v>
      </c>
      <c r="P57" s="62">
        <v>44652</v>
      </c>
      <c r="Q57" s="63">
        <v>399.352936</v>
      </c>
      <c r="R57" s="50">
        <f t="shared" si="0"/>
        <v>-8.4934925271044515E-2</v>
      </c>
      <c r="S57" s="63">
        <v>121.16989100000001</v>
      </c>
      <c r="T57" s="51">
        <f t="shared" si="1"/>
        <v>-7.1161232864281332E-2</v>
      </c>
    </row>
    <row r="58" spans="2:20" x14ac:dyDescent="0.15">
      <c r="B58" s="64" t="s">
        <v>107</v>
      </c>
      <c r="C58" s="66">
        <v>3</v>
      </c>
      <c r="D58" s="66">
        <v>3</v>
      </c>
      <c r="P58" s="62">
        <v>44682</v>
      </c>
      <c r="Q58" s="63">
        <v>400.25430299999999</v>
      </c>
      <c r="R58" s="50">
        <f t="shared" si="0"/>
        <v>2.2570686697043207E-3</v>
      </c>
      <c r="S58" s="63">
        <v>115.485497</v>
      </c>
      <c r="T58" s="51">
        <f t="shared" si="1"/>
        <v>-4.6912594812848485E-2</v>
      </c>
    </row>
    <row r="59" spans="2:20" x14ac:dyDescent="0.15">
      <c r="B59" s="64" t="s">
        <v>108</v>
      </c>
      <c r="C59" s="66">
        <v>12412</v>
      </c>
      <c r="D59" s="66">
        <v>11484</v>
      </c>
      <c r="P59" s="62">
        <v>44713</v>
      </c>
      <c r="Q59" s="63">
        <v>365.66961700000002</v>
      </c>
      <c r="R59" s="50">
        <f t="shared" si="0"/>
        <v>-8.6406781240775277E-2</v>
      </c>
      <c r="S59" s="63">
        <v>99.306847000000005</v>
      </c>
      <c r="T59" s="51">
        <f t="shared" si="1"/>
        <v>-0.14009248278162578</v>
      </c>
    </row>
    <row r="60" spans="2:20" x14ac:dyDescent="0.15">
      <c r="B60" s="64" t="s">
        <v>109</v>
      </c>
      <c r="C60" s="66">
        <v>231</v>
      </c>
      <c r="D60" s="66">
        <v>318</v>
      </c>
      <c r="P60" s="62">
        <v>44743</v>
      </c>
      <c r="Q60" s="63">
        <v>401.06826799999999</v>
      </c>
      <c r="R60" s="50">
        <f t="shared" si="0"/>
        <v>9.6805010190387231E-2</v>
      </c>
      <c r="S60" s="63">
        <v>111.94341300000001</v>
      </c>
      <c r="T60" s="51">
        <f t="shared" si="1"/>
        <v>0.12724768111910745</v>
      </c>
    </row>
    <row r="61" spans="2:20" x14ac:dyDescent="0.15">
      <c r="B61" s="64" t="s">
        <v>110</v>
      </c>
      <c r="C61" s="66">
        <v>1358</v>
      </c>
      <c r="D61" s="66">
        <v>3476</v>
      </c>
      <c r="P61" s="62">
        <v>44774</v>
      </c>
      <c r="Q61" s="63">
        <v>384.70385700000003</v>
      </c>
      <c r="R61" s="50">
        <f t="shared" si="0"/>
        <v>-4.080205866598241E-2</v>
      </c>
      <c r="S61" s="63">
        <v>103.692795</v>
      </c>
      <c r="T61" s="51">
        <f t="shared" si="1"/>
        <v>-7.3703470163090423E-2</v>
      </c>
    </row>
    <row r="62" spans="2:20" x14ac:dyDescent="0.15">
      <c r="B62" s="64" t="s">
        <v>111</v>
      </c>
      <c r="C62" s="66">
        <v>14004</v>
      </c>
      <c r="D62" s="66">
        <v>15281</v>
      </c>
      <c r="P62" s="62">
        <v>44805</v>
      </c>
      <c r="Q62" s="63">
        <v>347.71124300000002</v>
      </c>
      <c r="R62" s="50">
        <f t="shared" si="0"/>
        <v>-9.6158677192570985E-2</v>
      </c>
      <c r="S62" s="63">
        <v>80.967078999999998</v>
      </c>
      <c r="T62" s="51">
        <f t="shared" si="1"/>
        <v>-0.21916388694122868</v>
      </c>
    </row>
    <row r="63" spans="2:20" x14ac:dyDescent="0.15">
      <c r="B63" s="64" t="s">
        <v>112</v>
      </c>
      <c r="C63" s="65">
        <v>37531</v>
      </c>
      <c r="D63" s="65">
        <v>40321</v>
      </c>
      <c r="P63" s="62">
        <v>44835</v>
      </c>
      <c r="Q63" s="63">
        <v>377.51611300000002</v>
      </c>
      <c r="R63" s="50">
        <f t="shared" si="0"/>
        <v>8.5717303078405083E-2</v>
      </c>
      <c r="S63" s="63">
        <v>90.538773000000006</v>
      </c>
      <c r="T63" s="51">
        <f t="shared" si="1"/>
        <v>0.11821710895609816</v>
      </c>
    </row>
    <row r="64" spans="2:20" x14ac:dyDescent="0.15">
      <c r="P64" s="62">
        <v>44866</v>
      </c>
      <c r="Q64" s="63">
        <v>398.50277699999998</v>
      </c>
      <c r="R64" s="50">
        <f t="shared" si="0"/>
        <v>5.5591439086468686E-2</v>
      </c>
      <c r="S64" s="63">
        <v>107.15579200000001</v>
      </c>
      <c r="T64" s="51">
        <f t="shared" si="1"/>
        <v>0.18353483761040135</v>
      </c>
    </row>
    <row r="65" spans="2:20" x14ac:dyDescent="0.15">
      <c r="P65" s="62">
        <v>44896</v>
      </c>
      <c r="Q65" s="63">
        <v>373.82119799999998</v>
      </c>
      <c r="R65" s="50">
        <f t="shared" si="0"/>
        <v>-6.193577667339567E-2</v>
      </c>
      <c r="S65" s="63">
        <v>114.30667099999999</v>
      </c>
      <c r="T65" s="51">
        <f t="shared" si="1"/>
        <v>6.673348091160558E-2</v>
      </c>
    </row>
    <row r="66" spans="2:20" x14ac:dyDescent="0.15">
      <c r="P66" s="62">
        <v>44927</v>
      </c>
      <c r="Q66" s="63">
        <v>399.15438799999998</v>
      </c>
      <c r="R66" s="50">
        <f t="shared" si="0"/>
        <v>6.7768200774959819E-2</v>
      </c>
      <c r="S66" s="63">
        <v>124.77005</v>
      </c>
      <c r="T66" s="51">
        <f t="shared" si="1"/>
        <v>9.1537780852702921E-2</v>
      </c>
    </row>
    <row r="67" spans="2:20" x14ac:dyDescent="0.15">
      <c r="P67" s="62">
        <v>44958</v>
      </c>
      <c r="Q67" s="63">
        <v>389.118561</v>
      </c>
      <c r="R67" s="50">
        <f t="shared" si="0"/>
        <v>-2.5142719964286075E-2</v>
      </c>
      <c r="S67" s="63">
        <v>116.401741</v>
      </c>
      <c r="T67" s="51">
        <f t="shared" si="1"/>
        <v>-6.7069853702871773E-2</v>
      </c>
    </row>
    <row r="68" spans="2:20" x14ac:dyDescent="0.15">
      <c r="P68" s="62">
        <v>44986</v>
      </c>
      <c r="Q68" s="63">
        <v>402.011932</v>
      </c>
      <c r="R68" s="50">
        <f t="shared" si="0"/>
        <v>3.3134813633318272E-2</v>
      </c>
      <c r="S68" s="63">
        <v>120.174339</v>
      </c>
      <c r="T68" s="51">
        <f t="shared" si="1"/>
        <v>3.2410150978755548E-2</v>
      </c>
    </row>
    <row r="69" spans="2:20" x14ac:dyDescent="0.15">
      <c r="P69" s="62">
        <v>45017</v>
      </c>
      <c r="Q69" s="63">
        <v>409.99282799999997</v>
      </c>
      <c r="R69" s="50">
        <f t="shared" si="0"/>
        <v>1.9852385873959433E-2</v>
      </c>
      <c r="S69" s="63">
        <v>124.52636699999999</v>
      </c>
      <c r="T69" s="51">
        <f t="shared" si="1"/>
        <v>3.6214286978520249E-2</v>
      </c>
    </row>
    <row r="70" spans="2:20" x14ac:dyDescent="0.15">
      <c r="P70" s="62">
        <v>45047</v>
      </c>
      <c r="Q70" s="63">
        <v>411.88543700000002</v>
      </c>
      <c r="R70" s="50">
        <f t="shared" si="0"/>
        <v>4.616200261922776E-3</v>
      </c>
      <c r="S70" s="63">
        <v>103.437859</v>
      </c>
      <c r="T70" s="51">
        <f t="shared" si="1"/>
        <v>-0.16934974100705913</v>
      </c>
    </row>
    <row r="71" spans="2:20" x14ac:dyDescent="0.15">
      <c r="P71" s="62">
        <v>45078</v>
      </c>
      <c r="Q71" s="63">
        <v>436.95245399999999</v>
      </c>
      <c r="R71" s="50">
        <f t="shared" si="0"/>
        <v>6.0859197116988506E-2</v>
      </c>
      <c r="S71" s="63">
        <v>108.45940400000001</v>
      </c>
      <c r="T71" s="51">
        <f t="shared" si="1"/>
        <v>4.8546490120217944E-2</v>
      </c>
    </row>
    <row r="72" spans="2:20" x14ac:dyDescent="0.15">
      <c r="P72" s="62">
        <v>45108</v>
      </c>
      <c r="Q72" s="63">
        <v>452.93154900000002</v>
      </c>
      <c r="R72" s="50">
        <f t="shared" si="0"/>
        <v>3.6569413568278142E-2</v>
      </c>
      <c r="S72" s="63">
        <v>108.836136</v>
      </c>
      <c r="T72" s="51">
        <f t="shared" si="1"/>
        <v>3.4734839590302435E-3</v>
      </c>
    </row>
    <row r="73" spans="2:20" x14ac:dyDescent="0.15">
      <c r="B73" s="71"/>
      <c r="C73" s="73"/>
      <c r="D73" s="73"/>
      <c r="P73" s="62">
        <v>45139</v>
      </c>
      <c r="Q73" s="63">
        <v>445.57052599999997</v>
      </c>
      <c r="R73" s="50">
        <f t="shared" si="0"/>
        <v>-1.6251954663462964E-2</v>
      </c>
      <c r="S73" s="63">
        <v>100.278313</v>
      </c>
      <c r="T73" s="51">
        <f t="shared" si="1"/>
        <v>-7.8630345715323791E-2</v>
      </c>
    </row>
    <row r="74" spans="2:20" x14ac:dyDescent="0.15">
      <c r="B74" s="71"/>
      <c r="C74" s="73"/>
      <c r="D74" s="73"/>
      <c r="P74" s="62">
        <v>45170</v>
      </c>
      <c r="Q74" s="63">
        <v>422.94323700000001</v>
      </c>
      <c r="R74" s="50">
        <f t="shared" si="0"/>
        <v>-5.0782732877623027E-2</v>
      </c>
      <c r="S74" s="63">
        <v>94.274039999999999</v>
      </c>
      <c r="T74" s="51">
        <f t="shared" si="1"/>
        <v>-5.9876087065804495E-2</v>
      </c>
    </row>
    <row r="75" spans="2:20" x14ac:dyDescent="0.15">
      <c r="B75" s="71"/>
      <c r="C75" s="73"/>
      <c r="D75" s="73"/>
      <c r="P75" s="62">
        <v>45200</v>
      </c>
      <c r="Q75" s="63">
        <v>415.22119099999998</v>
      </c>
      <c r="R75" s="50">
        <f t="shared" si="0"/>
        <v>-1.8257877947815526E-2</v>
      </c>
      <c r="S75" s="63">
        <v>101.663239</v>
      </c>
      <c r="T75" s="51">
        <f t="shared" si="1"/>
        <v>7.837999729299816E-2</v>
      </c>
    </row>
    <row r="76" spans="2:20" x14ac:dyDescent="0.15">
      <c r="B76" s="71"/>
      <c r="C76" s="73"/>
      <c r="D76" s="73"/>
      <c r="P76" s="62">
        <v>45231</v>
      </c>
      <c r="Q76" s="63">
        <v>453.14907799999997</v>
      </c>
      <c r="R76" s="50">
        <f t="shared" si="0"/>
        <v>9.1343813423048648E-2</v>
      </c>
      <c r="S76" s="63">
        <v>109.082466</v>
      </c>
      <c r="T76" s="51">
        <f t="shared" si="1"/>
        <v>7.2978463729647558E-2</v>
      </c>
    </row>
    <row r="77" spans="2:20" x14ac:dyDescent="0.15">
      <c r="B77" s="71"/>
      <c r="C77" s="74"/>
      <c r="D77" s="74"/>
      <c r="P77" s="62">
        <v>45261</v>
      </c>
      <c r="Q77" s="63">
        <v>471.92440800000003</v>
      </c>
      <c r="R77" s="50">
        <f t="shared" si="0"/>
        <v>4.1433009381517616E-2</v>
      </c>
      <c r="S77" s="63">
        <v>107.40078</v>
      </c>
      <c r="T77" s="51">
        <f t="shared" si="1"/>
        <v>-1.5416648171485248E-2</v>
      </c>
    </row>
    <row r="78" spans="2:20" x14ac:dyDescent="0.15">
      <c r="P78" s="62">
        <v>45292</v>
      </c>
      <c r="Q78" s="63">
        <v>481.38433800000001</v>
      </c>
      <c r="R78" s="50">
        <f t="shared" si="0"/>
        <v>2.0045434903633863E-2</v>
      </c>
      <c r="S78" s="63">
        <v>100.774727</v>
      </c>
      <c r="T78" s="51">
        <f t="shared" si="1"/>
        <v>-6.1694645048201657E-2</v>
      </c>
    </row>
    <row r="79" spans="2:20" x14ac:dyDescent="0.15">
      <c r="P79" s="62">
        <v>45323</v>
      </c>
      <c r="Q79" s="63">
        <v>506.50625600000001</v>
      </c>
      <c r="R79" s="50">
        <f t="shared" si="0"/>
        <v>5.218682041957079E-2</v>
      </c>
      <c r="S79" s="63">
        <v>103.156876</v>
      </c>
      <c r="T79" s="51">
        <f t="shared" si="1"/>
        <v>2.3638357263919829E-2</v>
      </c>
    </row>
    <row r="80" spans="2:20" x14ac:dyDescent="0.15">
      <c r="P80" s="62">
        <v>45352</v>
      </c>
      <c r="Q80" s="63">
        <v>521.44982900000002</v>
      </c>
      <c r="R80" s="50">
        <f t="shared" si="0"/>
        <v>2.9503234803086142E-2</v>
      </c>
      <c r="S80" s="63">
        <v>93.280899000000005</v>
      </c>
      <c r="T80" s="51">
        <f t="shared" si="1"/>
        <v>-9.5737457190929187E-2</v>
      </c>
    </row>
    <row r="81" spans="16:20" x14ac:dyDescent="0.15">
      <c r="P81" s="62">
        <v>45383</v>
      </c>
      <c r="Q81" s="63">
        <v>501.98001099999999</v>
      </c>
      <c r="R81" s="50">
        <f t="shared" si="0"/>
        <v>-3.7337854798682901E-2</v>
      </c>
      <c r="S81" s="63">
        <v>91.900863999999999</v>
      </c>
      <c r="T81" s="51">
        <f t="shared" si="1"/>
        <v>-1.4794400727205725E-2</v>
      </c>
    </row>
    <row r="82" spans="16:20" x14ac:dyDescent="0.15">
      <c r="P82" s="62">
        <v>45413</v>
      </c>
      <c r="Q82" s="63">
        <v>527.36999500000002</v>
      </c>
      <c r="R82" s="50">
        <f t="shared" si="0"/>
        <v>5.0579671388548686E-2</v>
      </c>
      <c r="S82" s="63">
        <v>94.680008000000001</v>
      </c>
      <c r="T82" s="51">
        <f t="shared" si="1"/>
        <v>3.0240673254170902E-2</v>
      </c>
    </row>
    <row r="83" spans="16:20" x14ac:dyDescent="0.15">
      <c r="P83" s="62">
        <v>45444</v>
      </c>
      <c r="Q83" s="63">
        <v>528.39001499999995</v>
      </c>
      <c r="R83" s="50">
        <f t="shared" si="0"/>
        <v>1.9341638881065215E-3</v>
      </c>
      <c r="S83" s="63">
        <v>94.371207999999996</v>
      </c>
      <c r="T83" s="51">
        <f t="shared" si="1"/>
        <v>-3.2615121874515207E-3</v>
      </c>
    </row>
    <row r="84" spans="16:20" x14ac:dyDescent="0.2">
      <c r="P84" s="20"/>
      <c r="Q84" s="20"/>
      <c r="R84" s="20"/>
      <c r="S84" s="20"/>
      <c r="T84" s="20"/>
    </row>
    <row r="85" spans="16:20" x14ac:dyDescent="0.2">
      <c r="P85" s="19"/>
      <c r="Q85" s="20"/>
      <c r="R85" s="20"/>
      <c r="S85" s="20"/>
      <c r="T85" s="20"/>
    </row>
    <row r="86" spans="16:20" x14ac:dyDescent="0.2">
      <c r="P86" s="19"/>
      <c r="Q86" s="20"/>
      <c r="R86" s="20"/>
      <c r="S86" s="20"/>
      <c r="T86" s="20"/>
    </row>
    <row r="87" spans="16:20" x14ac:dyDescent="0.2">
      <c r="P87" s="19"/>
      <c r="Q87" s="20"/>
      <c r="R87" s="20"/>
      <c r="S87" s="20"/>
      <c r="T87" s="20"/>
    </row>
    <row r="88" spans="16:20" x14ac:dyDescent="0.2">
      <c r="P88" s="19"/>
      <c r="Q88" s="20"/>
      <c r="R88" s="20"/>
      <c r="S88" s="20"/>
      <c r="T88" s="20"/>
    </row>
    <row r="89" spans="16:20" x14ac:dyDescent="0.2">
      <c r="P89" s="19"/>
      <c r="Q89" s="20"/>
      <c r="R89" s="20"/>
      <c r="S89" s="20"/>
      <c r="T89" s="20"/>
    </row>
    <row r="90" spans="16:20" x14ac:dyDescent="0.2">
      <c r="P90" s="19"/>
      <c r="Q90" s="20"/>
      <c r="R90" s="20"/>
      <c r="S90" s="20"/>
      <c r="T90" s="20"/>
    </row>
  </sheetData>
  <mergeCells count="2">
    <mergeCell ref="Q22:R22"/>
    <mergeCell ref="S22:T22"/>
  </mergeCells>
  <pageMargins left="0.25" right="0.25" top="0.75" bottom="0.75" header="0.3" footer="0.3"/>
  <pageSetup scale="73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 Budgeting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Bumchan Ahn</dc:creator>
  <cp:keywords/>
  <dc:description/>
  <cp:lastModifiedBy>Noah Zerihun</cp:lastModifiedBy>
  <cp:revision/>
  <dcterms:created xsi:type="dcterms:W3CDTF">2019-01-23T04:21:25Z</dcterms:created>
  <dcterms:modified xsi:type="dcterms:W3CDTF">2025-09-01T23:29:53Z</dcterms:modified>
  <cp:category/>
  <cp:contentStatus/>
</cp:coreProperties>
</file>