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ulbumchanahn/Desktop/HULT/HULT Professor UG/2024 SUMM UG/UG 2024 SUMM 2_FIN-1/2024SUMM FIN-1_Managerial Accounting/"/>
    </mc:Choice>
  </mc:AlternateContent>
  <xr:revisionPtr revIDLastSave="0" documentId="13_ncr:1_{8400D3E5-F719-8347-A2E3-162245D2A3DB}" xr6:coauthVersionLast="47" xr6:coauthVersionMax="47" xr10:uidLastSave="{00000000-0000-0000-0000-000000000000}"/>
  <bookViews>
    <workbookView xWindow="0" yWindow="660" windowWidth="25600" windowHeight="15980" xr2:uid="{8D04AF08-4912-684C-9632-4316139538FC}"/>
  </bookViews>
  <sheets>
    <sheet name="Case PDC. Budgeted FS" sheetId="22" r:id="rId1"/>
    <sheet name="Case Artero. Budget Simple ver" sheetId="23" r:id="rId2"/>
    <sheet name="Case CHC. Master Budget" sheetId="2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22" l="1"/>
  <c r="D93" i="22"/>
  <c r="E93" i="22"/>
  <c r="F93" i="22"/>
  <c r="G93" i="22"/>
  <c r="H93" i="22"/>
  <c r="I93" i="22"/>
  <c r="J93" i="22"/>
  <c r="K93" i="22"/>
  <c r="L93" i="22"/>
  <c r="D94" i="22"/>
  <c r="D96" i="22"/>
  <c r="D101" i="22" s="1"/>
  <c r="D103" i="22" s="1"/>
  <c r="E96" i="22"/>
  <c r="F96" i="22"/>
  <c r="G96" i="22"/>
  <c r="H96" i="22"/>
  <c r="I96" i="22"/>
  <c r="J96" i="22"/>
  <c r="J101" i="22" s="1"/>
  <c r="K96" i="22"/>
  <c r="K101" i="22" s="1"/>
  <c r="L96" i="22"/>
  <c r="D97" i="22"/>
  <c r="E97" i="22"/>
  <c r="F97" i="22"/>
  <c r="G97" i="22"/>
  <c r="H97" i="22"/>
  <c r="H101" i="22" s="1"/>
  <c r="I97" i="22"/>
  <c r="J97" i="22"/>
  <c r="K97" i="22"/>
  <c r="L97" i="22"/>
  <c r="D98" i="22"/>
  <c r="E98" i="22"/>
  <c r="F98" i="22"/>
  <c r="G98" i="22"/>
  <c r="H98" i="22"/>
  <c r="I98" i="22"/>
  <c r="J98" i="22"/>
  <c r="K98" i="22"/>
  <c r="L98" i="22"/>
  <c r="D99" i="22"/>
  <c r="E99" i="22"/>
  <c r="F99" i="22"/>
  <c r="G99" i="22"/>
  <c r="H99" i="22"/>
  <c r="I99" i="22" s="1"/>
  <c r="J99" i="22" s="1"/>
  <c r="K99" i="22" s="1"/>
  <c r="L99" i="22" s="1"/>
  <c r="D100" i="22"/>
  <c r="F100" i="22"/>
  <c r="G100" i="22"/>
  <c r="H100" i="22"/>
  <c r="I100" i="22" s="1"/>
  <c r="J100" i="22" s="1"/>
  <c r="K100" i="22" s="1"/>
  <c r="L100" i="22" s="1"/>
  <c r="E101" i="22"/>
  <c r="F101" i="22"/>
  <c r="F103" i="22" s="1"/>
  <c r="G101" i="22"/>
  <c r="D102" i="22"/>
  <c r="E102" i="22"/>
  <c r="F102" i="22"/>
  <c r="G102" i="22" s="1"/>
  <c r="E103" i="22"/>
  <c r="F106" i="22"/>
  <c r="G106" i="22"/>
  <c r="H110" i="22"/>
  <c r="I110" i="22"/>
  <c r="E144" i="22"/>
  <c r="F144" i="22"/>
  <c r="G144" i="22"/>
  <c r="H144" i="22"/>
  <c r="I144" i="22"/>
  <c r="J144" i="22"/>
  <c r="K144" i="22"/>
  <c r="L144" i="22"/>
  <c r="E143" i="22"/>
  <c r="F143" i="22"/>
  <c r="G143" i="22"/>
  <c r="H143" i="22"/>
  <c r="I143" i="22"/>
  <c r="J143" i="22"/>
  <c r="K143" i="22"/>
  <c r="L143" i="22"/>
  <c r="E121" i="22"/>
  <c r="F121" i="22"/>
  <c r="G121" i="22"/>
  <c r="H121" i="22"/>
  <c r="I121" i="22"/>
  <c r="J121" i="22"/>
  <c r="K121" i="22"/>
  <c r="L121" i="22"/>
  <c r="D54" i="22"/>
  <c r="H54" i="22"/>
  <c r="D41" i="23"/>
  <c r="N69" i="21"/>
  <c r="L95" i="21"/>
  <c r="D120" i="22"/>
  <c r="E120" i="22"/>
  <c r="F120" i="22"/>
  <c r="G120" i="22"/>
  <c r="H120" i="22"/>
  <c r="I120" i="22"/>
  <c r="J120" i="22"/>
  <c r="K120" i="22"/>
  <c r="L120" i="22"/>
  <c r="D131" i="22"/>
  <c r="H131" i="22"/>
  <c r="I131" i="22"/>
  <c r="J131" i="22"/>
  <c r="C111" i="22"/>
  <c r="M75" i="22"/>
  <c r="M93" i="22"/>
  <c r="M130" i="22"/>
  <c r="M100" i="22"/>
  <c r="M94" i="22"/>
  <c r="M71" i="22"/>
  <c r="C172" i="22"/>
  <c r="M120" i="22"/>
  <c r="C93" i="22"/>
  <c r="M157" i="22"/>
  <c r="C170" i="22"/>
  <c r="M96" i="22"/>
  <c r="M46" i="22"/>
  <c r="M152" i="22"/>
  <c r="C46" i="22"/>
  <c r="C168" i="22"/>
  <c r="M131" i="22"/>
  <c r="M110" i="22"/>
  <c r="M149" i="22"/>
  <c r="C47" i="22"/>
  <c r="C181" i="22"/>
  <c r="C178" i="22"/>
  <c r="C167" i="22"/>
  <c r="M155" i="22"/>
  <c r="M129" i="22"/>
  <c r="M145" i="22"/>
  <c r="M101" i="22"/>
  <c r="M125" i="22"/>
  <c r="C183" i="22"/>
  <c r="C99" i="22"/>
  <c r="C176" i="22"/>
  <c r="M147" i="22"/>
  <c r="M55" i="22"/>
  <c r="C179" i="22"/>
  <c r="M104" i="22"/>
  <c r="M156" i="22"/>
  <c r="M69" i="22"/>
  <c r="M45" i="22"/>
  <c r="M146" i="22"/>
  <c r="M99" i="22"/>
  <c r="M143" i="22"/>
  <c r="M43" i="22"/>
  <c r="M148" i="22"/>
  <c r="M126" i="22"/>
  <c r="M62" i="22"/>
  <c r="M70" i="22"/>
  <c r="M154" i="22"/>
  <c r="C108" i="22"/>
  <c r="M56" i="22"/>
  <c r="M144" i="22"/>
  <c r="O72" i="21"/>
  <c r="C169" i="22"/>
  <c r="C100" i="22"/>
  <c r="C173" i="22"/>
  <c r="M103" i="22"/>
  <c r="M109" i="22"/>
  <c r="C91" i="22"/>
  <c r="C166" i="22"/>
  <c r="O71" i="21"/>
  <c r="C98" i="22"/>
  <c r="C97" i="22"/>
  <c r="C104" i="22"/>
  <c r="M42" i="22"/>
  <c r="M102" i="22"/>
  <c r="M132" i="22"/>
  <c r="C175" i="22"/>
  <c r="C94" i="22"/>
  <c r="M108" i="22"/>
  <c r="C106" i="22"/>
  <c r="M122" i="22"/>
  <c r="R22" i="21"/>
  <c r="M61" i="22"/>
  <c r="M111" i="22"/>
  <c r="M57" i="22"/>
  <c r="M121" i="22"/>
  <c r="M74" i="22"/>
  <c r="M98" i="22"/>
  <c r="M47" i="22"/>
  <c r="M73" i="22"/>
  <c r="M128" i="22"/>
  <c r="M54" i="22"/>
  <c r="M153" i="22"/>
  <c r="C101" i="22"/>
  <c r="M150" i="22"/>
  <c r="C96" i="22"/>
  <c r="M58" i="22"/>
  <c r="M91" i="22"/>
  <c r="C171" i="22"/>
  <c r="O18" i="21"/>
  <c r="C110" i="22"/>
  <c r="M107" i="22"/>
  <c r="M142" i="22"/>
  <c r="M124" i="22"/>
  <c r="C182" i="22"/>
  <c r="M60" i="22"/>
  <c r="C102" i="22"/>
  <c r="C103" i="22"/>
  <c r="M97" i="22"/>
  <c r="C45" i="22"/>
  <c r="M127" i="22"/>
  <c r="D104" i="22" l="1"/>
  <c r="H102" i="22"/>
  <c r="L101" i="22"/>
  <c r="G103" i="22"/>
  <c r="I101" i="22"/>
  <c r="H122" i="22"/>
  <c r="N59" i="21"/>
  <c r="K53" i="21"/>
  <c r="K30" i="21"/>
  <c r="K31" i="21"/>
  <c r="E126" i="22"/>
  <c r="E125" i="22"/>
  <c r="D125" i="22"/>
  <c r="D70" i="22"/>
  <c r="C57" i="22"/>
  <c r="L54" i="22"/>
  <c r="L122" i="22" s="1"/>
  <c r="L55" i="22"/>
  <c r="D121" i="22"/>
  <c r="D122" i="22" s="1"/>
  <c r="D42" i="22"/>
  <c r="D143" i="22" s="1"/>
  <c r="M118" i="21"/>
  <c r="M116" i="21"/>
  <c r="M110" i="21"/>
  <c r="M109" i="21"/>
  <c r="M106" i="21"/>
  <c r="M105" i="21"/>
  <c r="K95" i="21"/>
  <c r="K97" i="21"/>
  <c r="K96" i="21"/>
  <c r="K87" i="21"/>
  <c r="K86" i="21"/>
  <c r="K85" i="21"/>
  <c r="K80" i="21"/>
  <c r="N70" i="21"/>
  <c r="N71" i="21" s="1"/>
  <c r="M88" i="21" s="1"/>
  <c r="M90" i="21" s="1"/>
  <c r="M92" i="21" s="1"/>
  <c r="M48" i="21"/>
  <c r="L48" i="21"/>
  <c r="K48" i="21"/>
  <c r="K49" i="21"/>
  <c r="K43" i="21"/>
  <c r="K39" i="21"/>
  <c r="L39" i="21"/>
  <c r="M38" i="21"/>
  <c r="K38" i="21"/>
  <c r="J38" i="21"/>
  <c r="J37" i="21"/>
  <c r="M31" i="21"/>
  <c r="M30" i="21"/>
  <c r="L30" i="21"/>
  <c r="K26" i="21"/>
  <c r="J26" i="21"/>
  <c r="L26" i="21"/>
  <c r="M26" i="21"/>
  <c r="J23" i="21"/>
  <c r="J25" i="21"/>
  <c r="J24" i="21"/>
  <c r="M24" i="21"/>
  <c r="L24" i="21"/>
  <c r="K24" i="21"/>
  <c r="M23" i="21"/>
  <c r="L23" i="21"/>
  <c r="N22" i="21"/>
  <c r="K22" i="21"/>
  <c r="K15" i="21"/>
  <c r="S22" i="21"/>
  <c r="D106" i="22" l="1"/>
  <c r="I102" i="22"/>
  <c r="H103" i="22"/>
  <c r="K55" i="22"/>
  <c r="D79" i="23"/>
  <c r="D64" i="23"/>
  <c r="N57" i="23"/>
  <c r="N58" i="23" s="1"/>
  <c r="M57" i="23"/>
  <c r="M58" i="23" s="1"/>
  <c r="L57" i="23"/>
  <c r="L58" i="23" s="1"/>
  <c r="K57" i="23"/>
  <c r="K58" i="23" s="1"/>
  <c r="J57" i="23"/>
  <c r="J58" i="23" s="1"/>
  <c r="I57" i="23"/>
  <c r="I58" i="23" s="1"/>
  <c r="H57" i="23"/>
  <c r="H76" i="23" s="1"/>
  <c r="G57" i="23"/>
  <c r="G58" i="23" s="1"/>
  <c r="F57" i="23"/>
  <c r="F58" i="23" s="1"/>
  <c r="E57" i="23"/>
  <c r="E58" i="23" s="1"/>
  <c r="D57" i="23"/>
  <c r="D58" i="23" s="1"/>
  <c r="D44" i="23"/>
  <c r="E44" i="23" s="1"/>
  <c r="F44" i="23" s="1"/>
  <c r="G44" i="23" s="1"/>
  <c r="H44" i="23" s="1"/>
  <c r="I44" i="23" s="1"/>
  <c r="J44" i="23" s="1"/>
  <c r="K44" i="23" s="1"/>
  <c r="L44" i="23" s="1"/>
  <c r="M44" i="23" s="1"/>
  <c r="N44" i="23" s="1"/>
  <c r="D43" i="23"/>
  <c r="E43" i="23" s="1"/>
  <c r="F43" i="23" s="1"/>
  <c r="G43" i="23" s="1"/>
  <c r="H43" i="23" s="1"/>
  <c r="I43" i="23" s="1"/>
  <c r="J43" i="23" s="1"/>
  <c r="K43" i="23" s="1"/>
  <c r="L43" i="23" s="1"/>
  <c r="M43" i="23" s="1"/>
  <c r="N43" i="23" s="1"/>
  <c r="C42" i="23"/>
  <c r="C46" i="23" s="1"/>
  <c r="D40" i="23"/>
  <c r="C38" i="23"/>
  <c r="D35" i="23"/>
  <c r="E35" i="23" s="1"/>
  <c r="D33" i="23"/>
  <c r="E33" i="23" s="1"/>
  <c r="F33" i="23" s="1"/>
  <c r="G33" i="23" s="1"/>
  <c r="H33" i="23" s="1"/>
  <c r="I33" i="23" s="1"/>
  <c r="J33" i="23" s="1"/>
  <c r="K33" i="23" s="1"/>
  <c r="L33" i="23" s="1"/>
  <c r="M33" i="23" s="1"/>
  <c r="N33" i="23" s="1"/>
  <c r="D32" i="23"/>
  <c r="D26" i="23"/>
  <c r="D74" i="23" s="1"/>
  <c r="C26" i="23"/>
  <c r="D24" i="23"/>
  <c r="N20" i="23"/>
  <c r="M20" i="23"/>
  <c r="M21" i="23" s="1"/>
  <c r="M72" i="23" s="1"/>
  <c r="L20" i="23"/>
  <c r="L21" i="23" s="1"/>
  <c r="L72" i="23" s="1"/>
  <c r="K20" i="23"/>
  <c r="K34" i="23" s="1"/>
  <c r="J20" i="23"/>
  <c r="J34" i="23" s="1"/>
  <c r="I20" i="23"/>
  <c r="I34" i="23" s="1"/>
  <c r="H20" i="23"/>
  <c r="G20" i="23"/>
  <c r="F20" i="23"/>
  <c r="E20" i="23"/>
  <c r="E21" i="23" s="1"/>
  <c r="E72" i="23" s="1"/>
  <c r="D20" i="23"/>
  <c r="D21" i="23" s="1"/>
  <c r="D72" i="23" s="1"/>
  <c r="C20" i="23"/>
  <c r="C34" i="23" s="1"/>
  <c r="O19" i="23"/>
  <c r="O20" i="23" s="1"/>
  <c r="D19" i="23"/>
  <c r="C156" i="22"/>
  <c r="I154" i="22"/>
  <c r="H154" i="22"/>
  <c r="C153" i="22"/>
  <c r="C152" i="22"/>
  <c r="C155" i="22" s="1"/>
  <c r="C148" i="22"/>
  <c r="C147" i="22"/>
  <c r="C146" i="22"/>
  <c r="C145" i="22"/>
  <c r="C144" i="22"/>
  <c r="C143" i="22"/>
  <c r="D168" i="22" s="1"/>
  <c r="C142" i="22"/>
  <c r="D182" i="22" s="1"/>
  <c r="C131" i="22"/>
  <c r="C128" i="22"/>
  <c r="D128" i="22" s="1"/>
  <c r="E128" i="22" s="1"/>
  <c r="F128" i="22" s="1"/>
  <c r="G128" i="22" s="1"/>
  <c r="H128" i="22" s="1"/>
  <c r="I128" i="22" s="1"/>
  <c r="J128" i="22" s="1"/>
  <c r="K128" i="22" s="1"/>
  <c r="L128" i="22" s="1"/>
  <c r="C127" i="22"/>
  <c r="D127" i="22" s="1"/>
  <c r="E127" i="22" s="1"/>
  <c r="F127" i="22" s="1"/>
  <c r="G127" i="22" s="1"/>
  <c r="H127" i="22" s="1"/>
  <c r="I127" i="22" s="1"/>
  <c r="J127" i="22" s="1"/>
  <c r="K127" i="22" s="1"/>
  <c r="L127" i="22" s="1"/>
  <c r="C126" i="22"/>
  <c r="C125" i="22"/>
  <c r="C124" i="22"/>
  <c r="C121" i="22"/>
  <c r="C120" i="22"/>
  <c r="L126" i="22"/>
  <c r="K126" i="22"/>
  <c r="J126" i="22"/>
  <c r="I126" i="22"/>
  <c r="H126" i="22"/>
  <c r="G126" i="22"/>
  <c r="F126" i="22"/>
  <c r="D126" i="22"/>
  <c r="L70" i="22"/>
  <c r="K70" i="22"/>
  <c r="J70" i="22"/>
  <c r="I70" i="22"/>
  <c r="H70" i="22"/>
  <c r="G70" i="22"/>
  <c r="F70" i="22"/>
  <c r="E70" i="22"/>
  <c r="C70" i="22"/>
  <c r="C71" i="22" s="1"/>
  <c r="D73" i="22" s="1"/>
  <c r="D69" i="22"/>
  <c r="D71" i="22" s="1"/>
  <c r="D124" i="22" s="1"/>
  <c r="K54" i="22"/>
  <c r="K122" i="22" s="1"/>
  <c r="J54" i="22"/>
  <c r="J122" i="22" s="1"/>
  <c r="I54" i="22"/>
  <c r="I122" i="22" s="1"/>
  <c r="G54" i="22"/>
  <c r="G122" i="22" s="1"/>
  <c r="F54" i="22"/>
  <c r="F122" i="22" s="1"/>
  <c r="E54" i="22"/>
  <c r="C54" i="22"/>
  <c r="C55" i="22"/>
  <c r="D57" i="22" s="1"/>
  <c r="I53" i="22"/>
  <c r="L43" i="22"/>
  <c r="L45" i="22" s="1"/>
  <c r="K43" i="22"/>
  <c r="K45" i="22" s="1"/>
  <c r="J43" i="22"/>
  <c r="J45" i="22" s="1"/>
  <c r="I43" i="22"/>
  <c r="I45" i="22" s="1"/>
  <c r="H43" i="22"/>
  <c r="H45" i="22" s="1"/>
  <c r="G43" i="22"/>
  <c r="G45" i="22" s="1"/>
  <c r="F43" i="22"/>
  <c r="F45" i="22" s="1"/>
  <c r="E43" i="22"/>
  <c r="E45" i="22" s="1"/>
  <c r="D43" i="22"/>
  <c r="D45" i="22" s="1"/>
  <c r="C43" i="22"/>
  <c r="L42" i="22"/>
  <c r="K42" i="22"/>
  <c r="J42" i="22"/>
  <c r="I42" i="22"/>
  <c r="J46" i="22" s="1"/>
  <c r="H42" i="22"/>
  <c r="I46" i="22" s="1"/>
  <c r="G42" i="22"/>
  <c r="F42" i="22"/>
  <c r="G168" i="22" s="1"/>
  <c r="E42" i="22"/>
  <c r="F168" i="22" s="1"/>
  <c r="C42" i="22"/>
  <c r="D46" i="22" s="1"/>
  <c r="C29" i="22"/>
  <c r="C157" i="22" s="1"/>
  <c r="H23" i="22"/>
  <c r="C129" i="22" s="1"/>
  <c r="C22" i="22"/>
  <c r="C149" i="22" s="1"/>
  <c r="H16" i="22"/>
  <c r="C122" i="22" s="1"/>
  <c r="D108" i="22" l="1"/>
  <c r="D110" i="22"/>
  <c r="D111" i="22" s="1"/>
  <c r="J102" i="22"/>
  <c r="I103" i="22"/>
  <c r="D167" i="22"/>
  <c r="D148" i="22"/>
  <c r="I178" i="22"/>
  <c r="I179" i="22" s="1"/>
  <c r="D55" i="22"/>
  <c r="E57" i="22" s="1"/>
  <c r="E122" i="22"/>
  <c r="F46" i="22"/>
  <c r="F47" i="22" s="1"/>
  <c r="D129" i="22"/>
  <c r="D130" i="22" s="1"/>
  <c r="D132" i="22" s="1"/>
  <c r="D147" i="22"/>
  <c r="D175" i="22" s="1"/>
  <c r="D176" i="22" s="1"/>
  <c r="D145" i="22"/>
  <c r="E145" i="22" s="1"/>
  <c r="K46" i="22"/>
  <c r="L168" i="22"/>
  <c r="L46" i="22"/>
  <c r="L47" i="22" s="1"/>
  <c r="I47" i="22"/>
  <c r="I55" i="22"/>
  <c r="I56" i="22" s="1"/>
  <c r="E168" i="22"/>
  <c r="J47" i="22"/>
  <c r="J55" i="22"/>
  <c r="J56" i="22" s="1"/>
  <c r="G55" i="22"/>
  <c r="H57" i="22" s="1"/>
  <c r="F55" i="22"/>
  <c r="G57" i="22" s="1"/>
  <c r="H55" i="22"/>
  <c r="H56" i="22" s="1"/>
  <c r="E55" i="22"/>
  <c r="F125" i="22"/>
  <c r="L169" i="22"/>
  <c r="D36" i="23"/>
  <c r="F35" i="23"/>
  <c r="F53" i="23"/>
  <c r="J52" i="23"/>
  <c r="J71" i="23"/>
  <c r="O23" i="23"/>
  <c r="O21" i="23"/>
  <c r="O22" i="23" s="1"/>
  <c r="K52" i="23"/>
  <c r="K71" i="23"/>
  <c r="D52" i="23"/>
  <c r="D71" i="23"/>
  <c r="L71" i="23"/>
  <c r="F21" i="23"/>
  <c r="F72" i="23" s="1"/>
  <c r="N21" i="23"/>
  <c r="N72" i="23" s="1"/>
  <c r="I22" i="23"/>
  <c r="D23" i="23"/>
  <c r="D73" i="23" s="1"/>
  <c r="L23" i="23"/>
  <c r="L73" i="23" s="1"/>
  <c r="D34" i="23"/>
  <c r="L34" i="23"/>
  <c r="D53" i="23"/>
  <c r="H58" i="23"/>
  <c r="I76" i="23"/>
  <c r="G21" i="23"/>
  <c r="G72" i="23" s="1"/>
  <c r="E23" i="23"/>
  <c r="E73" i="23" s="1"/>
  <c r="M23" i="23"/>
  <c r="M73" i="23" s="1"/>
  <c r="E34" i="23"/>
  <c r="M34" i="23"/>
  <c r="D37" i="23"/>
  <c r="E37" i="23" s="1"/>
  <c r="E40" i="23"/>
  <c r="E53" i="23"/>
  <c r="E64" i="23"/>
  <c r="J76" i="23"/>
  <c r="H21" i="23"/>
  <c r="H72" i="23" s="1"/>
  <c r="F23" i="23"/>
  <c r="F73" i="23" s="1"/>
  <c r="N23" i="23"/>
  <c r="N73" i="23" s="1"/>
  <c r="E32" i="23"/>
  <c r="F34" i="23"/>
  <c r="N34" i="23"/>
  <c r="D51" i="23"/>
  <c r="K76" i="23"/>
  <c r="E79" i="23"/>
  <c r="I21" i="23"/>
  <c r="I72" i="23" s="1"/>
  <c r="D22" i="23"/>
  <c r="D25" i="23" s="1"/>
  <c r="D27" i="23" s="1"/>
  <c r="L22" i="23"/>
  <c r="G23" i="23"/>
  <c r="G73" i="23" s="1"/>
  <c r="G34" i="23"/>
  <c r="D54" i="23"/>
  <c r="D76" i="23"/>
  <c r="L76" i="23"/>
  <c r="J21" i="23"/>
  <c r="J72" i="23" s="1"/>
  <c r="E22" i="23"/>
  <c r="E25" i="23" s="1"/>
  <c r="M22" i="23"/>
  <c r="H23" i="23"/>
  <c r="H73" i="23" s="1"/>
  <c r="H34" i="23"/>
  <c r="E76" i="23"/>
  <c r="M76" i="23"/>
  <c r="D80" i="23"/>
  <c r="C21" i="23"/>
  <c r="C22" i="23" s="1"/>
  <c r="C25" i="23" s="1"/>
  <c r="C27" i="23" s="1"/>
  <c r="K21" i="23"/>
  <c r="K72" i="23" s="1"/>
  <c r="I23" i="23"/>
  <c r="I73" i="23" s="1"/>
  <c r="E24" i="23"/>
  <c r="F76" i="23"/>
  <c r="N76" i="23"/>
  <c r="J23" i="23"/>
  <c r="J73" i="23" s="1"/>
  <c r="G76" i="23"/>
  <c r="C23" i="23"/>
  <c r="K23" i="23"/>
  <c r="K73" i="23" s="1"/>
  <c r="D74" i="22"/>
  <c r="D75" i="22" s="1"/>
  <c r="E73" i="22"/>
  <c r="D47" i="22"/>
  <c r="K47" i="22"/>
  <c r="C56" i="22"/>
  <c r="C58" i="22" s="1"/>
  <c r="D60" i="22" s="1"/>
  <c r="K56" i="22"/>
  <c r="H24" i="22"/>
  <c r="L56" i="22"/>
  <c r="E46" i="22"/>
  <c r="E47" i="22" s="1"/>
  <c r="E69" i="22"/>
  <c r="L57" i="22"/>
  <c r="G46" i="22"/>
  <c r="G47" i="22" s="1"/>
  <c r="H46" i="22"/>
  <c r="H47" i="22" s="1"/>
  <c r="C23" i="22"/>
  <c r="C150" i="22" s="1"/>
  <c r="E91" i="22" l="1"/>
  <c r="E94" i="22" s="1"/>
  <c r="E104" i="22" s="1"/>
  <c r="D142" i="22"/>
  <c r="K102" i="22"/>
  <c r="J103" i="22"/>
  <c r="E109" i="22"/>
  <c r="I57" i="22"/>
  <c r="E56" i="22"/>
  <c r="F57" i="22"/>
  <c r="D153" i="22"/>
  <c r="D172" i="22" s="1"/>
  <c r="I58" i="22"/>
  <c r="G125" i="22"/>
  <c r="J169" i="22"/>
  <c r="J57" i="22"/>
  <c r="F56" i="22"/>
  <c r="L58" i="22"/>
  <c r="L61" i="22" s="1"/>
  <c r="K168" i="22"/>
  <c r="K169" i="22"/>
  <c r="G56" i="22"/>
  <c r="G58" i="22" s="1"/>
  <c r="G61" i="22" s="1"/>
  <c r="G152" i="22" s="1"/>
  <c r="H58" i="22"/>
  <c r="H61" i="22" s="1"/>
  <c r="H152" i="22" s="1"/>
  <c r="J58" i="22"/>
  <c r="K60" i="22" s="1"/>
  <c r="D56" i="22"/>
  <c r="D58" i="22" s="1"/>
  <c r="D144" i="22"/>
  <c r="D170" i="22"/>
  <c r="K57" i="22"/>
  <c r="K58" i="22" s="1"/>
  <c r="J168" i="22"/>
  <c r="I168" i="22"/>
  <c r="D166" i="22"/>
  <c r="C28" i="23"/>
  <c r="C29" i="23"/>
  <c r="D28" i="23"/>
  <c r="D75" i="23" s="1"/>
  <c r="D77" i="23" s="1"/>
  <c r="D81" i="23" s="1"/>
  <c r="E54" i="23"/>
  <c r="F40" i="23"/>
  <c r="G35" i="23"/>
  <c r="G53" i="23" s="1"/>
  <c r="E36" i="23"/>
  <c r="E38" i="23" s="1"/>
  <c r="E80" i="23"/>
  <c r="F79" i="23"/>
  <c r="F32" i="23"/>
  <c r="F64" i="23"/>
  <c r="K22" i="23"/>
  <c r="N52" i="23"/>
  <c r="N71" i="23"/>
  <c r="D38" i="23"/>
  <c r="F52" i="23"/>
  <c r="F71" i="23"/>
  <c r="M52" i="23"/>
  <c r="M71" i="23"/>
  <c r="N22" i="23"/>
  <c r="E52" i="23"/>
  <c r="E71" i="23"/>
  <c r="F22" i="23"/>
  <c r="H22" i="23"/>
  <c r="I52" i="23"/>
  <c r="I71" i="23"/>
  <c r="H52" i="23"/>
  <c r="H71" i="23"/>
  <c r="G22" i="23"/>
  <c r="F24" i="23"/>
  <c r="F37" i="23" s="1"/>
  <c r="E51" i="23"/>
  <c r="G71" i="23"/>
  <c r="G52" i="23"/>
  <c r="J22" i="23"/>
  <c r="L52" i="23"/>
  <c r="I61" i="22"/>
  <c r="I152" i="22" s="1"/>
  <c r="J60" i="22"/>
  <c r="E167" i="22"/>
  <c r="E148" i="22"/>
  <c r="E71" i="22"/>
  <c r="E124" i="22" s="1"/>
  <c r="E129" i="22" s="1"/>
  <c r="E130" i="22" s="1"/>
  <c r="F69" i="22"/>
  <c r="H168" i="22"/>
  <c r="F169" i="22"/>
  <c r="E58" i="22"/>
  <c r="E147" i="22"/>
  <c r="D149" i="22"/>
  <c r="C130" i="22"/>
  <c r="H26" i="22"/>
  <c r="C132" i="22" s="1"/>
  <c r="L102" i="22" l="1"/>
  <c r="K103" i="22"/>
  <c r="E107" i="22"/>
  <c r="H125" i="22"/>
  <c r="F58" i="22"/>
  <c r="L152" i="22"/>
  <c r="J61" i="22"/>
  <c r="J152" i="22" s="1"/>
  <c r="G169" i="22"/>
  <c r="I169" i="22"/>
  <c r="I60" i="22"/>
  <c r="I62" i="22" s="1"/>
  <c r="H60" i="22"/>
  <c r="H62" i="22" s="1"/>
  <c r="D61" i="22"/>
  <c r="D62" i="22" s="1"/>
  <c r="E169" i="22"/>
  <c r="D169" i="22"/>
  <c r="H169" i="22"/>
  <c r="F148" i="22"/>
  <c r="D156" i="22"/>
  <c r="E60" i="22"/>
  <c r="D29" i="23"/>
  <c r="G24" i="23"/>
  <c r="F51" i="23"/>
  <c r="F80" i="23"/>
  <c r="G79" i="23"/>
  <c r="G32" i="23"/>
  <c r="G64" i="23"/>
  <c r="F36" i="23"/>
  <c r="F38" i="23" s="1"/>
  <c r="F25" i="23"/>
  <c r="H35" i="23"/>
  <c r="H53" i="23"/>
  <c r="F54" i="23"/>
  <c r="G40" i="23"/>
  <c r="F145" i="22"/>
  <c r="E74" i="22"/>
  <c r="E75" i="22" s="1"/>
  <c r="F73" i="22"/>
  <c r="E170" i="22"/>
  <c r="J171" i="22"/>
  <c r="E61" i="22"/>
  <c r="F60" i="22"/>
  <c r="K61" i="22"/>
  <c r="K62" i="22" s="1"/>
  <c r="L60" i="22"/>
  <c r="L62" i="22" s="1"/>
  <c r="F147" i="22"/>
  <c r="F175" i="22" s="1"/>
  <c r="F176" i="22" s="1"/>
  <c r="E149" i="22"/>
  <c r="E175" i="22"/>
  <c r="E176" i="22" s="1"/>
  <c r="H171" i="22"/>
  <c r="I171" i="22"/>
  <c r="I125" i="22"/>
  <c r="F167" i="22"/>
  <c r="F71" i="22"/>
  <c r="F124" i="22" s="1"/>
  <c r="F129" i="22" s="1"/>
  <c r="F130" i="22" s="1"/>
  <c r="G69" i="22"/>
  <c r="E110" i="22" l="1"/>
  <c r="E111" i="22" s="1"/>
  <c r="E108" i="22"/>
  <c r="L103" i="22"/>
  <c r="K152" i="22"/>
  <c r="D152" i="22"/>
  <c r="D171" i="22" s="1"/>
  <c r="G60" i="22"/>
  <c r="G62" i="22" s="1"/>
  <c r="F61" i="22"/>
  <c r="F152" i="22" s="1"/>
  <c r="G171" i="22" s="1"/>
  <c r="D173" i="22"/>
  <c r="J62" i="22"/>
  <c r="E62" i="22"/>
  <c r="G54" i="23"/>
  <c r="H40" i="23"/>
  <c r="D50" i="23"/>
  <c r="D55" i="23" s="1"/>
  <c r="D45" i="23"/>
  <c r="I35" i="23"/>
  <c r="G80" i="23"/>
  <c r="H79" i="23"/>
  <c r="H32" i="23"/>
  <c r="H64" i="23"/>
  <c r="G36" i="23"/>
  <c r="G38" i="23" s="1"/>
  <c r="G51" i="23"/>
  <c r="H24" i="23"/>
  <c r="G25" i="23"/>
  <c r="G37" i="23"/>
  <c r="K171" i="22"/>
  <c r="L171" i="22"/>
  <c r="G167" i="22"/>
  <c r="G147" i="22"/>
  <c r="G175" i="22" s="1"/>
  <c r="G176" i="22" s="1"/>
  <c r="F149" i="22"/>
  <c r="J125" i="22"/>
  <c r="E152" i="22"/>
  <c r="E153" i="22"/>
  <c r="E172" i="22" s="1"/>
  <c r="F74" i="22"/>
  <c r="F153" i="22" s="1"/>
  <c r="G73" i="22"/>
  <c r="G148" i="22"/>
  <c r="G145" i="22"/>
  <c r="H69" i="22"/>
  <c r="G71" i="22"/>
  <c r="G124" i="22" s="1"/>
  <c r="G129" i="22" s="1"/>
  <c r="G130" i="22" s="1"/>
  <c r="F170" i="22"/>
  <c r="F109" i="22" l="1"/>
  <c r="F91" i="22"/>
  <c r="F94" i="22" s="1"/>
  <c r="F104" i="22" s="1"/>
  <c r="E142" i="22"/>
  <c r="F62" i="22"/>
  <c r="D154" i="22"/>
  <c r="D178" i="22" s="1"/>
  <c r="E131" i="22"/>
  <c r="E132" i="22" s="1"/>
  <c r="J53" i="23"/>
  <c r="J35" i="23"/>
  <c r="I53" i="23"/>
  <c r="H37" i="23"/>
  <c r="I37" i="23" s="1"/>
  <c r="I79" i="23"/>
  <c r="I32" i="23"/>
  <c r="I64" i="23"/>
  <c r="H36" i="23"/>
  <c r="H80" i="23"/>
  <c r="H54" i="23"/>
  <c r="I40" i="23"/>
  <c r="H51" i="23"/>
  <c r="I24" i="23"/>
  <c r="H25" i="23"/>
  <c r="F172" i="22"/>
  <c r="G74" i="22"/>
  <c r="G153" i="22" s="1"/>
  <c r="H73" i="22"/>
  <c r="H167" i="22"/>
  <c r="H145" i="22"/>
  <c r="G170" i="22"/>
  <c r="E171" i="22"/>
  <c r="F171" i="22"/>
  <c r="H148" i="22"/>
  <c r="I69" i="22"/>
  <c r="H71" i="22"/>
  <c r="H124" i="22" s="1"/>
  <c r="H129" i="22" s="1"/>
  <c r="H130" i="22" s="1"/>
  <c r="H132" i="22" s="1"/>
  <c r="F75" i="22"/>
  <c r="K125" i="22"/>
  <c r="G149" i="22"/>
  <c r="H147" i="22"/>
  <c r="F107" i="22" l="1"/>
  <c r="G75" i="22"/>
  <c r="J40" i="23"/>
  <c r="I54" i="23"/>
  <c r="J79" i="23"/>
  <c r="J32" i="23"/>
  <c r="J64" i="23"/>
  <c r="I36" i="23"/>
  <c r="I38" i="23" s="1"/>
  <c r="I80" i="23"/>
  <c r="D60" i="23"/>
  <c r="E26" i="23"/>
  <c r="D67" i="23"/>
  <c r="D68" i="23" s="1"/>
  <c r="D42" i="23"/>
  <c r="D46" i="23" s="1"/>
  <c r="K35" i="23"/>
  <c r="I51" i="23"/>
  <c r="J24" i="23"/>
  <c r="I25" i="23"/>
  <c r="H38" i="23"/>
  <c r="L125" i="22"/>
  <c r="I167" i="22"/>
  <c r="E166" i="22"/>
  <c r="E173" i="22" s="1"/>
  <c r="E156" i="22"/>
  <c r="I148" i="22"/>
  <c r="J148" i="22" s="1"/>
  <c r="G172" i="22"/>
  <c r="E182" i="22"/>
  <c r="D146" i="22"/>
  <c r="D150" i="22" s="1"/>
  <c r="H149" i="22"/>
  <c r="I147" i="22"/>
  <c r="H175" i="22"/>
  <c r="H176" i="22" s="1"/>
  <c r="H74" i="22"/>
  <c r="H153" i="22" s="1"/>
  <c r="I73" i="22"/>
  <c r="I145" i="22"/>
  <c r="J69" i="22"/>
  <c r="I71" i="22"/>
  <c r="I124" i="22" s="1"/>
  <c r="I129" i="22" s="1"/>
  <c r="I130" i="22" s="1"/>
  <c r="I132" i="22" s="1"/>
  <c r="D179" i="22"/>
  <c r="D155" i="22"/>
  <c r="D157" i="22" s="1"/>
  <c r="H170" i="22"/>
  <c r="F110" i="22" l="1"/>
  <c r="F111" i="22" s="1"/>
  <c r="F108" i="22"/>
  <c r="H75" i="22"/>
  <c r="D181" i="22"/>
  <c r="D183" i="22" s="1"/>
  <c r="K40" i="23"/>
  <c r="J54" i="23"/>
  <c r="L35" i="23"/>
  <c r="L53" i="23" s="1"/>
  <c r="K53" i="23"/>
  <c r="K64" i="23"/>
  <c r="J36" i="23"/>
  <c r="J38" i="23" s="1"/>
  <c r="J80" i="23"/>
  <c r="K79" i="23"/>
  <c r="K32" i="23"/>
  <c r="E74" i="23"/>
  <c r="E27" i="23"/>
  <c r="K24" i="23"/>
  <c r="J51" i="23"/>
  <c r="J25" i="23"/>
  <c r="D82" i="23"/>
  <c r="D83" i="23" s="1"/>
  <c r="D61" i="23"/>
  <c r="D63" i="23" s="1"/>
  <c r="D65" i="23" s="1"/>
  <c r="J37" i="23"/>
  <c r="K148" i="22"/>
  <c r="J71" i="22"/>
  <c r="J124" i="22" s="1"/>
  <c r="J129" i="22" s="1"/>
  <c r="J130" i="22" s="1"/>
  <c r="J132" i="22" s="1"/>
  <c r="K69" i="22"/>
  <c r="J145" i="22"/>
  <c r="J170" i="22" s="1"/>
  <c r="H172" i="22"/>
  <c r="H155" i="22"/>
  <c r="I74" i="22"/>
  <c r="I75" i="22" s="1"/>
  <c r="J73" i="22"/>
  <c r="I153" i="22"/>
  <c r="I170" i="22"/>
  <c r="I149" i="22"/>
  <c r="J147" i="22"/>
  <c r="J167" i="22"/>
  <c r="H166" i="22"/>
  <c r="I175" i="22"/>
  <c r="I176" i="22" s="1"/>
  <c r="G109" i="22" l="1"/>
  <c r="G107" i="22"/>
  <c r="G110" i="22" s="1"/>
  <c r="G91" i="22"/>
  <c r="G94" i="22" s="1"/>
  <c r="G104" i="22" s="1"/>
  <c r="G111" i="22" s="1"/>
  <c r="F142" i="22"/>
  <c r="H173" i="22"/>
  <c r="M35" i="23"/>
  <c r="M53" i="23"/>
  <c r="K36" i="23"/>
  <c r="K38" i="23" s="1"/>
  <c r="K80" i="23"/>
  <c r="L79" i="23"/>
  <c r="L32" i="23"/>
  <c r="L64" i="23"/>
  <c r="K54" i="23"/>
  <c r="L40" i="23"/>
  <c r="L24" i="23"/>
  <c r="K51" i="23"/>
  <c r="K25" i="23"/>
  <c r="K37" i="23"/>
  <c r="E28" i="23"/>
  <c r="E75" i="23" s="1"/>
  <c r="E77" i="23" s="1"/>
  <c r="E81" i="23" s="1"/>
  <c r="I172" i="22"/>
  <c r="I155" i="22"/>
  <c r="K167" i="22"/>
  <c r="L167" i="22"/>
  <c r="K145" i="22"/>
  <c r="K170" i="22"/>
  <c r="K71" i="22"/>
  <c r="K124" i="22" s="1"/>
  <c r="K129" i="22" s="1"/>
  <c r="K130" i="22" s="1"/>
  <c r="L69" i="22"/>
  <c r="L71" i="22" s="1"/>
  <c r="L124" i="22" s="1"/>
  <c r="L129" i="22" s="1"/>
  <c r="L130" i="22" s="1"/>
  <c r="F131" i="22"/>
  <c r="F132" i="22" s="1"/>
  <c r="E154" i="22"/>
  <c r="J149" i="22"/>
  <c r="K147" i="22"/>
  <c r="J175" i="22"/>
  <c r="J176" i="22" s="1"/>
  <c r="I166" i="22"/>
  <c r="J74" i="22"/>
  <c r="J75" i="22" s="1"/>
  <c r="K73" i="22"/>
  <c r="G142" i="22" l="1"/>
  <c r="H91" i="22"/>
  <c r="H94" i="22" s="1"/>
  <c r="H104" i="22" s="1"/>
  <c r="H111" i="22" s="1"/>
  <c r="G108" i="22"/>
  <c r="I173" i="22"/>
  <c r="I181" i="22" s="1"/>
  <c r="J153" i="22"/>
  <c r="J172" i="22" s="1"/>
  <c r="M24" i="23"/>
  <c r="L51" i="23"/>
  <c r="L25" i="23"/>
  <c r="L37" i="23"/>
  <c r="M37" i="23" s="1"/>
  <c r="N35" i="23"/>
  <c r="N53" i="23"/>
  <c r="L36" i="23"/>
  <c r="L80" i="23"/>
  <c r="M79" i="23"/>
  <c r="M32" i="23"/>
  <c r="M64" i="23"/>
  <c r="L54" i="23"/>
  <c r="M40" i="23"/>
  <c r="E29" i="23"/>
  <c r="K149" i="22"/>
  <c r="L147" i="22"/>
  <c r="K74" i="22"/>
  <c r="K153" i="22" s="1"/>
  <c r="L73" i="22"/>
  <c r="K175" i="22"/>
  <c r="K176" i="22" s="1"/>
  <c r="F182" i="22"/>
  <c r="E146" i="22"/>
  <c r="E150" i="22" s="1"/>
  <c r="L148" i="22"/>
  <c r="E178" i="22"/>
  <c r="E179" i="22" s="1"/>
  <c r="E181" i="22" s="1"/>
  <c r="E183" i="22" s="1"/>
  <c r="E155" i="22"/>
  <c r="E157" i="22" s="1"/>
  <c r="L145" i="22"/>
  <c r="L170" i="22" s="1"/>
  <c r="L74" i="22"/>
  <c r="L153" i="22" s="1"/>
  <c r="J166" i="22"/>
  <c r="I91" i="22" l="1"/>
  <c r="I94" i="22" s="1"/>
  <c r="I104" i="22" s="1"/>
  <c r="I111" i="22" s="1"/>
  <c r="H142" i="22"/>
  <c r="L149" i="22"/>
  <c r="M36" i="23"/>
  <c r="M38" i="23" s="1"/>
  <c r="M80" i="23"/>
  <c r="N79" i="23"/>
  <c r="N32" i="23"/>
  <c r="N64" i="23"/>
  <c r="E50" i="23"/>
  <c r="E55" i="23" s="1"/>
  <c r="E45" i="23"/>
  <c r="L38" i="23"/>
  <c r="M54" i="23"/>
  <c r="N40" i="23"/>
  <c r="N24" i="23"/>
  <c r="M51" i="23"/>
  <c r="M25" i="23"/>
  <c r="L172" i="22"/>
  <c r="K172" i="22"/>
  <c r="F166" i="22"/>
  <c r="F173" i="22" s="1"/>
  <c r="F156" i="22"/>
  <c r="J173" i="22"/>
  <c r="L175" i="22"/>
  <c r="L176" i="22" s="1"/>
  <c r="L75" i="22"/>
  <c r="K75" i="22"/>
  <c r="J91" i="22" l="1"/>
  <c r="J94" i="22" s="1"/>
  <c r="J104" i="22" s="1"/>
  <c r="I142" i="22"/>
  <c r="N80" i="23"/>
  <c r="N36" i="23"/>
  <c r="N51" i="23"/>
  <c r="N25" i="23"/>
  <c r="O24" i="23"/>
  <c r="O25" i="23" s="1"/>
  <c r="N54" i="23"/>
  <c r="E41" i="23"/>
  <c r="N37" i="23"/>
  <c r="G131" i="22"/>
  <c r="G132" i="22" s="1"/>
  <c r="F154" i="22"/>
  <c r="J106" i="22" l="1"/>
  <c r="E67" i="23"/>
  <c r="E68" i="23" s="1"/>
  <c r="E60" i="23"/>
  <c r="F26" i="23"/>
  <c r="E42" i="23"/>
  <c r="E46" i="23" s="1"/>
  <c r="N38" i="23"/>
  <c r="F178" i="22"/>
  <c r="F179" i="22" s="1"/>
  <c r="F181" i="22" s="1"/>
  <c r="F183" i="22" s="1"/>
  <c r="F155" i="22"/>
  <c r="F157" i="22" s="1"/>
  <c r="G154" i="22"/>
  <c r="G182" i="22"/>
  <c r="F146" i="22"/>
  <c r="F150" i="22" s="1"/>
  <c r="J108" i="22" l="1"/>
  <c r="J110" i="22"/>
  <c r="J111" i="22" s="1"/>
  <c r="F74" i="23"/>
  <c r="F27" i="23"/>
  <c r="E82" i="23"/>
  <c r="E83" i="23" s="1"/>
  <c r="E61" i="23"/>
  <c r="E63" i="23" s="1"/>
  <c r="E65" i="23" s="1"/>
  <c r="G166" i="22"/>
  <c r="G173" i="22" s="1"/>
  <c r="G156" i="22"/>
  <c r="H156" i="22" s="1"/>
  <c r="G178" i="22"/>
  <c r="G179" i="22" s="1"/>
  <c r="H178" i="22"/>
  <c r="H179" i="22" s="1"/>
  <c r="H181" i="22" s="1"/>
  <c r="G155" i="22"/>
  <c r="K91" i="22" l="1"/>
  <c r="K94" i="22" s="1"/>
  <c r="K104" i="22" s="1"/>
  <c r="J142" i="22"/>
  <c r="K109" i="22"/>
  <c r="G157" i="22"/>
  <c r="F28" i="23"/>
  <c r="F75" i="23" s="1"/>
  <c r="F77" i="23"/>
  <c r="F81" i="23" s="1"/>
  <c r="I156" i="22"/>
  <c r="H157" i="22"/>
  <c r="G181" i="22"/>
  <c r="G183" i="22" s="1"/>
  <c r="H182" i="22"/>
  <c r="H183" i="22" s="1"/>
  <c r="G146" i="22"/>
  <c r="G150" i="22" s="1"/>
  <c r="K106" i="22" l="1"/>
  <c r="F29" i="23"/>
  <c r="H146" i="22"/>
  <c r="H150" i="22" s="1"/>
  <c r="I182" i="22"/>
  <c r="I183" i="22" s="1"/>
  <c r="J156" i="22"/>
  <c r="I157" i="22"/>
  <c r="K110" i="22" l="1"/>
  <c r="K111" i="22" s="1"/>
  <c r="K108" i="22"/>
  <c r="F50" i="23"/>
  <c r="F55" i="23" s="1"/>
  <c r="F45" i="23"/>
  <c r="I146" i="22"/>
  <c r="I150" i="22" s="1"/>
  <c r="J182" i="22"/>
  <c r="L109" i="22" l="1"/>
  <c r="L91" i="22"/>
  <c r="L94" i="22" s="1"/>
  <c r="L104" i="22" s="1"/>
  <c r="K142" i="22"/>
  <c r="F41" i="23"/>
  <c r="L107" i="22" l="1"/>
  <c r="F60" i="23"/>
  <c r="G26" i="23"/>
  <c r="F67" i="23"/>
  <c r="F68" i="23" s="1"/>
  <c r="F42" i="23"/>
  <c r="F46" i="23" s="1"/>
  <c r="J154" i="22"/>
  <c r="K131" i="22"/>
  <c r="K132" i="22" s="1"/>
  <c r="L110" i="22" l="1"/>
  <c r="L111" i="22" s="1"/>
  <c r="L142" i="22" s="1"/>
  <c r="L108" i="22"/>
  <c r="G74" i="23"/>
  <c r="G27" i="23"/>
  <c r="F82" i="23"/>
  <c r="F83" i="23" s="1"/>
  <c r="F61" i="23"/>
  <c r="F63" i="23" s="1"/>
  <c r="F65" i="23" s="1"/>
  <c r="J178" i="22"/>
  <c r="J179" i="22" s="1"/>
  <c r="J181" i="22" s="1"/>
  <c r="J183" i="22" s="1"/>
  <c r="J155" i="22"/>
  <c r="J157" i="22" s="1"/>
  <c r="K182" i="22"/>
  <c r="J146" i="22"/>
  <c r="J150" i="22" s="1"/>
  <c r="G28" i="23" l="1"/>
  <c r="G75" i="23" s="1"/>
  <c r="G29" i="23"/>
  <c r="G77" i="23"/>
  <c r="G81" i="23" s="1"/>
  <c r="K166" i="22"/>
  <c r="K173" i="22" s="1"/>
  <c r="K156" i="22"/>
  <c r="G50" i="23" l="1"/>
  <c r="G55" i="23" s="1"/>
  <c r="G45" i="23"/>
  <c r="K154" i="22"/>
  <c r="L131" i="22"/>
  <c r="L132" i="22" s="1"/>
  <c r="G41" i="23" l="1"/>
  <c r="L182" i="22"/>
  <c r="K146" i="22"/>
  <c r="K150" i="22" s="1"/>
  <c r="K178" i="22"/>
  <c r="K179" i="22" s="1"/>
  <c r="K181" i="22" s="1"/>
  <c r="K183" i="22" s="1"/>
  <c r="K155" i="22"/>
  <c r="K157" i="22" s="1"/>
  <c r="G60" i="23" l="1"/>
  <c r="H26" i="23"/>
  <c r="G67" i="23"/>
  <c r="G68" i="23" s="1"/>
  <c r="G42" i="23"/>
  <c r="G46" i="23" s="1"/>
  <c r="L166" i="22"/>
  <c r="L173" i="22" s="1"/>
  <c r="L156" i="22"/>
  <c r="L146" i="22"/>
  <c r="L150" i="22" s="1"/>
  <c r="L154" i="22"/>
  <c r="H74" i="23" l="1"/>
  <c r="H27" i="23"/>
  <c r="G82" i="23"/>
  <c r="G83" i="23" s="1"/>
  <c r="G61" i="23"/>
  <c r="G63" i="23" s="1"/>
  <c r="G65" i="23" s="1"/>
  <c r="L178" i="22"/>
  <c r="L179" i="22" s="1"/>
  <c r="L155" i="22"/>
  <c r="L157" i="22" s="1"/>
  <c r="L181" i="22"/>
  <c r="L183" i="22" s="1"/>
  <c r="H28" i="23" l="1"/>
  <c r="H75" i="23" s="1"/>
  <c r="H29" i="23"/>
  <c r="H77" i="23"/>
  <c r="H81" i="23" s="1"/>
  <c r="H50" i="23" l="1"/>
  <c r="H55" i="23" s="1"/>
  <c r="H45" i="23"/>
  <c r="H41" i="23" l="1"/>
  <c r="H60" i="23" l="1"/>
  <c r="I26" i="23"/>
  <c r="H67" i="23"/>
  <c r="H68" i="23" s="1"/>
  <c r="H42" i="23"/>
  <c r="H46" i="23" s="1"/>
  <c r="I74" i="23" l="1"/>
  <c r="I27" i="23"/>
  <c r="H82" i="23"/>
  <c r="H83" i="23" s="1"/>
  <c r="H61" i="23"/>
  <c r="H63" i="23" s="1"/>
  <c r="H65" i="23" s="1"/>
  <c r="I28" i="23" l="1"/>
  <c r="I75" i="23" s="1"/>
  <c r="I29" i="23"/>
  <c r="I77" i="23"/>
  <c r="I81" i="23" s="1"/>
  <c r="I50" i="23" l="1"/>
  <c r="I55" i="23" s="1"/>
  <c r="I45" i="23"/>
  <c r="I41" i="23" l="1"/>
  <c r="F116" i="21"/>
  <c r="F115" i="21"/>
  <c r="F119" i="21" s="1"/>
  <c r="M107" i="21"/>
  <c r="F107" i="21"/>
  <c r="F106" i="21"/>
  <c r="F105" i="21"/>
  <c r="F111" i="21" s="1"/>
  <c r="L94" i="21"/>
  <c r="M95" i="21" s="1"/>
  <c r="K94" i="21"/>
  <c r="L93" i="21"/>
  <c r="L96" i="21" s="1"/>
  <c r="M89" i="21"/>
  <c r="L89" i="21"/>
  <c r="K89" i="21"/>
  <c r="K82" i="21"/>
  <c r="K81" i="21"/>
  <c r="L81" i="21" s="1"/>
  <c r="M81" i="21" s="1"/>
  <c r="M52" i="21"/>
  <c r="L52" i="21"/>
  <c r="K52" i="21"/>
  <c r="N42" i="21"/>
  <c r="N67" i="21" s="1"/>
  <c r="M42" i="21"/>
  <c r="L42" i="21"/>
  <c r="K42" i="21"/>
  <c r="N41" i="21"/>
  <c r="N66" i="21" s="1"/>
  <c r="M41" i="21"/>
  <c r="L41" i="21"/>
  <c r="K41" i="21"/>
  <c r="N40" i="21"/>
  <c r="N65" i="21" s="1"/>
  <c r="M40" i="21"/>
  <c r="L40" i="21"/>
  <c r="K40" i="21"/>
  <c r="M36" i="21"/>
  <c r="L36" i="21"/>
  <c r="K36" i="21"/>
  <c r="J36" i="21"/>
  <c r="J22" i="21"/>
  <c r="M15" i="21"/>
  <c r="N10" i="21"/>
  <c r="N60" i="21" s="1"/>
  <c r="M10" i="21"/>
  <c r="M39" i="21" s="1"/>
  <c r="M51" i="21" s="1"/>
  <c r="L10" i="21"/>
  <c r="L15" i="21" s="1"/>
  <c r="K10" i="21"/>
  <c r="K18" i="21" s="1"/>
  <c r="J10" i="21"/>
  <c r="K16" i="21" s="1"/>
  <c r="I60" i="23" l="1"/>
  <c r="J26" i="23"/>
  <c r="I67" i="23"/>
  <c r="I68" i="23" s="1"/>
  <c r="I42" i="23"/>
  <c r="I46" i="23" s="1"/>
  <c r="L38" i="21"/>
  <c r="M18" i="21"/>
  <c r="M85" i="21" s="1"/>
  <c r="M96" i="21"/>
  <c r="K37" i="21"/>
  <c r="L22" i="21"/>
  <c r="L37" i="21"/>
  <c r="N61" i="21"/>
  <c r="L16" i="21"/>
  <c r="L18" i="21" s="1"/>
  <c r="L85" i="21" s="1"/>
  <c r="M22" i="21"/>
  <c r="M37" i="21"/>
  <c r="L51" i="21"/>
  <c r="M16" i="21"/>
  <c r="J74" i="23" l="1"/>
  <c r="J27" i="23"/>
  <c r="I82" i="23"/>
  <c r="I83" i="23" s="1"/>
  <c r="I61" i="23"/>
  <c r="I63" i="23" s="1"/>
  <c r="I65" i="23" s="1"/>
  <c r="K50" i="21"/>
  <c r="N38" i="21"/>
  <c r="M117" i="21"/>
  <c r="M43" i="21"/>
  <c r="M49" i="21"/>
  <c r="M25" i="21"/>
  <c r="K23" i="21"/>
  <c r="L25" i="21" s="1"/>
  <c r="L49" i="21"/>
  <c r="L43" i="21"/>
  <c r="N39" i="21"/>
  <c r="N64" i="21" s="1"/>
  <c r="K51" i="21"/>
  <c r="J28" i="23" l="1"/>
  <c r="J75" i="23" s="1"/>
  <c r="J77" i="23"/>
  <c r="J81" i="23" s="1"/>
  <c r="M115" i="21"/>
  <c r="L50" i="21"/>
  <c r="L53" i="21" s="1"/>
  <c r="L87" i="21" s="1"/>
  <c r="N63" i="21"/>
  <c r="N68" i="21" s="1"/>
  <c r="N43" i="21"/>
  <c r="K25" i="21"/>
  <c r="M50" i="21"/>
  <c r="M53" i="21" s="1"/>
  <c r="M87" i="21" s="1"/>
  <c r="S43" i="21"/>
  <c r="O16" i="21"/>
  <c r="N120" i="21"/>
  <c r="O31" i="21"/>
  <c r="O51" i="21"/>
  <c r="P38" i="21"/>
  <c r="R23" i="21"/>
  <c r="N115" i="21"/>
  <c r="P23" i="21"/>
  <c r="N92" i="21"/>
  <c r="N48" i="21"/>
  <c r="P92" i="21"/>
  <c r="O59" i="21"/>
  <c r="N119" i="21"/>
  <c r="O50" i="21"/>
  <c r="N109" i="21"/>
  <c r="P26" i="21"/>
  <c r="N104" i="21"/>
  <c r="N51" i="21"/>
  <c r="O64" i="21"/>
  <c r="P41" i="21"/>
  <c r="R42" i="21"/>
  <c r="O53" i="21"/>
  <c r="S41" i="21"/>
  <c r="Q38" i="21"/>
  <c r="Q37" i="21"/>
  <c r="Q41" i="21"/>
  <c r="P37" i="21"/>
  <c r="O70" i="21"/>
  <c r="O38" i="21"/>
  <c r="P32" i="21"/>
  <c r="O26" i="21"/>
  <c r="P86" i="21"/>
  <c r="Q36" i="21"/>
  <c r="P48" i="21"/>
  <c r="R43" i="21"/>
  <c r="R39" i="21"/>
  <c r="P42" i="21"/>
  <c r="M11" i="21"/>
  <c r="O52" i="21"/>
  <c r="S39" i="21"/>
  <c r="P50" i="21"/>
  <c r="O63" i="21"/>
  <c r="P52" i="21"/>
  <c r="O69" i="21"/>
  <c r="N53" i="21"/>
  <c r="Q26" i="21"/>
  <c r="R40" i="21"/>
  <c r="N117" i="21"/>
  <c r="N11" i="21"/>
  <c r="N96" i="21"/>
  <c r="O30" i="21"/>
  <c r="Q22" i="21"/>
  <c r="P95" i="21"/>
  <c r="N95" i="21"/>
  <c r="N31" i="21"/>
  <c r="O95" i="21"/>
  <c r="Q25" i="21"/>
  <c r="R37" i="21"/>
  <c r="P43" i="21"/>
  <c r="O15" i="21"/>
  <c r="S42" i="21"/>
  <c r="J11" i="21"/>
  <c r="Q39" i="21"/>
  <c r="P18" i="21"/>
  <c r="R38" i="21"/>
  <c r="S40" i="21"/>
  <c r="O96" i="21"/>
  <c r="R26" i="21"/>
  <c r="P80" i="21"/>
  <c r="N97" i="21"/>
  <c r="O67" i="21"/>
  <c r="S38" i="21"/>
  <c r="R36" i="21"/>
  <c r="P16" i="21"/>
  <c r="N30" i="21"/>
  <c r="P90" i="21"/>
  <c r="O60" i="21"/>
  <c r="N85" i="21"/>
  <c r="P87" i="21"/>
  <c r="N81" i="21"/>
  <c r="R24" i="21"/>
  <c r="N49" i="21"/>
  <c r="N105" i="21"/>
  <c r="P24" i="21"/>
  <c r="N116" i="21"/>
  <c r="Q40" i="21"/>
  <c r="O65" i="21"/>
  <c r="P82" i="21"/>
  <c r="N110" i="21"/>
  <c r="O32" i="21"/>
  <c r="O24" i="21"/>
  <c r="O61" i="21"/>
  <c r="L11" i="21"/>
  <c r="N90" i="21"/>
  <c r="O25" i="21"/>
  <c r="P49" i="21"/>
  <c r="N32" i="21"/>
  <c r="P40" i="21"/>
  <c r="N82" i="21"/>
  <c r="O49" i="21"/>
  <c r="O37" i="21"/>
  <c r="O66" i="21"/>
  <c r="O90" i="21"/>
  <c r="O23" i="21"/>
  <c r="N87" i="21"/>
  <c r="N118" i="21"/>
  <c r="O85" i="21"/>
  <c r="P22" i="21"/>
  <c r="N89" i="21"/>
  <c r="O48" i="21"/>
  <c r="N50" i="21"/>
  <c r="Q42" i="21"/>
  <c r="N80" i="21"/>
  <c r="O92" i="21"/>
  <c r="N52" i="21"/>
  <c r="P96" i="21"/>
  <c r="K11" i="21"/>
  <c r="P53" i="21"/>
  <c r="P15" i="21"/>
  <c r="O68" i="21"/>
  <c r="O36" i="21"/>
  <c r="P30" i="21"/>
  <c r="P39" i="21"/>
  <c r="N18" i="21"/>
  <c r="N86" i="21"/>
  <c r="Q23" i="21"/>
  <c r="N106" i="21"/>
  <c r="O97" i="21"/>
  <c r="O87" i="21"/>
  <c r="N111" i="21"/>
  <c r="Q24" i="21"/>
  <c r="P85" i="21"/>
  <c r="P36" i="21"/>
  <c r="Q43" i="21"/>
  <c r="N107" i="21"/>
  <c r="N16" i="21"/>
  <c r="R25" i="21"/>
  <c r="N15" i="21"/>
  <c r="O82" i="21"/>
  <c r="P25" i="21"/>
  <c r="P51" i="21"/>
  <c r="P31" i="21"/>
  <c r="O22" i="21"/>
  <c r="P97" i="21"/>
  <c r="O81" i="21"/>
  <c r="O86" i="21"/>
  <c r="R41" i="21"/>
  <c r="P81" i="21"/>
  <c r="O80" i="21"/>
  <c r="J29" i="23" l="1"/>
  <c r="K32" i="21"/>
  <c r="K90" i="21" s="1"/>
  <c r="M32" i="21"/>
  <c r="M86" i="21" s="1"/>
  <c r="L31" i="21"/>
  <c r="J50" i="23" l="1"/>
  <c r="J55" i="23" s="1"/>
  <c r="J45" i="23"/>
  <c r="L80" i="21"/>
  <c r="K92" i="21"/>
  <c r="L32" i="21"/>
  <c r="L86" i="21" s="1"/>
  <c r="L90" i="21" s="1"/>
  <c r="N72" i="21"/>
  <c r="M119" i="21" l="1"/>
  <c r="M120" i="21" s="1"/>
  <c r="J41" i="23"/>
  <c r="L97" i="21"/>
  <c r="M80" i="21" s="1"/>
  <c r="L82" i="21"/>
  <c r="L92" i="21" s="1"/>
  <c r="J60" i="23" l="1"/>
  <c r="K26" i="23"/>
  <c r="J67" i="23"/>
  <c r="J68" i="23" s="1"/>
  <c r="J42" i="23"/>
  <c r="J46" i="23" s="1"/>
  <c r="M97" i="21"/>
  <c r="M104" i="21" s="1"/>
  <c r="M111" i="21" s="1"/>
  <c r="M82" i="21"/>
  <c r="K74" i="23" l="1"/>
  <c r="K27" i="23"/>
  <c r="J82" i="23"/>
  <c r="J83" i="23" s="1"/>
  <c r="J61" i="23"/>
  <c r="J63" i="23" s="1"/>
  <c r="J65" i="23" s="1"/>
  <c r="K28" i="23" l="1"/>
  <c r="K75" i="23" s="1"/>
  <c r="K29" i="23"/>
  <c r="K77" i="23"/>
  <c r="K81" i="23" s="1"/>
  <c r="K50" i="23" l="1"/>
  <c r="K55" i="23" s="1"/>
  <c r="K45" i="23"/>
  <c r="K41" i="23" l="1"/>
  <c r="K60" i="23" l="1"/>
  <c r="L26" i="23"/>
  <c r="K67" i="23"/>
  <c r="K68" i="23" s="1"/>
  <c r="K42" i="23"/>
  <c r="K46" i="23" s="1"/>
  <c r="L74" i="23" l="1"/>
  <c r="L27" i="23"/>
  <c r="K82" i="23"/>
  <c r="K83" i="23" s="1"/>
  <c r="K61" i="23"/>
  <c r="K63" i="23" s="1"/>
  <c r="K65" i="23" s="1"/>
  <c r="L28" i="23" l="1"/>
  <c r="L75" i="23" s="1"/>
  <c r="L77" i="23" s="1"/>
  <c r="L81" i="23" s="1"/>
  <c r="L29" i="23" l="1"/>
  <c r="L50" i="23" l="1"/>
  <c r="L55" i="23" s="1"/>
  <c r="L45" i="23"/>
  <c r="L41" i="23" l="1"/>
  <c r="L60" i="23" l="1"/>
  <c r="M26" i="23"/>
  <c r="L67" i="23"/>
  <c r="L68" i="23" s="1"/>
  <c r="L42" i="23"/>
  <c r="L46" i="23" s="1"/>
  <c r="M74" i="23" l="1"/>
  <c r="M27" i="23"/>
  <c r="L82" i="23"/>
  <c r="L83" i="23" s="1"/>
  <c r="L61" i="23"/>
  <c r="L63" i="23" s="1"/>
  <c r="L65" i="23" s="1"/>
  <c r="M28" i="23" l="1"/>
  <c r="M75" i="23" s="1"/>
  <c r="M77" i="23"/>
  <c r="M81" i="23" s="1"/>
  <c r="M29" i="23" l="1"/>
  <c r="M50" i="23" l="1"/>
  <c r="M55" i="23" s="1"/>
  <c r="M45" i="23"/>
  <c r="M41" i="23" l="1"/>
  <c r="M67" i="23" l="1"/>
  <c r="M68" i="23" s="1"/>
  <c r="M60" i="23"/>
  <c r="N26" i="23"/>
  <c r="M42" i="23"/>
  <c r="M46" i="23" s="1"/>
  <c r="M82" i="23" l="1"/>
  <c r="M83" i="23" s="1"/>
  <c r="M61" i="23"/>
  <c r="M63" i="23" s="1"/>
  <c r="M65" i="23" s="1"/>
  <c r="N74" i="23"/>
  <c r="N27" i="23"/>
  <c r="O26" i="23"/>
  <c r="O27" i="23" s="1"/>
  <c r="O28" i="23" l="1"/>
  <c r="O29" i="23"/>
  <c r="N28" i="23"/>
  <c r="N75" i="23" s="1"/>
  <c r="N77" i="23"/>
  <c r="N81" i="23" s="1"/>
  <c r="N29" i="23" l="1"/>
  <c r="N50" i="23" l="1"/>
  <c r="N55" i="23" s="1"/>
  <c r="N45" i="23"/>
  <c r="N41" i="23" s="1"/>
  <c r="N60" i="23" l="1"/>
  <c r="N67" i="23"/>
  <c r="N68" i="23" s="1"/>
  <c r="N42" i="23"/>
  <c r="N46" i="23" s="1"/>
  <c r="N82" i="23" l="1"/>
  <c r="N83" i="23" s="1"/>
  <c r="N61" i="23"/>
  <c r="N63" i="23" s="1"/>
  <c r="N65" i="23" s="1"/>
</calcChain>
</file>

<file path=xl/sharedStrings.xml><?xml version="1.0" encoding="utf-8"?>
<sst xmlns="http://schemas.openxmlformats.org/spreadsheetml/2006/main" count="599" uniqueCount="442">
  <si>
    <t>Total liabilities and equity</t>
  </si>
  <si>
    <t>Cost of goods sold</t>
  </si>
  <si>
    <t>Net income</t>
  </si>
  <si>
    <t>Cash</t>
  </si>
  <si>
    <t xml:space="preserve">   Total current liabilities</t>
  </si>
  <si>
    <t>May</t>
  </si>
  <si>
    <t>June</t>
  </si>
  <si>
    <t>July</t>
  </si>
  <si>
    <t>August</t>
  </si>
  <si>
    <t>Sales</t>
  </si>
  <si>
    <t xml:space="preserve">   Total current assets</t>
  </si>
  <si>
    <t>September</t>
  </si>
  <si>
    <t>Retained Earnings</t>
  </si>
  <si>
    <t>Jan</t>
  </si>
  <si>
    <t>Feb</t>
  </si>
  <si>
    <t>Mar</t>
  </si>
  <si>
    <t>Jul</t>
  </si>
  <si>
    <t>Aug</t>
  </si>
  <si>
    <t>Sep</t>
  </si>
  <si>
    <t>Oct</t>
  </si>
  <si>
    <t>Nov</t>
  </si>
  <si>
    <t>Dec</t>
  </si>
  <si>
    <t>Less Cost of Goods Sold</t>
  </si>
  <si>
    <t>Master Budget. Cooking Hut Company</t>
  </si>
  <si>
    <t xml:space="preserve">Cooking Hut Company (CHC) is a retailer of a wide variety of kitchen and dining room items, such as coffemakers, silverware, and table linens. Although master budgets normally cover a full year, </t>
  </si>
  <si>
    <t>for the sake of brevity this illustration shows only the first 3 months of CHC's fiscal year, April-June.</t>
  </si>
  <si>
    <t>Steps in preparing the Master Budget</t>
  </si>
  <si>
    <t>Step 1. Preparing Supporting Schedules.</t>
  </si>
  <si>
    <t>1. Using the data given, prepare the following budgets and schedules for each fo the months of planning horizon:</t>
  </si>
  <si>
    <t xml:space="preserve">   Schedue a. Sales Budget</t>
  </si>
  <si>
    <t>Schedule a. Sales Budget (April - June)</t>
  </si>
  <si>
    <t>March(Actual)</t>
  </si>
  <si>
    <t>April</t>
  </si>
  <si>
    <t>April-Jun total</t>
  </si>
  <si>
    <t xml:space="preserve">   Schedue b. Cash collections from customers</t>
  </si>
  <si>
    <t>Total Sales</t>
  </si>
  <si>
    <t xml:space="preserve">   Schedue c. Purchases and COGS budget</t>
  </si>
  <si>
    <t xml:space="preserve">   Schedue d. Cash disbursements for purchases</t>
  </si>
  <si>
    <t xml:space="preserve">   Schedue e. Operating expense budget</t>
  </si>
  <si>
    <t xml:space="preserve">   Schedue f. Cash disbursements for operating expenses</t>
  </si>
  <si>
    <t>Schedule b. Cash collections from customers</t>
  </si>
  <si>
    <t>2. Operating Budget: Prepare budgeted income statement using basic data in step 1.</t>
  </si>
  <si>
    <t>Cash sales (60% of current month sales)</t>
  </si>
  <si>
    <t>3. Cash financial Budget: Prepare the following budgets and forecasted financial statements:</t>
  </si>
  <si>
    <t>Collection of last month's credit sales</t>
  </si>
  <si>
    <t xml:space="preserve">   a. Capital(Investing) budget</t>
  </si>
  <si>
    <t>(40% of previous month sales)</t>
  </si>
  <si>
    <t xml:space="preserve">   b. financing budget</t>
  </si>
  <si>
    <t xml:space="preserve"> = Total Collections</t>
  </si>
  <si>
    <t>4. Budgeted balance sheet as of June 30, 20x1</t>
  </si>
  <si>
    <t>Basic data 1 (Schedule a &amp; b). Sales Forcasting</t>
  </si>
  <si>
    <t>Schedule c. Purchases and COGS budget</t>
  </si>
  <si>
    <t xml:space="preserve">Preparation of the master budget for the first 3 months of the new fiscal year requires a sales budget for </t>
  </si>
  <si>
    <t>Budgeted COGS</t>
  </si>
  <si>
    <t xml:space="preserve">1 month beyond the 3 months because CHC bases its budgeted inventory purchases on the following month's </t>
  </si>
  <si>
    <t>Plus Desired Ending Inventory</t>
  </si>
  <si>
    <t>sales. The sales budget for the next 4 months is as follows:</t>
  </si>
  <si>
    <t xml:space="preserve"> = Total Merchandise needed</t>
  </si>
  <si>
    <t>Less Beginning Inventory</t>
  </si>
  <si>
    <t>Total monthly Sales</t>
  </si>
  <si>
    <t xml:space="preserve"> = Purchases</t>
  </si>
  <si>
    <t xml:space="preserve">The master budget also requires information about actual sales in the previous month because CHC collects cash </t>
  </si>
  <si>
    <t xml:space="preserve">for the credit sales in the month following the sale. On average, 60% of sales are cash sales and the remaining </t>
  </si>
  <si>
    <t>Schedule d. Cash disbursements for purchases</t>
  </si>
  <si>
    <t xml:space="preserve">40% are credit sales. Sales in March were $40,000.  Uncollectible accounts are negligible and thus ignored. </t>
  </si>
  <si>
    <t>50% of last month's purchases</t>
  </si>
  <si>
    <t>Plus 50% of this months purchases</t>
  </si>
  <si>
    <t>Basic data 2 (Schedule c &amp; d). Planned Inventory Levels</t>
  </si>
  <si>
    <t xml:space="preserve"> = Total Disbursements for purchases</t>
  </si>
  <si>
    <t xml:space="preserve">At the end of each month CHC wants to have on hand a base inventory of $20,000 plus additional inventory equal </t>
  </si>
  <si>
    <t>to 80% of the expected cost of goods sold for the following month because deliveries from suppliers and customer</t>
  </si>
  <si>
    <t xml:space="preserve">demands are uncertain. The cost of goods sold average 70% of sales. Therefore, the inventory on March 31 </t>
  </si>
  <si>
    <t>Schedule e. Operating expense budget</t>
  </si>
  <si>
    <t>March(actual)</t>
  </si>
  <si>
    <t xml:space="preserve">is CHC pays for 50% of each month's purchases during the month of purchase and 50% during the next month. </t>
  </si>
  <si>
    <t>Wages (Fixed)</t>
  </si>
  <si>
    <t>Therefore, the accounts payable balance on March 31 is 50% of March purchases, or 50% x $33,600 = $16,800</t>
  </si>
  <si>
    <t>Commissions (15% of current month's sales)</t>
  </si>
  <si>
    <t xml:space="preserve"> = Total wages and commissions</t>
  </si>
  <si>
    <t>Basic data 3 (Schedule e &amp; f). Wages and Commissions</t>
  </si>
  <si>
    <t>Miscelleneous exp. (5% of current sales)</t>
  </si>
  <si>
    <t>CHC pays wages and commissions twice each month, with payments lagged half a month after they are earned.</t>
  </si>
  <si>
    <t>Rent (fixed)</t>
  </si>
  <si>
    <t>Each payment consists of two components:</t>
  </si>
  <si>
    <t>Insurance (fixed)</t>
  </si>
  <si>
    <t>Depreciation (fixed)</t>
  </si>
  <si>
    <t xml:space="preserve"> (i) one-half of monthly fixed wages of $2,500</t>
  </si>
  <si>
    <t xml:space="preserve"> = Total Operating expenses</t>
  </si>
  <si>
    <t xml:space="preserve"> (ii) commissions equal to 15% of sales, which we assume are uniform throughout each month.</t>
  </si>
  <si>
    <t>Basic data 4 (Schedule e &amp; f). Operating Expenditures</t>
  </si>
  <si>
    <t>Schedule f. Cash disbursements for operating expenses</t>
  </si>
  <si>
    <t>Wages and commissions:</t>
  </si>
  <si>
    <t>Monthly Operating Expenses</t>
  </si>
  <si>
    <t>($)</t>
  </si>
  <si>
    <t xml:space="preserve">   50% of last month's expenses</t>
  </si>
  <si>
    <t>Miscellaneous expenses</t>
  </si>
  <si>
    <t>paid as incurred</t>
  </si>
  <si>
    <t xml:space="preserve">5% of sales </t>
  </si>
  <si>
    <t xml:space="preserve">   50% of this month's expenses</t>
  </si>
  <si>
    <t>Rent</t>
  </si>
  <si>
    <t xml:space="preserve"> = Total Wages and commissions</t>
  </si>
  <si>
    <t>Insurance</t>
  </si>
  <si>
    <t>expiration per month</t>
  </si>
  <si>
    <t>Miscelleneous expenses</t>
  </si>
  <si>
    <t>Depreciation, including new fixtures</t>
  </si>
  <si>
    <t>per month</t>
  </si>
  <si>
    <t xml:space="preserve"> = Total Disbursement</t>
  </si>
  <si>
    <t>Step 2. Preparing the Operating Budget</t>
  </si>
  <si>
    <t>The Cooking Hut Company.</t>
  </si>
  <si>
    <t>Budgeted Income statement for three months ending June 30, 20x1</t>
  </si>
  <si>
    <t>Source of Data</t>
  </si>
  <si>
    <t>April~June Total</t>
  </si>
  <si>
    <t>Schedule a</t>
  </si>
  <si>
    <t>Schedule c</t>
  </si>
  <si>
    <t xml:space="preserve"> = Gross Margin</t>
  </si>
  <si>
    <t>Less Operating Expenses:</t>
  </si>
  <si>
    <t xml:space="preserve">   Wages and commissions</t>
  </si>
  <si>
    <t>Schedule e</t>
  </si>
  <si>
    <t xml:space="preserve">   Miscelleneous</t>
  </si>
  <si>
    <t xml:space="preserve">   Rent</t>
  </si>
  <si>
    <t xml:space="preserve">   Insurance</t>
  </si>
  <si>
    <t xml:space="preserve">   Depreciation</t>
  </si>
  <si>
    <t xml:space="preserve"> = Income from operations</t>
  </si>
  <si>
    <t>Less Interest expense</t>
  </si>
  <si>
    <t>Cash budget</t>
  </si>
  <si>
    <t xml:space="preserve"> = Net income before tax</t>
  </si>
  <si>
    <t>Less income tax (35%)</t>
  </si>
  <si>
    <t xml:space="preserve"> = Net Income</t>
  </si>
  <si>
    <t>Step 3. Preparing the Cash Budget with Financial Budget (Investing and Financing)</t>
  </si>
  <si>
    <t>Basic data 5. Capital Expenditures and Operating Expenditures</t>
  </si>
  <si>
    <t>Step 3A. Capital (investing) Budget</t>
  </si>
  <si>
    <t>CHC's only planned capital expenditure is the purchase of new fixtures for $3,000 cash in April.</t>
  </si>
  <si>
    <t>Basic data 6. Cash balances</t>
  </si>
  <si>
    <t>Step 3B. Cash Budget (operating, investing, financing)</t>
  </si>
  <si>
    <t xml:space="preserve">Because collections lag credit sales, CHC often struggles to come up with the cash to pay for purchases, </t>
  </si>
  <si>
    <t>Beginning cash balance</t>
  </si>
  <si>
    <t xml:space="preserve">wages, and other outlays. To meet cash needs, CHC uses short term loans from local banks, paying </t>
  </si>
  <si>
    <t>Less Minimum cash balance desired</t>
  </si>
  <si>
    <t xml:space="preserve">them back when excess cash is available. </t>
  </si>
  <si>
    <t xml:space="preserve"> = Avaiable cash balance (x)</t>
  </si>
  <si>
    <t xml:space="preserve">CHC maintains a minimum $10,000 cash balance at the end of each month for operating purposes and </t>
  </si>
  <si>
    <t xml:space="preserve">can borrow and repay loans only in multiples of $1,000. Assume that borrowing occurs at the beginning </t>
  </si>
  <si>
    <t>Cash receipts(+) and disbursements(-):</t>
  </si>
  <si>
    <t xml:space="preserve">and repayments occurs at the end of the month. </t>
  </si>
  <si>
    <t xml:space="preserve">      Collections from customers (Schedule b)</t>
  </si>
  <si>
    <t>Also assume that interest of 1% per month is paid in cash at the end of each month.</t>
  </si>
  <si>
    <t xml:space="preserve">      Payments for merchandise (Schedule d)</t>
  </si>
  <si>
    <t xml:space="preserve">      Payments for operating expense (Schedule f)</t>
  </si>
  <si>
    <t xml:space="preserve">      Payments for Tax every quarter end</t>
  </si>
  <si>
    <t xml:space="preserve">      Purchase of new fixtures (Step 3A)</t>
  </si>
  <si>
    <t xml:space="preserve"> = Net cash reciepts and disbursements (y) Operating &amp; Investing</t>
  </si>
  <si>
    <t>Excess(deficiency) of cash before financing (x+y)</t>
  </si>
  <si>
    <t xml:space="preserve">      Plus Borrowing at the beginning of the month</t>
  </si>
  <si>
    <t>can borrow and repay loans ony in multiples of $1,000</t>
  </si>
  <si>
    <t xml:space="preserve">      Less Repayments at the end of the month</t>
  </si>
  <si>
    <t>cannot repay (9,000), including (130) interest</t>
  </si>
  <si>
    <t xml:space="preserve">      Less Interest Payments (1% per month, end of month)</t>
  </si>
  <si>
    <t xml:space="preserve"> = Total cash increase(decreae) from financing (z)</t>
  </si>
  <si>
    <t>Ending cash balance (beginning + y + z)</t>
  </si>
  <si>
    <t>Step 4. Preparing the Budgeted Balance Sheet</t>
  </si>
  <si>
    <t>Basic data 6. Closing balance sheet for the previous quarter ending March 31, 20x1.</t>
  </si>
  <si>
    <t>The Cooking Hut Company, Budgeted Balance Sheet, June 30, 20x1</t>
  </si>
  <si>
    <t>(as of June, $)</t>
  </si>
  <si>
    <t>Assets</t>
  </si>
  <si>
    <t>Current Assets:</t>
  </si>
  <si>
    <t xml:space="preserve">   Cash</t>
  </si>
  <si>
    <t xml:space="preserve">   Accounts receivable, net (40% of March sales of 40,000)</t>
  </si>
  <si>
    <t xml:space="preserve">   Accounts Receivable, net (40% of June sales of $60,000, Schedule a)</t>
  </si>
  <si>
    <t xml:space="preserve">   Mechandise Inventory, $20,000 + 80% x (70% of April sales of $50,000)</t>
  </si>
  <si>
    <t xml:space="preserve">   Inventory (Ending June, Schedule c)</t>
  </si>
  <si>
    <t xml:space="preserve">   Unexpired insurance (for April - December 20x1, $200 per month)</t>
  </si>
  <si>
    <t xml:space="preserve">   Unexpired insurance ($200 x 6 months for July - December)</t>
  </si>
  <si>
    <t>Plant assets:</t>
  </si>
  <si>
    <t>Plant Assets:</t>
  </si>
  <si>
    <t xml:space="preserve">   Equipment, Fixtures, and others</t>
  </si>
  <si>
    <t xml:space="preserve">   Equipment, Fixtures, and others (March + Capital Budget New fixture 3,000)</t>
  </si>
  <si>
    <t xml:space="preserve">   Accumulated Depreciation</t>
  </si>
  <si>
    <t xml:space="preserve">   Accumulated Depreciation (March + Schedule e. 1,500)</t>
  </si>
  <si>
    <t>Total Assets</t>
  </si>
  <si>
    <t>Liabilities and Owner's Equity</t>
  </si>
  <si>
    <t>Current liabilities:</t>
  </si>
  <si>
    <t xml:space="preserve">   Accounts payable (50% of March purchases of $33,600)</t>
  </si>
  <si>
    <t xml:space="preserve">   Accounts payable (50% of June purchases. Schedule c)</t>
  </si>
  <si>
    <t xml:space="preserve">   Accrued wages and commissions payable ($1,250 + $3,000)</t>
  </si>
  <si>
    <t xml:space="preserve">   Short-term bank loan (14,000 - 1,000 - 8,000. Step 3B. Cash budget)</t>
  </si>
  <si>
    <t>Noncurrent liabitiies</t>
  </si>
  <si>
    <t xml:space="preserve">   Accrued wages and commission payable (50% of June wages and commissions. Schedule e.)</t>
  </si>
  <si>
    <t>Owners' Equity</t>
  </si>
  <si>
    <t>Non-Current liabilities:</t>
  </si>
  <si>
    <t>Total Liabilities and Owner's Equity</t>
  </si>
  <si>
    <t>Owner's equity (June's Equity + Net Income)</t>
  </si>
  <si>
    <t>Managing Cash Flow. Cash Budgeting and Budgeted Monthly Financial Statements</t>
  </si>
  <si>
    <t>PART I. SHORT-TERM CASH-PLANNING TOOLS: Cash Budgeting</t>
  </si>
  <si>
    <t>Pamela, Dharma, and Constance, upon completing their undergraduate degrees, decided to start their own venture. They were able to acquire exclusive North American distribution rights</t>
  </si>
  <si>
    <t xml:space="preserve">for a new type of interior wall paint product, New-Age Paint, which emits a light fragrance when interior temperature changes and conveys a subtle color alteration  as the mix of lighting changes </t>
  </si>
  <si>
    <t>from primarily solar to primarily incandescent (as a day matures). One of several different fragrances can be embedded in the paint; each fragrance has an expected useful life of five years</t>
  </si>
  <si>
    <t xml:space="preserve">with annual wipe-down of a “revitalizer". Pamela, Dharma, and Constance have formed the PDC Company to own the distribution rights. The founders believe they have a unique new product </t>
  </si>
  <si>
    <t xml:space="preserve">that can introduce a recurring revenue business model where none has previously existed. PDC inventories New-Age Paint that it plans to sell shortly after having received the paint. </t>
  </si>
  <si>
    <t>The following tables presents PDC’s initial balance sheet as of 3/31 and Income statement for the year month ended 3/31.</t>
  </si>
  <si>
    <t>PDC Company Initial Balance Sheet, as of 3/31</t>
  </si>
  <si>
    <t>PDC Company Income Statements for the month ended, 3/31</t>
  </si>
  <si>
    <t>ASSETS:</t>
  </si>
  <si>
    <t>Accounts Receivable</t>
  </si>
  <si>
    <t>Gross margin</t>
  </si>
  <si>
    <t>Paint Inventory</t>
  </si>
  <si>
    <t>Operating expenses:</t>
  </si>
  <si>
    <t>Prepaid insurance</t>
  </si>
  <si>
    <t>Wages and commissions</t>
  </si>
  <si>
    <t>Rent expense</t>
  </si>
  <si>
    <t>Gross property, plant, and equipment</t>
  </si>
  <si>
    <t>Accumulated depreciation</t>
  </si>
  <si>
    <t>Insurance expenses</t>
  </si>
  <si>
    <t xml:space="preserve">   Net property, plant, and equipment</t>
  </si>
  <si>
    <t>Depreciation</t>
  </si>
  <si>
    <t xml:space="preserve">   Total operating expenses</t>
  </si>
  <si>
    <t>LIABILITIES AND EQUITY:</t>
  </si>
  <si>
    <t>Income from operations</t>
  </si>
  <si>
    <t>Accounts payable</t>
  </si>
  <si>
    <t>Interest expenses</t>
  </si>
  <si>
    <t>Accrued wages</t>
  </si>
  <si>
    <t>Net Income</t>
  </si>
  <si>
    <t>Owners’ Equity</t>
  </si>
  <si>
    <t>Task 1: Budget PDC’s cash and borrowing position for the next months (through Dec 31). Implementation Plan:</t>
  </si>
  <si>
    <t>(a) Use the sales forecast to determine the monthly cash collections from the current month’s cash sales and collections of receivables on the previous month’s credit sales</t>
  </si>
  <si>
    <t>(b) use the inventory policy to determine the inventory expenses and schedule for their payments,</t>
  </si>
  <si>
    <t>(c) schedule the wages payments accord-ing to the semimonthly pay arrangements</t>
  </si>
  <si>
    <t>(d) put these items together with the other assumptions and determine cash needs before financing</t>
  </si>
  <si>
    <t>(e) complete the cash budget by determining the necessary borrowing and repayment provisions, including interest payments, ensuring that $23,000 is available in the checking account.</t>
  </si>
  <si>
    <t>It is currently March 31, 2020, and the sales force has provided the following projected sales:</t>
  </si>
  <si>
    <t>(a) Sales Schedule</t>
  </si>
  <si>
    <t>March, actual</t>
  </si>
  <si>
    <t>October</t>
  </si>
  <si>
    <t>November</t>
  </si>
  <si>
    <t>December</t>
  </si>
  <si>
    <t>January</t>
  </si>
  <si>
    <t>Schedule 1. Sales Forecast</t>
  </si>
  <si>
    <t>Credit sales, 40%</t>
  </si>
  <si>
    <t>Cash sales, 60%</t>
  </si>
  <si>
    <t>Schedule 2. Cash Collections</t>
  </si>
  <si>
    <t>Cash sales this month</t>
  </si>
  <si>
    <t>100% of last month's credit sales</t>
  </si>
  <si>
    <t>Total collections</t>
  </si>
  <si>
    <t>PDC’s inventory policy is to begin a month with sufficient inventory to cover 80% of cost of goods sold for the next month plus a $46,000 cushion. Previous inventory balances have conformed  policy,</t>
  </si>
  <si>
    <t>to the current and sales forecasts have been accurate. The cost of goods sold amounts to 70 percent of sales. (Beg. Inv + Purch. Inv - COGS = End. Inv)</t>
  </si>
  <si>
    <t>(b) Purchase Schedule</t>
  </si>
  <si>
    <t>Schedule 3. Purchases</t>
  </si>
  <si>
    <t xml:space="preserve"> + Cost of Goods Sold (70% of the current sales)</t>
  </si>
  <si>
    <t>Purchases (= End.Inv + COGS - Beg.Inv)</t>
  </si>
  <si>
    <t>Schedule 4. Purchase Disbursement</t>
  </si>
  <si>
    <t>50% of this month's purchases</t>
  </si>
  <si>
    <t>Disbursements for purchases</t>
  </si>
  <si>
    <t xml:space="preserve">Wages are paid twice a month with $5,750 per month fixed and 15% of sales (assumed to be uniform throughout a month) as a variable commission. Wages are paid a half month after they are earned. </t>
  </si>
  <si>
    <t>As an example, the expected and realized sales of $92,000 for March are responsible for the $9,775 [(0.5 x $5,750) + (0.5 x 0.15 x $92,000)]  currently in the accrued wages account.</t>
  </si>
  <si>
    <t>(c) Wages and Commissions Schedule</t>
  </si>
  <si>
    <t>Schedule 5. Wages and Commissions</t>
  </si>
  <si>
    <t>Wages fixed</t>
  </si>
  <si>
    <t>Commissions (15% of the current sales)</t>
  </si>
  <si>
    <t>Total Wages and Commissions</t>
  </si>
  <si>
    <t>Schedule 6. Disbursement: Wages and Commissions</t>
  </si>
  <si>
    <t>50% of last month's expenses</t>
  </si>
  <si>
    <t>50% of this month's expenses</t>
  </si>
  <si>
    <t>Total Disbursement: Wages and Commission</t>
  </si>
  <si>
    <t xml:space="preserve">PDC is buying a used delivery truck on April 1 for $6,900 cash. PDC expects to pay miscellaneous cash expenses equal to  5 percent of the current sales and rent of $4,600 per month, </t>
  </si>
  <si>
    <t>and it records insurance expense at $460 per month, although it writes a check to the insurance company for a year at a time. PDC plans to draw the prepaid insurance account balance down to zero</t>
  </si>
  <si>
    <t xml:space="preserve">before cutting the next check to the insurance company. Depreciation expense is $1,150 per month, including the truck, and PDC anticipates a zero tax rate. </t>
  </si>
  <si>
    <t xml:space="preserve">PDC’s only available credit line is from a founder who agreed (in return for a piece of the equity) to lend the company money at 1.5 percent interest per month for the next two years. </t>
  </si>
  <si>
    <t xml:space="preserve">The agreement with this founder stipulates a $23,000 minimum cash balance in the venture’s checking account. PDC borrows from, and repays, the founder only at the end of the month. </t>
  </si>
  <si>
    <t xml:space="preserve">Interest is therefore the previous month’s ending balance multiplied by 0.015. Our goal is to project PDC’s cash balance at the end of each of the next four months </t>
  </si>
  <si>
    <t>Preparing monthly cash budgets for a full year allows the entrepreneur to address the following questions:</t>
  </si>
  <si>
    <t>1. Is there a cash need for the coming year?</t>
  </si>
  <si>
    <t>2. If so, when will that need arrive and what is the maximum amount required?</t>
  </si>
  <si>
    <t>(d) Cash Budget</t>
  </si>
  <si>
    <t>Cash receipts:</t>
  </si>
  <si>
    <t xml:space="preserve">   Collections from customers (a)</t>
  </si>
  <si>
    <t>Cash disbursements:</t>
  </si>
  <si>
    <t xml:space="preserve">   Inventory purchases (b)</t>
  </si>
  <si>
    <t xml:space="preserve">   Wages and commissions (c)</t>
  </si>
  <si>
    <t xml:space="preserve">   Miscellaneous expenses (5% of current sales)</t>
  </si>
  <si>
    <t>Cash from financing:</t>
  </si>
  <si>
    <t>Ending Cash balance (must be equal or over 23,000)</t>
  </si>
  <si>
    <t>Implementation Plan: Use the summaries of the revenue and expense items to create four months of income statements that include the interest expenses determined in Task 1.</t>
  </si>
  <si>
    <t>Budgeted Income Statements</t>
  </si>
  <si>
    <t>Sales (a)</t>
  </si>
  <si>
    <t>COGS (b)</t>
  </si>
  <si>
    <t>Gross Margin</t>
  </si>
  <si>
    <t xml:space="preserve">   Rent (d)</t>
  </si>
  <si>
    <t xml:space="preserve">   Miscellaneous expenses (d)</t>
  </si>
  <si>
    <t xml:space="preserve">   Insurance (discription)</t>
  </si>
  <si>
    <t xml:space="preserve">   Depreciation (discription)</t>
  </si>
  <si>
    <t xml:space="preserve">   Interest expense (d)</t>
  </si>
  <si>
    <t>(a) Adjust the initial balance sheet, excluding the cash account, for each of the next months of changes;</t>
  </si>
  <si>
    <t>(b) make sure the equity account reflects each month’s net income;</t>
  </si>
  <si>
    <t>(c) calculate the cash account balance, which is consistent with total assets = total liabilities + equity;</t>
  </si>
  <si>
    <t>Budgeted Balance Sheets</t>
  </si>
  <si>
    <t xml:space="preserve">   Cash (d)</t>
  </si>
  <si>
    <t xml:space="preserve">   Accounts receivable (a)</t>
  </si>
  <si>
    <t xml:space="preserve">   Merchandise inventory (b)</t>
  </si>
  <si>
    <t>Total Current Assets</t>
  </si>
  <si>
    <t xml:space="preserve">   Gross PPE (d)</t>
  </si>
  <si>
    <t xml:space="preserve">   Accumulated depreciation (I/S)</t>
  </si>
  <si>
    <t>Net PPE</t>
  </si>
  <si>
    <t xml:space="preserve">   Total Assets</t>
  </si>
  <si>
    <t>Current Liabilities:</t>
  </si>
  <si>
    <t xml:space="preserve">   Accrued wages and commissions payable (c)</t>
  </si>
  <si>
    <t xml:space="preserve">   Loan (d)</t>
  </si>
  <si>
    <t>Total Current Liabilities</t>
  </si>
  <si>
    <t>Owner's equity (I/S)</t>
  </si>
  <si>
    <t xml:space="preserve">   Total Liabilities and Equities</t>
  </si>
  <si>
    <t>(b) apply the cash flow from operations, investing activities, and financing activities to the data for PDC;</t>
  </si>
  <si>
    <t>Budgeted Statement of Cash Flows</t>
  </si>
  <si>
    <t>Cash Flows From Activities:</t>
  </si>
  <si>
    <t xml:space="preserve">  Net Income</t>
  </si>
  <si>
    <t xml:space="preserve">   +Depreciation Expense</t>
  </si>
  <si>
    <t xml:space="preserve">   -Increase/+Decrease in A/R</t>
  </si>
  <si>
    <t xml:space="preserve">   -Increase/+Decrease in Inventory</t>
  </si>
  <si>
    <t xml:space="preserve">   -Increase/+Decrease in Prepaid insurance</t>
  </si>
  <si>
    <t xml:space="preserve">   -Increase/+Decrease in A/P</t>
  </si>
  <si>
    <t xml:space="preserve">   -Increase/+Decrease in Accrued Liab.</t>
  </si>
  <si>
    <t xml:space="preserve">   = Net Cash Flow From Operating Activities</t>
  </si>
  <si>
    <t>Cash Flows From Investing:</t>
  </si>
  <si>
    <t xml:space="preserve">   Capital expenditure</t>
  </si>
  <si>
    <t xml:space="preserve">   = Net Cash Flow From Investing Activities</t>
  </si>
  <si>
    <t>Cash Flows from Financing:</t>
  </si>
  <si>
    <t xml:space="preserve">   Loan financed</t>
  </si>
  <si>
    <t xml:space="preserve">   = Net Cash Flows from Financing Activities</t>
  </si>
  <si>
    <t>Net Increase/Decrease in Cash and Cash Equiv.</t>
  </si>
  <si>
    <t xml:space="preserve"> + Beginning Cash Balance</t>
  </si>
  <si>
    <t>Ending Cash Balance</t>
  </si>
  <si>
    <t>Short-Term Financial Planning &amp; Budgeting</t>
  </si>
  <si>
    <t xml:space="preserve">Artero Corporation is a traditional toy products retailer that recently also started an Internet-based subsidiary that sells toys online.  A markup is added on goods the company purchases from manufacturers for resale. </t>
  </si>
  <si>
    <t>Swen Artero, the company president, is preparing for a meeting with Jennifer Brown, a loan officer with First Banco Corporation, to review year end financing requirements.</t>
  </si>
  <si>
    <t>After discussions with the company’s marketing manager, Rolf Eriksson, and finance manager, Lisa Erdinger, sales over the last three months of 2020 are forecasted to be:</t>
  </si>
  <si>
    <t xml:space="preserve">All sales are made on credit terms of net 30 days and are collected the following month and no bad debts are anticipated. The accounts receivable on the balance sheet at the end of the current month thus will be collected </t>
  </si>
  <si>
    <t>next month. Inventory on hand represents a minimum operating level (or “safety” stock), which the company intends to maintain. Cost of goods sold average 80 percent of sales.</t>
  </si>
  <si>
    <t>Inventory is purchased in the month of sale and paid for in cash. Operating cash expenses average 7% of sales. Depreciation is $10,000 per month. Assume taxes are paid monthly and the effective tax rate is 40% for planning purposes</t>
  </si>
  <si>
    <t>There are no capital expenditures and dividend planned during the period. The company’s desired end-of-month cash balance is $80,000, hoping to meet any cash shortages during the period by increasing the firm’s notes payable</t>
  </si>
  <si>
    <t xml:space="preserve">to the bank. The annual interest rate on outstanding notes payable and new loan  is 12%. The Interest is based on the amount of all borrowed debt (notes payable, cumulative new bank loans, and long-term debt) </t>
  </si>
  <si>
    <t>outstanding at the end of the prior month times .01. Prepare monthly pro forma financial statements and cash budgets for the year ending December 31, 2020.</t>
  </si>
  <si>
    <t xml:space="preserve">Artero Corporation Solution Corp. </t>
  </si>
  <si>
    <t>Actual</t>
  </si>
  <si>
    <t>Projected</t>
  </si>
  <si>
    <t xml:space="preserve"> ------------&gt;</t>
  </si>
  <si>
    <t>Year End total</t>
  </si>
  <si>
    <t>Apr</t>
  </si>
  <si>
    <t>Jun</t>
  </si>
  <si>
    <t>Dec. 2022</t>
  </si>
  <si>
    <t>Sale price / unit</t>
  </si>
  <si>
    <t>units sold</t>
  </si>
  <si>
    <t xml:space="preserve">Sales </t>
  </si>
  <si>
    <t>Cost of Goods Sold (80% of Sales)</t>
  </si>
  <si>
    <t>Gross Profit</t>
  </si>
  <si>
    <t>Operating Expenses (7% of Sales)</t>
  </si>
  <si>
    <t>Earnings Before Int. &amp; Taxes (EBIT)</t>
  </si>
  <si>
    <t xml:space="preserve">Interest (1%/mth--all borrowed debt) </t>
  </si>
  <si>
    <t>Earnings Before Taxes (EBT)</t>
  </si>
  <si>
    <t>Taxes (40% of EBT)</t>
  </si>
  <si>
    <t>2. Balance Sheets ($ in thousand)</t>
  </si>
  <si>
    <t xml:space="preserve">Required Cash </t>
  </si>
  <si>
    <t xml:space="preserve">Surplus Cash </t>
  </si>
  <si>
    <t>Accounts Receivable (100% credit sales)</t>
  </si>
  <si>
    <t>Inventories (minium level)</t>
  </si>
  <si>
    <t xml:space="preserve">  Current Assets</t>
  </si>
  <si>
    <t xml:space="preserve">Fixed Assets, Net </t>
  </si>
  <si>
    <t xml:space="preserve">  Total Assets</t>
  </si>
  <si>
    <t>Accounts Payable</t>
  </si>
  <si>
    <t xml:space="preserve">New Bank Loans </t>
  </si>
  <si>
    <t xml:space="preserve">  Current Liabilities</t>
  </si>
  <si>
    <t xml:space="preserve">Notes Payable </t>
  </si>
  <si>
    <t>Common Stock</t>
  </si>
  <si>
    <t xml:space="preserve">  Total Liab. &amp; Equity</t>
  </si>
  <si>
    <t>3. Statement of Cash Flows ($ thousand)</t>
  </si>
  <si>
    <t>Operating:</t>
  </si>
  <si>
    <t>Change in Accts. Receivable</t>
  </si>
  <si>
    <t>Change in Inventories</t>
  </si>
  <si>
    <t>Change in Accts. Payable</t>
  </si>
  <si>
    <t xml:space="preserve">   Cash Flow from Operations</t>
  </si>
  <si>
    <t>Investing:</t>
  </si>
  <si>
    <t>Change in Gross Fixed Assets</t>
  </si>
  <si>
    <t xml:space="preserve">   Cash Flow from Investing</t>
  </si>
  <si>
    <t>Financing:</t>
  </si>
  <si>
    <t>New Bank Loans</t>
  </si>
  <si>
    <t xml:space="preserve">   Cash Flow from Financing</t>
  </si>
  <si>
    <t>Net Monthly Cash Flow</t>
  </si>
  <si>
    <t>Beginning Cash</t>
  </si>
  <si>
    <t>Ending (Required) Cash</t>
  </si>
  <si>
    <t>Check: New Bank Loans (B/S)</t>
  </si>
  <si>
    <t>Check: Cumulative Bank Loans</t>
  </si>
  <si>
    <t>4. Cash Budget ($ in thousand)</t>
  </si>
  <si>
    <t>Collection of Receivables (B/S)</t>
  </si>
  <si>
    <t>Purchases (End. + COGS - Beg.) (I/S)</t>
  </si>
  <si>
    <t>Operating Expense Cash (I/S)</t>
  </si>
  <si>
    <t>Payment of Interest (I/S)</t>
  </si>
  <si>
    <t>Payment of Taxes (I/s)</t>
  </si>
  <si>
    <t>Investment in Fixed Assets</t>
  </si>
  <si>
    <t>Beginning Cash (B/S)</t>
  </si>
  <si>
    <t>Less: Target Cash Amount (B/S)</t>
  </si>
  <si>
    <t xml:space="preserve"> = Ending Cash Before Borrowing</t>
  </si>
  <si>
    <t>New Bank Loans (B/S)</t>
  </si>
  <si>
    <t>(Target Cash + Ending Cash before Borrowing + New Bank Loans)</t>
  </si>
  <si>
    <t>PART II. BUDGETED MONTHLY FINANCIAL STATEMENTS</t>
  </si>
  <si>
    <t xml:space="preserve">Task 2: Prepare PDC’s Budgeted income statement for the next months (through year end). </t>
  </si>
  <si>
    <t>Task 3: Prepare PDC’s Budgeted balance sheet. Implementation Plan:</t>
  </si>
  <si>
    <t>Task 4: Prepare PDC’s Budgeted statements of cash flows. Implementation Plan:</t>
  </si>
  <si>
    <t>AP</t>
  </si>
  <si>
    <t>Loan</t>
  </si>
  <si>
    <t>Int</t>
  </si>
  <si>
    <t>COGS</t>
  </si>
  <si>
    <t>Inv</t>
  </si>
  <si>
    <t>Prep</t>
  </si>
  <si>
    <t>NonC</t>
  </si>
  <si>
    <t>Budgeted Months</t>
  </si>
  <si>
    <t>(d) verify that the resulting cash account balance agrees with that from the cash budget. Table presents the budgeted balance sheets.</t>
  </si>
  <si>
    <t>Ending Inventory (46,000+80% of COGS of next month)</t>
  </si>
  <si>
    <t xml:space="preserve"> = Total Inventory needed</t>
  </si>
  <si>
    <t>3. Can a cash need (if any) to be repaid within the year?</t>
  </si>
  <si>
    <t>rent</t>
  </si>
  <si>
    <t>truck</t>
  </si>
  <si>
    <t>ins</t>
  </si>
  <si>
    <t>depr</t>
  </si>
  <si>
    <t>loan</t>
  </si>
  <si>
    <t>cash</t>
  </si>
  <si>
    <t>int</t>
  </si>
  <si>
    <t xml:space="preserve">   Rent (description)</t>
  </si>
  <si>
    <t xml:space="preserve">   Truck purchase (description)</t>
  </si>
  <si>
    <t xml:space="preserve"> + Minimum cash balance desired (description)</t>
  </si>
  <si>
    <t>and to create a set of projected financial statements congruent to the projections.</t>
  </si>
  <si>
    <t xml:space="preserve"> = Total cash needed </t>
  </si>
  <si>
    <t xml:space="preserve"> = Total cash available for needs before financing</t>
  </si>
  <si>
    <t xml:space="preserve"> = Total disbursements</t>
  </si>
  <si>
    <t>Excess (Deficiency) of total cash (= Cash available – needed)</t>
  </si>
  <si>
    <t>(=Minimum Cash Balance +/- Excess (Deficiency) of Total Cash + Total cash effect of financing)</t>
  </si>
  <si>
    <t xml:space="preserve">   Loan balance (remaining = prior balance - repayment)</t>
  </si>
  <si>
    <t xml:space="preserve">   Interest (1.5% per month of prior balance)</t>
  </si>
  <si>
    <t xml:space="preserve">   Repayments (Excess Cash up to loan balance - Interest)</t>
  </si>
  <si>
    <t xml:space="preserve">   New Borrowing in cash deficiency</t>
  </si>
  <si>
    <t xml:space="preserve">   Accounts payable (b. purchase - current month disburse)</t>
  </si>
  <si>
    <t>(c) verify that the resulting ending cash flow agrees with the cash budget and the cash account balance on the budgeted balance sheets.</t>
  </si>
  <si>
    <t>(a) Refer to our discussion of the construction of the statement of cash flows and the presentation of cash flow statements;</t>
  </si>
  <si>
    <r>
      <t>1. Income Statements</t>
    </r>
    <r>
      <rPr>
        <i/>
        <sz val="14"/>
        <color theme="0"/>
        <rFont val="Times New Roman"/>
        <family val="1"/>
      </rPr>
      <t xml:space="preserve"> </t>
    </r>
    <r>
      <rPr>
        <b/>
        <i/>
        <sz val="14"/>
        <color theme="0"/>
        <rFont val="Times New Roman"/>
        <family val="1"/>
      </rPr>
      <t>($ in thousand)</t>
    </r>
  </si>
  <si>
    <t xml:space="preserve"> = Total cash effects of financing (borrowing - repmt - Int)</t>
  </si>
  <si>
    <t>Operating Expenses:</t>
  </si>
  <si>
    <t xml:space="preserve">   Prepaid (unexpired) insurance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</si>
</sst>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41">
    <font>
      <sz val="12"/>
      <color theme="1"/>
      <name val="Calibri-Light"/>
      <family val="2"/>
    </font>
    <font>
      <sz val="12"/>
      <color theme="1"/>
      <name val="Calibri-Light"/>
      <family val="2"/>
    </font>
    <font>
      <sz val="10"/>
      <name val="Arial"/>
      <family val="2"/>
    </font>
    <font>
      <sz val="12"/>
      <color theme="1"/>
      <name val="Calibri"/>
      <family val="2"/>
      <scheme val="minor"/>
    </font>
    <font>
      <b/>
      <sz val="20"/>
      <color theme="0"/>
      <name val="Times New Roman"/>
      <family val="1"/>
    </font>
    <font>
      <sz val="12"/>
      <color theme="0"/>
      <name val="Times New Roman"/>
      <family val="1"/>
    </font>
    <font>
      <sz val="12"/>
      <color theme="1"/>
      <name val="Times New Roman"/>
      <family val="1"/>
    </font>
    <font>
      <b/>
      <sz val="18"/>
      <color theme="0"/>
      <name val="Times New Roman"/>
      <family val="1"/>
    </font>
    <font>
      <b/>
      <sz val="14"/>
      <color theme="1"/>
      <name val="Times New Roman"/>
      <family val="1"/>
    </font>
    <font>
      <b/>
      <sz val="12"/>
      <color theme="1"/>
      <name val="Times New Roman"/>
      <family val="1"/>
    </font>
    <font>
      <b/>
      <i/>
      <sz val="16"/>
      <color theme="5" tint="-0.499984740745262"/>
      <name val="Times New Roman"/>
      <family val="1"/>
    </font>
    <font>
      <b/>
      <i/>
      <sz val="12"/>
      <color theme="1"/>
      <name val="Times New Roman"/>
      <family val="1"/>
    </font>
    <font>
      <i/>
      <sz val="12"/>
      <color theme="1"/>
      <name val="Times New Roman"/>
      <family val="1"/>
    </font>
    <font>
      <b/>
      <i/>
      <sz val="14"/>
      <color theme="1"/>
      <name val="Times New Roman"/>
      <family val="1"/>
    </font>
    <font>
      <u val="singleAccounting"/>
      <sz val="12"/>
      <color theme="1"/>
      <name val="Times New Roman"/>
      <family val="1"/>
    </font>
    <font>
      <sz val="12"/>
      <color theme="7" tint="-0.499984740745262"/>
      <name val="Times New Roman"/>
      <family val="1"/>
    </font>
    <font>
      <b/>
      <i/>
      <sz val="12"/>
      <name val="Times New Roman"/>
      <family val="1"/>
    </font>
    <font>
      <sz val="12"/>
      <name val="Times New Roman"/>
      <family val="1"/>
    </font>
    <font>
      <u val="singleAccounting"/>
      <sz val="12"/>
      <name val="Times New Roman"/>
      <family val="1"/>
    </font>
    <font>
      <b/>
      <sz val="12"/>
      <name val="Times New Roman"/>
      <family val="1"/>
    </font>
    <font>
      <b/>
      <u val="singleAccounting"/>
      <sz val="12"/>
      <name val="Times New Roman"/>
      <family val="1"/>
    </font>
    <font>
      <b/>
      <u val="singleAccounting"/>
      <sz val="12"/>
      <color theme="1"/>
      <name val="Times New Roman"/>
      <family val="1"/>
    </font>
    <font>
      <b/>
      <sz val="12"/>
      <color rgb="FFC00000"/>
      <name val="Times New Roman"/>
      <family val="1"/>
    </font>
    <font>
      <sz val="14"/>
      <color theme="1"/>
      <name val="Times New Roman"/>
      <family val="1"/>
    </font>
    <font>
      <i/>
      <sz val="12"/>
      <name val="Times New Roman"/>
      <family val="1"/>
    </font>
    <font>
      <b/>
      <sz val="16"/>
      <name val="Times New Roman"/>
      <family val="1"/>
    </font>
    <font>
      <b/>
      <sz val="14"/>
      <color theme="0"/>
      <name val="Times New Roman"/>
      <family val="1"/>
    </font>
    <font>
      <b/>
      <sz val="12"/>
      <color theme="0"/>
      <name val="Times New Roman"/>
      <family val="1"/>
    </font>
    <font>
      <b/>
      <i/>
      <sz val="14"/>
      <color theme="0"/>
      <name val="Times New Roman"/>
      <family val="1"/>
    </font>
    <font>
      <i/>
      <sz val="14"/>
      <color theme="0"/>
      <name val="Times New Roman"/>
      <family val="1"/>
    </font>
    <font>
      <i/>
      <u val="singleAccounting"/>
      <sz val="12"/>
      <name val="Times New Roman"/>
      <family val="1"/>
    </font>
    <font>
      <u/>
      <sz val="12"/>
      <name val="Times New Roman"/>
      <family val="1"/>
    </font>
    <font>
      <b/>
      <i/>
      <u val="singleAccounting"/>
      <sz val="12"/>
      <color rgb="FFC00000"/>
      <name val="Times New Roman"/>
      <family val="1"/>
    </font>
    <font>
      <b/>
      <i/>
      <u/>
      <sz val="12"/>
      <name val="Times New Roman"/>
      <family val="1"/>
    </font>
    <font>
      <i/>
      <u/>
      <sz val="12"/>
      <name val="Times New Roman"/>
      <family val="1"/>
    </font>
    <font>
      <b/>
      <u val="singleAccounting"/>
      <sz val="12"/>
      <color rgb="FFC00000"/>
      <name val="Times New Roman"/>
      <family val="1"/>
    </font>
    <font>
      <b/>
      <sz val="14"/>
      <name val="Times New Roman"/>
      <family val="1"/>
    </font>
    <font>
      <b/>
      <sz val="16"/>
      <color theme="9" tint="-0.499984740745262"/>
      <name val="Times New Roman"/>
      <family val="1"/>
    </font>
    <font>
      <b/>
      <sz val="18"/>
      <color theme="9" tint="-0.499984740745262"/>
      <name val="Times New Roman"/>
      <family val="1"/>
    </font>
    <font>
      <b/>
      <sz val="16"/>
      <color theme="1"/>
      <name val="Times New Roman"/>
      <family val="1"/>
    </font>
    <font>
      <i/>
      <u val="singleAccounting"/>
      <sz val="12"/>
      <color theme="1"/>
      <name val="Times New Roman"/>
      <family val="1"/>
    </font>
  </fonts>
  <fills count="8">
    <fill>
      <patternFill patternType="none"/>
    </fill>
    <fill>
      <patternFill patternType="gray125"/>
    </fill>
    <fill>
      <patternFill patternType="solid">
        <fgColor theme="7" tint="-0.49998474074526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0" fontId="2" fillId="0" borderId="0"/>
    <xf numFmtId="43" fontId="3" fillId="0" borderId="0" applyFont="0" applyFill="0" applyBorder="0" applyAlignment="0" applyProtection="0"/>
    <xf numFmtId="9" fontId="3" fillId="0" borderId="0" applyFont="0" applyFill="0" applyBorder="0" applyAlignment="0" applyProtection="0"/>
  </cellStyleXfs>
  <cellXfs count="145">
    <xf numFmtId="0" fontId="0" fillId="0" borderId="0" xfId="0"/>
    <xf numFmtId="164" fontId="4" fillId="2" borderId="0" xfId="3" applyNumberFormat="1" applyFont="1" applyFill="1" applyBorder="1" applyAlignment="1">
      <alignment vertical="center"/>
    </xf>
    <xf numFmtId="164" fontId="5" fillId="2" borderId="0" xfId="3" applyNumberFormat="1" applyFont="1" applyFill="1" applyBorder="1" applyAlignment="1">
      <alignment vertical="center"/>
    </xf>
    <xf numFmtId="164" fontId="6" fillId="2" borderId="0" xfId="3" applyNumberFormat="1" applyFont="1" applyFill="1" applyBorder="1" applyAlignment="1">
      <alignment vertical="center"/>
    </xf>
    <xf numFmtId="164" fontId="6" fillId="0" borderId="0" xfId="3" applyNumberFormat="1" applyFont="1" applyBorder="1" applyAlignment="1">
      <alignment vertical="center"/>
    </xf>
    <xf numFmtId="164" fontId="7" fillId="0" borderId="0" xfId="3" applyNumberFormat="1" applyFont="1" applyFill="1" applyBorder="1" applyAlignment="1">
      <alignment vertical="center"/>
    </xf>
    <xf numFmtId="164" fontId="5" fillId="0" borderId="0" xfId="3" applyNumberFormat="1" applyFont="1" applyFill="1" applyBorder="1" applyAlignment="1">
      <alignment vertical="center"/>
    </xf>
    <xf numFmtId="164" fontId="6" fillId="0" borderId="0" xfId="3" applyNumberFormat="1" applyFont="1" applyAlignment="1">
      <alignment vertical="center"/>
    </xf>
    <xf numFmtId="164" fontId="8" fillId="0" borderId="0" xfId="3" applyNumberFormat="1" applyFont="1" applyFill="1" applyBorder="1" applyAlignment="1">
      <alignment vertical="center"/>
    </xf>
    <xf numFmtId="164" fontId="9" fillId="0" borderId="0" xfId="3" applyNumberFormat="1" applyFont="1" applyFill="1" applyBorder="1" applyAlignment="1">
      <alignment vertical="center"/>
    </xf>
    <xf numFmtId="164" fontId="10" fillId="0" borderId="1" xfId="3" applyNumberFormat="1" applyFont="1" applyBorder="1" applyAlignment="1">
      <alignment vertical="center"/>
    </xf>
    <xf numFmtId="164" fontId="5" fillId="0" borderId="1" xfId="3" applyNumberFormat="1" applyFont="1" applyFill="1" applyBorder="1" applyAlignment="1">
      <alignment vertical="center"/>
    </xf>
    <xf numFmtId="164" fontId="6" fillId="0" borderId="0" xfId="3" applyNumberFormat="1" applyFont="1" applyFill="1" applyAlignment="1">
      <alignment vertical="center"/>
    </xf>
    <xf numFmtId="164" fontId="6" fillId="0" borderId="1" xfId="3" applyNumberFormat="1" applyFont="1" applyBorder="1" applyAlignment="1">
      <alignment vertical="center"/>
    </xf>
    <xf numFmtId="164" fontId="11" fillId="0" borderId="1" xfId="3" applyNumberFormat="1" applyFont="1" applyBorder="1" applyAlignment="1">
      <alignment horizontal="right" vertical="center"/>
    </xf>
    <xf numFmtId="164" fontId="6" fillId="3" borderId="0" xfId="3" applyNumberFormat="1" applyFont="1" applyFill="1" applyAlignment="1">
      <alignment vertical="center"/>
    </xf>
    <xf numFmtId="164" fontId="8" fillId="0" borderId="0" xfId="3" applyNumberFormat="1" applyFont="1" applyAlignment="1">
      <alignment vertical="center"/>
    </xf>
    <xf numFmtId="164" fontId="11" fillId="0" borderId="0" xfId="3" applyNumberFormat="1" applyFont="1" applyAlignment="1">
      <alignment horizontal="right" vertical="center"/>
    </xf>
    <xf numFmtId="164" fontId="9" fillId="0" borderId="1" xfId="3" applyNumberFormat="1" applyFont="1" applyBorder="1" applyAlignment="1">
      <alignment horizontal="left" vertical="center"/>
    </xf>
    <xf numFmtId="164" fontId="9" fillId="0" borderId="1" xfId="3" applyNumberFormat="1" applyFont="1" applyBorder="1" applyAlignment="1">
      <alignment horizontal="right" vertical="center"/>
    </xf>
    <xf numFmtId="164" fontId="9" fillId="0" borderId="2" xfId="3" applyNumberFormat="1" applyFont="1" applyBorder="1" applyAlignment="1">
      <alignment horizontal="right" vertical="center"/>
    </xf>
    <xf numFmtId="164" fontId="6" fillId="3" borderId="0" xfId="3" applyNumberFormat="1" applyFont="1" applyFill="1" applyBorder="1" applyAlignment="1">
      <alignment vertical="center"/>
    </xf>
    <xf numFmtId="164" fontId="6" fillId="3" borderId="3" xfId="3" applyNumberFormat="1" applyFont="1" applyFill="1" applyBorder="1" applyAlignment="1">
      <alignment vertical="center"/>
    </xf>
    <xf numFmtId="164" fontId="9" fillId="0" borderId="0" xfId="3" applyNumberFormat="1" applyFont="1" applyAlignment="1">
      <alignment horizontal="right" vertical="center"/>
    </xf>
    <xf numFmtId="164" fontId="6" fillId="0" borderId="0" xfId="3" applyNumberFormat="1" applyFont="1" applyAlignment="1">
      <alignment horizontal="right" vertical="center"/>
    </xf>
    <xf numFmtId="164" fontId="9" fillId="3" borderId="0" xfId="3" applyNumberFormat="1" applyFont="1" applyFill="1" applyAlignment="1">
      <alignment vertical="center"/>
    </xf>
    <xf numFmtId="164" fontId="9" fillId="0" borderId="0" xfId="3" applyNumberFormat="1" applyFont="1" applyAlignment="1">
      <alignment vertical="center"/>
    </xf>
    <xf numFmtId="164" fontId="12" fillId="0" borderId="0" xfId="3" applyNumberFormat="1" applyFont="1" applyAlignment="1">
      <alignment horizontal="right" vertical="center"/>
    </xf>
    <xf numFmtId="164" fontId="6" fillId="0" borderId="0" xfId="3" applyNumberFormat="1" applyFont="1" applyBorder="1" applyAlignment="1">
      <alignment horizontal="right" vertical="center"/>
    </xf>
    <xf numFmtId="164" fontId="13" fillId="0" borderId="0" xfId="3" applyNumberFormat="1" applyFont="1" applyAlignment="1">
      <alignment vertical="center"/>
    </xf>
    <xf numFmtId="164" fontId="6" fillId="3" borderId="0" xfId="3" applyNumberFormat="1" applyFont="1" applyFill="1" applyAlignment="1">
      <alignment horizontal="right" vertical="center"/>
    </xf>
    <xf numFmtId="164" fontId="14" fillId="0" borderId="0" xfId="3" applyNumberFormat="1" applyFont="1" applyAlignment="1">
      <alignment vertical="center"/>
    </xf>
    <xf numFmtId="164" fontId="14" fillId="3" borderId="0" xfId="3" applyNumberFormat="1" applyFont="1" applyFill="1" applyBorder="1" applyAlignment="1">
      <alignment vertical="center"/>
    </xf>
    <xf numFmtId="164" fontId="14" fillId="3" borderId="0" xfId="3" applyNumberFormat="1" applyFont="1" applyFill="1" applyAlignment="1">
      <alignment vertical="center"/>
    </xf>
    <xf numFmtId="164" fontId="14" fillId="3" borderId="3" xfId="3" applyNumberFormat="1" applyFont="1" applyFill="1" applyBorder="1" applyAlignment="1">
      <alignment vertical="center"/>
    </xf>
    <xf numFmtId="164" fontId="14" fillId="0" borderId="0" xfId="3" applyNumberFormat="1" applyFont="1" applyBorder="1" applyAlignment="1">
      <alignment vertical="center"/>
    </xf>
    <xf numFmtId="164" fontId="6" fillId="0" borderId="1" xfId="3" applyNumberFormat="1" applyFont="1" applyBorder="1" applyAlignment="1">
      <alignment horizontal="right" vertical="center"/>
    </xf>
    <xf numFmtId="164" fontId="10" fillId="0" borderId="0" xfId="3" applyNumberFormat="1" applyFont="1" applyAlignment="1">
      <alignment vertical="center"/>
    </xf>
    <xf numFmtId="164" fontId="13" fillId="0" borderId="1" xfId="3" applyNumberFormat="1" applyFont="1" applyBorder="1" applyAlignment="1">
      <alignment horizontal="left" vertical="center"/>
    </xf>
    <xf numFmtId="164" fontId="12" fillId="0" borderId="0" xfId="3" applyNumberFormat="1" applyFont="1" applyAlignment="1">
      <alignment vertical="center"/>
    </xf>
    <xf numFmtId="164" fontId="14" fillId="0" borderId="0" xfId="3" applyNumberFormat="1" applyFont="1" applyAlignment="1">
      <alignment horizontal="right" vertical="center"/>
    </xf>
    <xf numFmtId="164" fontId="14" fillId="0" borderId="0" xfId="3" applyNumberFormat="1" applyFont="1" applyBorder="1" applyAlignment="1">
      <alignment horizontal="right" vertical="center"/>
    </xf>
    <xf numFmtId="164" fontId="12" fillId="0" borderId="0" xfId="3" applyNumberFormat="1" applyFont="1" applyBorder="1" applyAlignment="1">
      <alignment vertical="center"/>
    </xf>
    <xf numFmtId="164" fontId="15" fillId="0" borderId="0" xfId="3" applyNumberFormat="1" applyFont="1" applyAlignment="1">
      <alignment vertical="center"/>
    </xf>
    <xf numFmtId="164" fontId="11" fillId="0" borderId="0" xfId="3" applyNumberFormat="1" applyFont="1" applyAlignment="1">
      <alignment vertical="center"/>
    </xf>
    <xf numFmtId="164" fontId="9" fillId="3" borderId="0" xfId="3" applyNumberFormat="1" applyFont="1" applyFill="1" applyAlignment="1">
      <alignment horizontal="right" vertical="center"/>
    </xf>
    <xf numFmtId="164" fontId="11" fillId="0" borderId="0" xfId="3" applyNumberFormat="1" applyFont="1" applyFill="1" applyAlignment="1">
      <alignment vertical="center"/>
    </xf>
    <xf numFmtId="164" fontId="12" fillId="0" borderId="0" xfId="3" applyNumberFormat="1" applyFont="1" applyFill="1" applyAlignment="1">
      <alignment horizontal="right" vertical="center"/>
    </xf>
    <xf numFmtId="164" fontId="6" fillId="0" borderId="0" xfId="3" applyNumberFormat="1" applyFont="1" applyFill="1" applyAlignment="1">
      <alignment horizontal="right" vertical="center"/>
    </xf>
    <xf numFmtId="164" fontId="11" fillId="0" borderId="0" xfId="3" applyNumberFormat="1" applyFont="1" applyBorder="1" applyAlignment="1">
      <alignment vertical="center"/>
    </xf>
    <xf numFmtId="164" fontId="10" fillId="0" borderId="0" xfId="3" applyNumberFormat="1" applyFont="1" applyFill="1" applyAlignment="1">
      <alignment vertical="center"/>
    </xf>
    <xf numFmtId="164" fontId="13" fillId="0" borderId="1" xfId="3" applyNumberFormat="1" applyFont="1" applyBorder="1" applyAlignment="1">
      <alignment vertical="center"/>
    </xf>
    <xf numFmtId="164" fontId="9" fillId="0" borderId="1" xfId="3" applyNumberFormat="1" applyFont="1" applyBorder="1" applyAlignment="1">
      <alignment vertical="center"/>
    </xf>
    <xf numFmtId="164" fontId="9" fillId="0" borderId="0" xfId="3" applyNumberFormat="1" applyFont="1" applyBorder="1" applyAlignment="1">
      <alignment vertical="center"/>
    </xf>
    <xf numFmtId="164" fontId="9" fillId="0" borderId="0" xfId="3" applyNumberFormat="1" applyFont="1" applyBorder="1" applyAlignment="1">
      <alignment horizontal="right" vertical="center"/>
    </xf>
    <xf numFmtId="164" fontId="5" fillId="4" borderId="0" xfId="1" applyNumberFormat="1" applyFont="1" applyFill="1" applyAlignment="1">
      <alignment vertical="center"/>
    </xf>
    <xf numFmtId="43" fontId="5" fillId="4" borderId="0" xfId="1" applyFont="1" applyFill="1" applyAlignment="1">
      <alignment vertical="center"/>
    </xf>
    <xf numFmtId="164" fontId="6" fillId="0" borderId="0" xfId="1" applyNumberFormat="1" applyFont="1" applyAlignment="1">
      <alignment vertical="center"/>
    </xf>
    <xf numFmtId="43" fontId="7" fillId="0" borderId="0" xfId="1" applyFont="1" applyFill="1" applyAlignment="1">
      <alignment vertical="center"/>
    </xf>
    <xf numFmtId="164" fontId="5" fillId="0" borderId="0" xfId="1" applyNumberFormat="1" applyFont="1" applyFill="1" applyAlignment="1">
      <alignment vertical="center"/>
    </xf>
    <xf numFmtId="43" fontId="5" fillId="0" borderId="0" xfId="1" applyFont="1" applyFill="1" applyAlignment="1">
      <alignment vertical="center"/>
    </xf>
    <xf numFmtId="164" fontId="6" fillId="0" borderId="0" xfId="1" applyNumberFormat="1" applyFont="1" applyFill="1" applyAlignment="1">
      <alignment vertical="center"/>
    </xf>
    <xf numFmtId="43" fontId="6" fillId="0" borderId="0" xfId="1" applyFont="1" applyAlignment="1">
      <alignment vertical="center"/>
    </xf>
    <xf numFmtId="164" fontId="9" fillId="0" borderId="1" xfId="1" applyNumberFormat="1" applyFont="1" applyBorder="1" applyAlignment="1">
      <alignment vertical="center"/>
    </xf>
    <xf numFmtId="43" fontId="11" fillId="0" borderId="0" xfId="1" applyFont="1" applyAlignment="1">
      <alignment vertical="center"/>
    </xf>
    <xf numFmtId="164" fontId="14" fillId="0" borderId="0" xfId="1" applyNumberFormat="1" applyFont="1" applyAlignment="1">
      <alignment vertical="center"/>
    </xf>
    <xf numFmtId="164" fontId="12" fillId="0" borderId="0" xfId="1" applyNumberFormat="1" applyFont="1" applyAlignment="1">
      <alignment vertical="center"/>
    </xf>
    <xf numFmtId="43" fontId="14" fillId="0" borderId="0" xfId="1" applyFont="1" applyAlignment="1">
      <alignment vertical="center"/>
    </xf>
    <xf numFmtId="43" fontId="9" fillId="0" borderId="0" xfId="1" applyFont="1" applyAlignment="1">
      <alignment vertical="center"/>
    </xf>
    <xf numFmtId="164" fontId="9" fillId="0" borderId="0" xfId="1" applyNumberFormat="1" applyFont="1" applyAlignment="1">
      <alignment vertical="center"/>
    </xf>
    <xf numFmtId="43" fontId="12" fillId="0" borderId="0" xfId="1" applyFont="1" applyAlignment="1">
      <alignment vertical="center"/>
    </xf>
    <xf numFmtId="164" fontId="6" fillId="0" borderId="1" xfId="1" applyNumberFormat="1" applyFont="1" applyBorder="1" applyAlignment="1">
      <alignment vertical="center"/>
    </xf>
    <xf numFmtId="164" fontId="6" fillId="0" borderId="1" xfId="1" applyNumberFormat="1" applyFont="1" applyBorder="1" applyAlignment="1">
      <alignment horizontal="right" vertical="center"/>
    </xf>
    <xf numFmtId="43" fontId="6" fillId="0" borderId="1" xfId="1" applyFont="1" applyBorder="1" applyAlignment="1">
      <alignment vertical="center"/>
    </xf>
    <xf numFmtId="164" fontId="6" fillId="5" borderId="0" xfId="1" applyNumberFormat="1" applyFont="1" applyFill="1" applyAlignment="1">
      <alignment vertical="center"/>
    </xf>
    <xf numFmtId="164" fontId="14" fillId="5" borderId="0" xfId="1" applyNumberFormat="1" applyFont="1" applyFill="1" applyAlignment="1">
      <alignment vertical="center"/>
    </xf>
    <xf numFmtId="164" fontId="9" fillId="5" borderId="0" xfId="1" applyNumberFormat="1" applyFont="1" applyFill="1" applyAlignment="1">
      <alignment vertical="center"/>
    </xf>
    <xf numFmtId="43" fontId="16" fillId="0" borderId="0" xfId="1" applyFont="1" applyAlignment="1">
      <alignment vertical="center"/>
    </xf>
    <xf numFmtId="43" fontId="17" fillId="0" borderId="0" xfId="1" applyFont="1" applyAlignment="1">
      <alignment vertical="center"/>
    </xf>
    <xf numFmtId="43" fontId="18" fillId="0" borderId="0" xfId="1" applyFont="1" applyAlignment="1">
      <alignment vertical="center"/>
    </xf>
    <xf numFmtId="43" fontId="19" fillId="0" borderId="0" xfId="1" applyFont="1" applyAlignment="1">
      <alignment vertical="center"/>
    </xf>
    <xf numFmtId="43" fontId="20" fillId="0" borderId="0" xfId="1" applyFont="1" applyAlignment="1">
      <alignment vertical="center"/>
    </xf>
    <xf numFmtId="164" fontId="21" fillId="5" borderId="0" xfId="1" applyNumberFormat="1" applyFont="1" applyFill="1" applyAlignment="1">
      <alignment vertical="center"/>
    </xf>
    <xf numFmtId="164" fontId="11" fillId="0" borderId="0" xfId="1" applyNumberFormat="1" applyFont="1" applyAlignment="1">
      <alignment vertical="center"/>
    </xf>
    <xf numFmtId="164" fontId="11" fillId="5" borderId="0" xfId="1" applyNumberFormat="1" applyFont="1" applyFill="1" applyAlignment="1">
      <alignment vertical="center"/>
    </xf>
    <xf numFmtId="43" fontId="22" fillId="0" borderId="0" xfId="1" applyFont="1" applyAlignment="1">
      <alignment vertical="center"/>
    </xf>
    <xf numFmtId="164" fontId="23" fillId="0" borderId="0" xfId="1" applyNumberFormat="1" applyFont="1" applyAlignment="1">
      <alignment vertical="center"/>
    </xf>
    <xf numFmtId="43" fontId="23" fillId="0" borderId="0" xfId="1" applyFont="1" applyAlignment="1">
      <alignment vertical="center"/>
    </xf>
    <xf numFmtId="43" fontId="17" fillId="0" borderId="0" xfId="1" applyFont="1"/>
    <xf numFmtId="43" fontId="18" fillId="0" borderId="0" xfId="1" applyFont="1"/>
    <xf numFmtId="43" fontId="19" fillId="0" borderId="0" xfId="1" applyFont="1"/>
    <xf numFmtId="43" fontId="16" fillId="0" borderId="0" xfId="1" applyFont="1"/>
    <xf numFmtId="43" fontId="14" fillId="0" borderId="0" xfId="1" applyFont="1"/>
    <xf numFmtId="43" fontId="20" fillId="0" borderId="0" xfId="1" applyFont="1"/>
    <xf numFmtId="165" fontId="7" fillId="6" borderId="0" xfId="1" applyNumberFormat="1" applyFont="1" applyFill="1" applyAlignment="1">
      <alignment vertical="center"/>
    </xf>
    <xf numFmtId="165" fontId="5" fillId="6" borderId="0" xfId="1" applyNumberFormat="1" applyFont="1" applyFill="1" applyAlignment="1">
      <alignment vertical="center"/>
    </xf>
    <xf numFmtId="165" fontId="17" fillId="0" borderId="0" xfId="1" applyNumberFormat="1" applyFont="1" applyAlignment="1">
      <alignment vertical="center"/>
    </xf>
    <xf numFmtId="165" fontId="25" fillId="0" borderId="0" xfId="1" applyNumberFormat="1" applyFont="1" applyAlignment="1">
      <alignment vertical="center"/>
    </xf>
    <xf numFmtId="165" fontId="19" fillId="0" borderId="0" xfId="1" applyNumberFormat="1" applyFont="1" applyAlignment="1">
      <alignment horizontal="right" vertical="center"/>
    </xf>
    <xf numFmtId="165" fontId="17" fillId="0" borderId="0" xfId="1" applyNumberFormat="1" applyFont="1" applyAlignment="1">
      <alignment horizontal="right" vertical="center"/>
    </xf>
    <xf numFmtId="165" fontId="19" fillId="0" borderId="0" xfId="1" applyNumberFormat="1" applyFont="1" applyAlignment="1">
      <alignment horizontal="center" vertical="center"/>
    </xf>
    <xf numFmtId="165" fontId="19" fillId="0" borderId="0" xfId="1" applyNumberFormat="1" applyFont="1" applyAlignment="1">
      <alignment vertical="center"/>
    </xf>
    <xf numFmtId="165" fontId="26" fillId="6" borderId="0" xfId="1" applyNumberFormat="1" applyFont="1" applyFill="1" applyAlignment="1">
      <alignment horizontal="left" vertical="center"/>
    </xf>
    <xf numFmtId="165" fontId="27" fillId="6" borderId="0" xfId="1" applyNumberFormat="1" applyFont="1" applyFill="1" applyAlignment="1">
      <alignment horizontal="right" vertical="center"/>
    </xf>
    <xf numFmtId="165" fontId="28" fillId="6" borderId="1" xfId="1" applyNumberFormat="1" applyFont="1" applyFill="1" applyBorder="1" applyAlignment="1">
      <alignment horizontal="left" vertical="center"/>
    </xf>
    <xf numFmtId="165" fontId="27" fillId="6" borderId="1" xfId="1" applyNumberFormat="1" applyFont="1" applyFill="1" applyBorder="1" applyAlignment="1">
      <alignment horizontal="right" vertical="center"/>
    </xf>
    <xf numFmtId="165" fontId="24" fillId="0" borderId="0" xfId="1" applyNumberFormat="1" applyFont="1" applyBorder="1" applyAlignment="1">
      <alignment horizontal="left" vertical="center"/>
    </xf>
    <xf numFmtId="164" fontId="17" fillId="0" borderId="0" xfId="1" applyNumberFormat="1" applyFont="1" applyFill="1" applyBorder="1" applyAlignment="1">
      <alignment horizontal="right" vertical="center"/>
    </xf>
    <xf numFmtId="164" fontId="17" fillId="0" borderId="0" xfId="1" applyNumberFormat="1" applyFont="1" applyFill="1" applyAlignment="1">
      <alignment vertical="center"/>
    </xf>
    <xf numFmtId="165" fontId="30" fillId="0" borderId="0" xfId="1" applyNumberFormat="1" applyFont="1" applyBorder="1" applyAlignment="1">
      <alignment horizontal="left" vertical="center"/>
    </xf>
    <xf numFmtId="164" fontId="18" fillId="0" borderId="0" xfId="1" applyNumberFormat="1" applyFont="1" applyFill="1" applyBorder="1" applyAlignment="1">
      <alignment horizontal="right" vertical="center"/>
    </xf>
    <xf numFmtId="164" fontId="18" fillId="0" borderId="0" xfId="1" applyNumberFormat="1" applyFont="1" applyFill="1" applyAlignment="1">
      <alignment vertical="center"/>
    </xf>
    <xf numFmtId="165" fontId="17" fillId="0" borderId="0" xfId="1" applyNumberFormat="1" applyFont="1" applyAlignment="1">
      <alignment horizontal="left" vertical="center"/>
    </xf>
    <xf numFmtId="164" fontId="17" fillId="7" borderId="0" xfId="1" applyNumberFormat="1" applyFont="1" applyFill="1" applyAlignment="1">
      <alignment vertical="center"/>
    </xf>
    <xf numFmtId="165" fontId="31" fillId="0" borderId="0" xfId="1" applyNumberFormat="1" applyFont="1" applyAlignment="1">
      <alignment horizontal="left" vertical="center"/>
    </xf>
    <xf numFmtId="164" fontId="31" fillId="0" borderId="0" xfId="1" applyNumberFormat="1" applyFont="1" applyFill="1" applyAlignment="1">
      <alignment vertical="center"/>
    </xf>
    <xf numFmtId="164" fontId="31" fillId="7" borderId="0" xfId="1" applyNumberFormat="1" applyFont="1" applyFill="1" applyAlignment="1">
      <alignment vertical="center"/>
    </xf>
    <xf numFmtId="165" fontId="31" fillId="0" borderId="0" xfId="1" applyNumberFormat="1" applyFont="1" applyAlignment="1">
      <alignment vertical="center"/>
    </xf>
    <xf numFmtId="165" fontId="18" fillId="0" borderId="0" xfId="1" applyNumberFormat="1" applyFont="1" applyAlignment="1">
      <alignment horizontal="left" vertical="center"/>
    </xf>
    <xf numFmtId="165" fontId="9" fillId="0" borderId="0" xfId="1" applyNumberFormat="1" applyFont="1" applyAlignment="1">
      <alignment horizontal="left" vertical="center"/>
    </xf>
    <xf numFmtId="164" fontId="17" fillId="0" borderId="0" xfId="1" applyNumberFormat="1" applyFont="1" applyAlignment="1">
      <alignment vertical="center"/>
    </xf>
    <xf numFmtId="165" fontId="32" fillId="0" borderId="0" xfId="1" applyNumberFormat="1" applyFont="1" applyAlignment="1">
      <alignment horizontal="left" vertical="center"/>
    </xf>
    <xf numFmtId="164" fontId="33" fillId="0" borderId="0" xfId="1" applyNumberFormat="1" applyFont="1" applyFill="1" applyAlignment="1">
      <alignment vertical="center"/>
    </xf>
    <xf numFmtId="164" fontId="33" fillId="7" borderId="0" xfId="1" applyNumberFormat="1" applyFont="1" applyFill="1" applyAlignment="1">
      <alignment vertical="center"/>
    </xf>
    <xf numFmtId="165" fontId="34" fillId="0" borderId="0" xfId="1" applyNumberFormat="1" applyFont="1" applyAlignment="1">
      <alignment vertical="center"/>
    </xf>
    <xf numFmtId="165" fontId="24" fillId="0" borderId="0" xfId="1" applyNumberFormat="1" applyFont="1" applyAlignment="1">
      <alignment vertical="center"/>
    </xf>
    <xf numFmtId="165" fontId="16" fillId="0" borderId="0" xfId="1" applyNumberFormat="1" applyFont="1" applyAlignment="1">
      <alignment horizontal="left" vertical="center"/>
    </xf>
    <xf numFmtId="165" fontId="18" fillId="0" borderId="0" xfId="1" applyNumberFormat="1" applyFont="1" applyAlignment="1">
      <alignment vertical="center"/>
    </xf>
    <xf numFmtId="164" fontId="18" fillId="7" borderId="0" xfId="1" applyNumberFormat="1" applyFont="1" applyFill="1" applyAlignment="1">
      <alignment vertical="center"/>
    </xf>
    <xf numFmtId="165" fontId="35" fillId="0" borderId="0" xfId="1" applyNumberFormat="1" applyFont="1" applyAlignment="1">
      <alignment horizontal="left" vertical="center"/>
    </xf>
    <xf numFmtId="165" fontId="19" fillId="0" borderId="0" xfId="1" applyNumberFormat="1" applyFont="1" applyAlignment="1">
      <alignment horizontal="left" vertical="center"/>
    </xf>
    <xf numFmtId="164" fontId="31" fillId="0" borderId="0" xfId="1" applyNumberFormat="1" applyFont="1" applyAlignment="1">
      <alignment vertical="center"/>
    </xf>
    <xf numFmtId="164" fontId="19" fillId="7" borderId="0" xfId="1" applyNumberFormat="1" applyFont="1" applyFill="1" applyAlignment="1">
      <alignment vertical="center"/>
    </xf>
    <xf numFmtId="43" fontId="36" fillId="0" borderId="1" xfId="1" applyFont="1" applyBorder="1"/>
    <xf numFmtId="43" fontId="37" fillId="0" borderId="0" xfId="1" applyFont="1" applyAlignment="1">
      <alignment vertical="center"/>
    </xf>
    <xf numFmtId="43" fontId="8" fillId="0" borderId="1" xfId="1" applyFont="1" applyBorder="1" applyAlignment="1">
      <alignment vertical="center"/>
    </xf>
    <xf numFmtId="43" fontId="9" fillId="0" borderId="1" xfId="1" applyFont="1" applyBorder="1" applyAlignment="1">
      <alignment vertical="center"/>
    </xf>
    <xf numFmtId="43" fontId="4" fillId="4" borderId="0" xfId="1" applyFont="1" applyFill="1" applyAlignment="1">
      <alignment vertical="center"/>
    </xf>
    <xf numFmtId="43" fontId="38" fillId="0" borderId="0" xfId="1" applyFont="1" applyAlignment="1">
      <alignment vertical="center"/>
    </xf>
    <xf numFmtId="43" fontId="39" fillId="0" borderId="0" xfId="1" applyFont="1" applyAlignment="1">
      <alignment vertical="center"/>
    </xf>
    <xf numFmtId="43" fontId="25" fillId="0" borderId="0" xfId="1" applyFont="1"/>
    <xf numFmtId="43" fontId="17" fillId="0" borderId="0" xfId="1" applyFont="1" applyFill="1"/>
    <xf numFmtId="43" fontId="40" fillId="0" borderId="0" xfId="1" applyFont="1"/>
    <xf numFmtId="43" fontId="24" fillId="0" borderId="0" xfId="1" applyFont="1"/>
    <xf numFmtId="43" fontId="30" fillId="0" borderId="0" xfId="1" applyFont="1"/>
  </cellXfs>
  <cellStyles count="5">
    <cellStyle name="Comma" xfId="1" builtinId="3"/>
    <cellStyle name="Comma 2" xfId="3" xr:uid="{BF97CE14-5CB9-0F4C-BBC0-F01F946BAD02}"/>
    <cellStyle name="Normal" xfId="0" builtinId="0"/>
    <cellStyle name="Normal 2" xfId="2" xr:uid="{793FEE7D-BFE1-4A41-A22D-DE65215E9A2C}"/>
    <cellStyle name="Percent 2" xfId="4" xr:uid="{5732F54E-2A8F-B143-9B27-E4E1314699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9E84-0538-904E-BB95-1CC697E44791}">
  <sheetPr>
    <pageSetUpPr fitToPage="1"/>
  </sheetPr>
  <dimension ref="A2:M183"/>
  <sheetViews>
    <sheetView showGridLines="0" tabSelected="1" topLeftCell="A89" zoomScaleNormal="100" workbookViewId="0">
      <selection activeCell="C104" sqref="C104"/>
    </sheetView>
  </sheetViews>
  <sheetFormatPr baseColWidth="10" defaultRowHeight="16"/>
  <cols>
    <col min="1" max="1" width="5.1640625" style="57" customWidth="1"/>
    <col min="2" max="2" width="51.5" style="62" customWidth="1"/>
    <col min="3" max="3" width="18.6640625" style="57" customWidth="1"/>
    <col min="4" max="10" width="11.83203125" style="57" customWidth="1"/>
    <col min="11" max="11" width="11.83203125" style="62" customWidth="1"/>
    <col min="12" max="13" width="11.83203125" style="57" customWidth="1"/>
    <col min="14" max="16384" width="10.83203125" style="57"/>
  </cols>
  <sheetData>
    <row r="2" spans="2:12" ht="30" customHeight="1">
      <c r="B2" s="137" t="s">
        <v>191</v>
      </c>
      <c r="C2" s="55"/>
      <c r="D2" s="55"/>
      <c r="E2" s="55"/>
      <c r="F2" s="55"/>
      <c r="G2" s="55"/>
      <c r="H2" s="55"/>
      <c r="I2" s="55"/>
      <c r="J2" s="55"/>
      <c r="K2" s="56"/>
      <c r="L2" s="56"/>
    </row>
    <row r="3" spans="2:12" s="61" customFormat="1" ht="23">
      <c r="B3" s="58"/>
      <c r="C3" s="59"/>
      <c r="D3" s="59"/>
      <c r="E3" s="59"/>
      <c r="F3" s="59"/>
      <c r="G3" s="59"/>
      <c r="H3" s="59"/>
      <c r="I3" s="59"/>
      <c r="J3" s="59"/>
      <c r="K3" s="60"/>
    </row>
    <row r="4" spans="2:12" ht="23">
      <c r="B4" s="138" t="s">
        <v>192</v>
      </c>
    </row>
    <row r="6" spans="2:12">
      <c r="B6" s="62" t="s">
        <v>193</v>
      </c>
    </row>
    <row r="7" spans="2:12">
      <c r="B7" s="62" t="s">
        <v>194</v>
      </c>
    </row>
    <row r="8" spans="2:12">
      <c r="B8" s="62" t="s">
        <v>195</v>
      </c>
    </row>
    <row r="9" spans="2:12">
      <c r="B9" s="62" t="s">
        <v>196</v>
      </c>
    </row>
    <row r="10" spans="2:12">
      <c r="B10" s="62" t="s">
        <v>197</v>
      </c>
    </row>
    <row r="11" spans="2:12">
      <c r="B11" s="62" t="s">
        <v>198</v>
      </c>
    </row>
    <row r="13" spans="2:12">
      <c r="B13" s="136" t="s">
        <v>199</v>
      </c>
      <c r="C13" s="63"/>
      <c r="E13" s="63" t="s">
        <v>200</v>
      </c>
      <c r="F13" s="63"/>
      <c r="G13" s="63"/>
      <c r="H13" s="63"/>
    </row>
    <row r="14" spans="2:12">
      <c r="B14" s="64" t="s">
        <v>201</v>
      </c>
      <c r="E14" s="57" t="s">
        <v>9</v>
      </c>
      <c r="H14" s="57">
        <v>92000</v>
      </c>
    </row>
    <row r="15" spans="2:12" ht="19">
      <c r="B15" s="62" t="s">
        <v>3</v>
      </c>
      <c r="C15" s="57">
        <v>23000</v>
      </c>
      <c r="E15" s="65" t="s">
        <v>1</v>
      </c>
      <c r="F15" s="65"/>
      <c r="H15" s="65">
        <v>-64400</v>
      </c>
    </row>
    <row r="16" spans="2:12">
      <c r="B16" s="62" t="s">
        <v>202</v>
      </c>
      <c r="C16" s="57">
        <v>36800</v>
      </c>
      <c r="E16" s="57" t="s">
        <v>203</v>
      </c>
      <c r="H16" s="57">
        <f>H14+H15</f>
        <v>27600</v>
      </c>
    </row>
    <row r="17" spans="2:8">
      <c r="B17" s="62" t="s">
        <v>204</v>
      </c>
      <c r="C17" s="57">
        <v>110400</v>
      </c>
      <c r="E17" s="66" t="s">
        <v>205</v>
      </c>
    </row>
    <row r="18" spans="2:8" ht="19">
      <c r="B18" s="67" t="s">
        <v>206</v>
      </c>
      <c r="C18" s="65">
        <v>4140</v>
      </c>
      <c r="E18" s="57" t="s">
        <v>207</v>
      </c>
      <c r="H18" s="57">
        <v>-19550</v>
      </c>
    </row>
    <row r="19" spans="2:8">
      <c r="B19" s="62" t="s">
        <v>10</v>
      </c>
      <c r="C19" s="57">
        <v>174340</v>
      </c>
      <c r="E19" s="57" t="s">
        <v>208</v>
      </c>
      <c r="H19" s="57">
        <v>-4600</v>
      </c>
    </row>
    <row r="20" spans="2:8">
      <c r="B20" s="62" t="s">
        <v>209</v>
      </c>
      <c r="C20" s="57">
        <v>85100</v>
      </c>
      <c r="E20" s="57" t="s">
        <v>95</v>
      </c>
      <c r="H20" s="57">
        <v>-4600</v>
      </c>
    </row>
    <row r="21" spans="2:8" ht="19">
      <c r="B21" s="67" t="s">
        <v>210</v>
      </c>
      <c r="C21" s="65">
        <v>-29440</v>
      </c>
      <c r="E21" s="57" t="s">
        <v>211</v>
      </c>
      <c r="H21" s="57">
        <v>-460</v>
      </c>
    </row>
    <row r="22" spans="2:8" ht="19">
      <c r="B22" s="67" t="s">
        <v>212</v>
      </c>
      <c r="C22" s="65">
        <f>C20+C21</f>
        <v>55660</v>
      </c>
      <c r="E22" s="65" t="s">
        <v>213</v>
      </c>
      <c r="F22" s="65"/>
      <c r="H22" s="65">
        <v>-1150</v>
      </c>
    </row>
    <row r="23" spans="2:8">
      <c r="B23" s="68" t="s">
        <v>178</v>
      </c>
      <c r="C23" s="69">
        <f>C19+C22</f>
        <v>230000</v>
      </c>
      <c r="E23" s="57" t="s">
        <v>214</v>
      </c>
      <c r="H23" s="57">
        <f>SUM(H18:H22)</f>
        <v>-30360</v>
      </c>
    </row>
    <row r="24" spans="2:8">
      <c r="B24" s="64" t="s">
        <v>215</v>
      </c>
      <c r="E24" s="57" t="s">
        <v>216</v>
      </c>
      <c r="H24" s="57">
        <f>H16+H23</f>
        <v>-2760</v>
      </c>
    </row>
    <row r="25" spans="2:8" ht="19">
      <c r="B25" s="62" t="s">
        <v>217</v>
      </c>
      <c r="C25" s="57">
        <v>38640</v>
      </c>
      <c r="E25" s="65" t="s">
        <v>218</v>
      </c>
      <c r="F25" s="65"/>
      <c r="H25" s="65">
        <v>0</v>
      </c>
    </row>
    <row r="26" spans="2:8" ht="19">
      <c r="B26" s="67" t="s">
        <v>219</v>
      </c>
      <c r="C26" s="65">
        <v>9775</v>
      </c>
      <c r="E26" s="57" t="s">
        <v>220</v>
      </c>
      <c r="H26" s="57">
        <f>H24-H25</f>
        <v>-2760</v>
      </c>
    </row>
    <row r="27" spans="2:8">
      <c r="B27" s="62" t="s">
        <v>4</v>
      </c>
      <c r="C27" s="57">
        <v>48415</v>
      </c>
    </row>
    <row r="28" spans="2:8" ht="19">
      <c r="B28" s="67" t="s">
        <v>221</v>
      </c>
      <c r="C28" s="65">
        <v>181585</v>
      </c>
    </row>
    <row r="29" spans="2:8">
      <c r="B29" s="68" t="s">
        <v>0</v>
      </c>
      <c r="C29" s="69">
        <f>C27+C28</f>
        <v>230000</v>
      </c>
    </row>
    <row r="31" spans="2:8" ht="20">
      <c r="B31" s="139" t="s">
        <v>222</v>
      </c>
    </row>
    <row r="32" spans="2:8">
      <c r="B32" s="62" t="s">
        <v>223</v>
      </c>
    </row>
    <row r="33" spans="2:13">
      <c r="B33" s="62" t="s">
        <v>224</v>
      </c>
    </row>
    <row r="34" spans="2:13">
      <c r="B34" s="62" t="s">
        <v>225</v>
      </c>
    </row>
    <row r="35" spans="2:13">
      <c r="B35" s="62" t="s">
        <v>226</v>
      </c>
    </row>
    <row r="36" spans="2:13">
      <c r="B36" s="62" t="s">
        <v>227</v>
      </c>
    </row>
    <row r="37" spans="2:13">
      <c r="B37" s="57"/>
    </row>
    <row r="38" spans="2:13">
      <c r="B38" s="68" t="s">
        <v>228</v>
      </c>
      <c r="C38" s="69"/>
    </row>
    <row r="39" spans="2:13">
      <c r="D39" s="71" t="s">
        <v>410</v>
      </c>
      <c r="E39" s="71"/>
      <c r="F39" s="71"/>
      <c r="G39" s="71"/>
      <c r="H39" s="71"/>
      <c r="I39" s="72"/>
      <c r="J39" s="71"/>
      <c r="K39" s="73"/>
      <c r="L39" s="71"/>
      <c r="M39" s="71"/>
    </row>
    <row r="40" spans="2:13" ht="18">
      <c r="B40" s="135" t="s">
        <v>229</v>
      </c>
      <c r="C40" s="72" t="s">
        <v>230</v>
      </c>
      <c r="D40" s="72" t="s">
        <v>32</v>
      </c>
      <c r="E40" s="72" t="s">
        <v>5</v>
      </c>
      <c r="F40" s="72" t="s">
        <v>6</v>
      </c>
      <c r="G40" s="72" t="s">
        <v>7</v>
      </c>
      <c r="H40" s="72" t="s">
        <v>8</v>
      </c>
      <c r="I40" s="72" t="s">
        <v>11</v>
      </c>
      <c r="J40" s="72" t="s">
        <v>231</v>
      </c>
      <c r="K40" s="72" t="s">
        <v>232</v>
      </c>
      <c r="L40" s="72" t="s">
        <v>233</v>
      </c>
      <c r="M40" s="72" t="s">
        <v>234</v>
      </c>
    </row>
    <row r="41" spans="2:13">
      <c r="B41" s="64" t="s">
        <v>235</v>
      </c>
      <c r="C41" s="57">
        <v>92000</v>
      </c>
      <c r="D41" s="69">
        <v>115000</v>
      </c>
      <c r="E41" s="69">
        <v>184000</v>
      </c>
      <c r="F41" s="69">
        <v>138000</v>
      </c>
      <c r="G41" s="69">
        <v>115000</v>
      </c>
      <c r="H41" s="69">
        <v>92000</v>
      </c>
      <c r="I41" s="69">
        <v>80000</v>
      </c>
      <c r="J41" s="69">
        <v>100000</v>
      </c>
      <c r="K41" s="69">
        <v>130000</v>
      </c>
      <c r="L41" s="69">
        <v>160000</v>
      </c>
      <c r="M41" s="57">
        <v>100000</v>
      </c>
    </row>
    <row r="42" spans="2:13">
      <c r="B42" s="62" t="s">
        <v>236</v>
      </c>
      <c r="C42" s="57">
        <f>40%*C41</f>
        <v>36800</v>
      </c>
      <c r="D42" s="74">
        <f>40%*D41</f>
        <v>46000</v>
      </c>
      <c r="E42" s="74">
        <f t="shared" ref="E42:L42" si="0">40%*E41</f>
        <v>73600</v>
      </c>
      <c r="F42" s="74">
        <f t="shared" si="0"/>
        <v>55200</v>
      </c>
      <c r="G42" s="74">
        <f t="shared" si="0"/>
        <v>46000</v>
      </c>
      <c r="H42" s="74">
        <f t="shared" si="0"/>
        <v>36800</v>
      </c>
      <c r="I42" s="74">
        <f t="shared" si="0"/>
        <v>32000</v>
      </c>
      <c r="J42" s="74">
        <f t="shared" si="0"/>
        <v>40000</v>
      </c>
      <c r="K42" s="74">
        <f t="shared" si="0"/>
        <v>52000</v>
      </c>
      <c r="L42" s="74">
        <f t="shared" si="0"/>
        <v>64000</v>
      </c>
      <c r="M42" s="57" t="str">
        <f ca="1">_xlfn.FORMULATEXT(L42)</f>
        <v>=40%*L41</v>
      </c>
    </row>
    <row r="43" spans="2:13">
      <c r="B43" s="62" t="s">
        <v>237</v>
      </c>
      <c r="C43" s="57">
        <f>60%*C41</f>
        <v>55200</v>
      </c>
      <c r="D43" s="74">
        <f t="shared" ref="D43:L43" si="1">60%*D41</f>
        <v>69000</v>
      </c>
      <c r="E43" s="74">
        <f t="shared" si="1"/>
        <v>110400</v>
      </c>
      <c r="F43" s="74">
        <f t="shared" si="1"/>
        <v>82800</v>
      </c>
      <c r="G43" s="74">
        <f t="shared" si="1"/>
        <v>69000</v>
      </c>
      <c r="H43" s="74">
        <f t="shared" si="1"/>
        <v>55200</v>
      </c>
      <c r="I43" s="74">
        <f t="shared" si="1"/>
        <v>48000</v>
      </c>
      <c r="J43" s="74">
        <f t="shared" si="1"/>
        <v>60000</v>
      </c>
      <c r="K43" s="74">
        <f t="shared" si="1"/>
        <v>78000</v>
      </c>
      <c r="L43" s="74">
        <f t="shared" si="1"/>
        <v>96000</v>
      </c>
      <c r="M43" s="57" t="str">
        <f t="shared" ref="M43:M47" ca="1" si="2">_xlfn.FORMULATEXT(L43)</f>
        <v>=60%*L41</v>
      </c>
    </row>
    <row r="44" spans="2:13">
      <c r="B44" s="64" t="s">
        <v>238</v>
      </c>
      <c r="K44" s="57"/>
    </row>
    <row r="45" spans="2:13">
      <c r="B45" s="62" t="s">
        <v>239</v>
      </c>
      <c r="C45" s="57" t="str">
        <f ca="1">_xlfn.FORMULATEXT(D45)</f>
        <v>=D43</v>
      </c>
      <c r="D45" s="74">
        <f>D43</f>
        <v>69000</v>
      </c>
      <c r="E45" s="74">
        <f t="shared" ref="E45:L45" si="3">E43</f>
        <v>110400</v>
      </c>
      <c r="F45" s="74">
        <f t="shared" si="3"/>
        <v>82800</v>
      </c>
      <c r="G45" s="74">
        <f t="shared" si="3"/>
        <v>69000</v>
      </c>
      <c r="H45" s="74">
        <f t="shared" si="3"/>
        <v>55200</v>
      </c>
      <c r="I45" s="74">
        <f t="shared" si="3"/>
        <v>48000</v>
      </c>
      <c r="J45" s="74">
        <f t="shared" si="3"/>
        <v>60000</v>
      </c>
      <c r="K45" s="74">
        <f t="shared" si="3"/>
        <v>78000</v>
      </c>
      <c r="L45" s="74">
        <f t="shared" si="3"/>
        <v>96000</v>
      </c>
      <c r="M45" s="57" t="str">
        <f t="shared" ca="1" si="2"/>
        <v>=L43</v>
      </c>
    </row>
    <row r="46" spans="2:13" ht="19">
      <c r="B46" s="67" t="s">
        <v>240</v>
      </c>
      <c r="C46" s="57" t="str">
        <f t="shared" ref="C46:C47" ca="1" si="4">_xlfn.FORMULATEXT(D46)</f>
        <v>=C42</v>
      </c>
      <c r="D46" s="75">
        <f>C42</f>
        <v>36800</v>
      </c>
      <c r="E46" s="75">
        <f t="shared" ref="E46:J46" si="5">D42</f>
        <v>46000</v>
      </c>
      <c r="F46" s="75">
        <f t="shared" si="5"/>
        <v>73600</v>
      </c>
      <c r="G46" s="75">
        <f t="shared" si="5"/>
        <v>55200</v>
      </c>
      <c r="H46" s="75">
        <f t="shared" si="5"/>
        <v>46000</v>
      </c>
      <c r="I46" s="75">
        <f t="shared" si="5"/>
        <v>36800</v>
      </c>
      <c r="J46" s="75">
        <f t="shared" si="5"/>
        <v>32000</v>
      </c>
      <c r="K46" s="75">
        <f>J42</f>
        <v>40000</v>
      </c>
      <c r="L46" s="75">
        <f>K42</f>
        <v>52000</v>
      </c>
      <c r="M46" s="57" t="str">
        <f t="shared" ca="1" si="2"/>
        <v>=K42</v>
      </c>
    </row>
    <row r="47" spans="2:13">
      <c r="B47" s="68" t="s">
        <v>241</v>
      </c>
      <c r="C47" s="57" t="str">
        <f t="shared" ca="1" si="4"/>
        <v>=D45+D46</v>
      </c>
      <c r="D47" s="76">
        <f>D45+D46</f>
        <v>105800</v>
      </c>
      <c r="E47" s="76">
        <f t="shared" ref="E47:L47" si="6">E45+E46</f>
        <v>156400</v>
      </c>
      <c r="F47" s="76">
        <f t="shared" si="6"/>
        <v>156400</v>
      </c>
      <c r="G47" s="76">
        <f t="shared" si="6"/>
        <v>124200</v>
      </c>
      <c r="H47" s="76">
        <f t="shared" si="6"/>
        <v>101200</v>
      </c>
      <c r="I47" s="76">
        <f t="shared" si="6"/>
        <v>84800</v>
      </c>
      <c r="J47" s="76">
        <f t="shared" si="6"/>
        <v>92000</v>
      </c>
      <c r="K47" s="76">
        <f t="shared" si="6"/>
        <v>118000</v>
      </c>
      <c r="L47" s="76">
        <f t="shared" si="6"/>
        <v>148000</v>
      </c>
      <c r="M47" s="57" t="str">
        <f t="shared" ca="1" si="2"/>
        <v>=L45+L46</v>
      </c>
    </row>
    <row r="49" spans="2:13">
      <c r="B49" s="62" t="s">
        <v>242</v>
      </c>
      <c r="C49" s="69"/>
    </row>
    <row r="50" spans="2:13">
      <c r="B50" s="62" t="s">
        <v>243</v>
      </c>
      <c r="C50" s="69"/>
    </row>
    <row r="51" spans="2:13">
      <c r="B51" s="68"/>
      <c r="C51" s="69"/>
    </row>
    <row r="52" spans="2:13" ht="18">
      <c r="B52" s="135" t="s">
        <v>244</v>
      </c>
      <c r="C52" s="72" t="s">
        <v>230</v>
      </c>
      <c r="D52" s="72" t="s">
        <v>32</v>
      </c>
      <c r="E52" s="72" t="s">
        <v>5</v>
      </c>
      <c r="F52" s="72" t="s">
        <v>6</v>
      </c>
      <c r="G52" s="72" t="s">
        <v>7</v>
      </c>
      <c r="H52" s="72" t="s">
        <v>8</v>
      </c>
      <c r="I52" s="72" t="s">
        <v>11</v>
      </c>
      <c r="J52" s="72" t="s">
        <v>231</v>
      </c>
      <c r="K52" s="72" t="s">
        <v>232</v>
      </c>
      <c r="L52" s="72" t="s">
        <v>233</v>
      </c>
    </row>
    <row r="53" spans="2:13">
      <c r="B53" s="64" t="s">
        <v>245</v>
      </c>
      <c r="I53" s="57">
        <f>SUM(D53:F53)</f>
        <v>0</v>
      </c>
    </row>
    <row r="54" spans="2:13">
      <c r="B54" s="62" t="s">
        <v>246</v>
      </c>
      <c r="C54" s="57">
        <f t="shared" ref="C54:L54" si="7">C41*70%</f>
        <v>64399.999999999993</v>
      </c>
      <c r="D54" s="74">
        <f t="shared" si="7"/>
        <v>80500</v>
      </c>
      <c r="E54" s="74">
        <f t="shared" si="7"/>
        <v>128799.99999999999</v>
      </c>
      <c r="F54" s="74">
        <f t="shared" si="7"/>
        <v>96600</v>
      </c>
      <c r="G54" s="74">
        <f t="shared" si="7"/>
        <v>80500</v>
      </c>
      <c r="H54" s="74">
        <f t="shared" si="7"/>
        <v>64399.999999999993</v>
      </c>
      <c r="I54" s="74">
        <f t="shared" si="7"/>
        <v>56000</v>
      </c>
      <c r="J54" s="74">
        <f t="shared" si="7"/>
        <v>70000</v>
      </c>
      <c r="K54" s="74">
        <f t="shared" si="7"/>
        <v>91000</v>
      </c>
      <c r="L54" s="74">
        <f t="shared" si="7"/>
        <v>112000</v>
      </c>
      <c r="M54" s="57" t="str">
        <f ca="1">_xlfn.FORMULATEXT(L54)</f>
        <v>=L41*70%</v>
      </c>
    </row>
    <row r="55" spans="2:13" ht="19">
      <c r="B55" s="67" t="s">
        <v>412</v>
      </c>
      <c r="C55" s="65">
        <f>46000+0.8*0.7*D41</f>
        <v>110400</v>
      </c>
      <c r="D55" s="75">
        <f t="shared" ref="D55:K55" si="8">46000+80%*E54</f>
        <v>149040</v>
      </c>
      <c r="E55" s="75">
        <f t="shared" si="8"/>
        <v>123280</v>
      </c>
      <c r="F55" s="75">
        <f t="shared" si="8"/>
        <v>110400</v>
      </c>
      <c r="G55" s="75">
        <f t="shared" si="8"/>
        <v>97520</v>
      </c>
      <c r="H55" s="75">
        <f t="shared" si="8"/>
        <v>90800</v>
      </c>
      <c r="I55" s="75">
        <f t="shared" si="8"/>
        <v>102000</v>
      </c>
      <c r="J55" s="75">
        <f t="shared" si="8"/>
        <v>118800</v>
      </c>
      <c r="K55" s="75">
        <f t="shared" si="8"/>
        <v>135600</v>
      </c>
      <c r="L55" s="75">
        <f>46000+80%*70%*M41</f>
        <v>102000</v>
      </c>
      <c r="M55" s="57" t="str">
        <f t="shared" ref="M55:M62" ca="1" si="9">_xlfn.FORMULATEXT(L55)</f>
        <v>=46000+80%*70%*M41</v>
      </c>
    </row>
    <row r="56" spans="2:13">
      <c r="B56" s="62" t="s">
        <v>413</v>
      </c>
      <c r="C56" s="57">
        <f t="shared" ref="C56:L56" si="10">C55+C54</f>
        <v>174800</v>
      </c>
      <c r="D56" s="74">
        <f t="shared" si="10"/>
        <v>229540</v>
      </c>
      <c r="E56" s="74">
        <f t="shared" si="10"/>
        <v>252080</v>
      </c>
      <c r="F56" s="74">
        <f t="shared" si="10"/>
        <v>207000</v>
      </c>
      <c r="G56" s="74">
        <f t="shared" si="10"/>
        <v>178020</v>
      </c>
      <c r="H56" s="74">
        <f t="shared" si="10"/>
        <v>155200</v>
      </c>
      <c r="I56" s="74">
        <f t="shared" si="10"/>
        <v>158000</v>
      </c>
      <c r="J56" s="74">
        <f t="shared" si="10"/>
        <v>188800</v>
      </c>
      <c r="K56" s="74">
        <f t="shared" si="10"/>
        <v>226600</v>
      </c>
      <c r="L56" s="74">
        <f t="shared" si="10"/>
        <v>214000</v>
      </c>
      <c r="M56" s="57" t="str">
        <f t="shared" ca="1" si="9"/>
        <v>=L55+L54</v>
      </c>
    </row>
    <row r="57" spans="2:13" ht="19">
      <c r="B57" s="67" t="s">
        <v>58</v>
      </c>
      <c r="C57" s="65">
        <f>46000+0.8*0.7*C41</f>
        <v>97520</v>
      </c>
      <c r="D57" s="75">
        <f t="shared" ref="D57:L57" si="11">C55</f>
        <v>110400</v>
      </c>
      <c r="E57" s="75">
        <f t="shared" si="11"/>
        <v>149040</v>
      </c>
      <c r="F57" s="75">
        <f t="shared" si="11"/>
        <v>123280</v>
      </c>
      <c r="G57" s="75">
        <f t="shared" si="11"/>
        <v>110400</v>
      </c>
      <c r="H57" s="75">
        <f t="shared" si="11"/>
        <v>97520</v>
      </c>
      <c r="I57" s="75">
        <f t="shared" si="11"/>
        <v>90800</v>
      </c>
      <c r="J57" s="75">
        <f t="shared" si="11"/>
        <v>102000</v>
      </c>
      <c r="K57" s="75">
        <f t="shared" si="11"/>
        <v>118800</v>
      </c>
      <c r="L57" s="75">
        <f t="shared" si="11"/>
        <v>135600</v>
      </c>
      <c r="M57" s="57" t="str">
        <f t="shared" ca="1" si="9"/>
        <v>=K55</v>
      </c>
    </row>
    <row r="58" spans="2:13">
      <c r="B58" s="68" t="s">
        <v>247</v>
      </c>
      <c r="C58" s="69">
        <f>C56-C57</f>
        <v>77280</v>
      </c>
      <c r="D58" s="76">
        <f>D56-D57</f>
        <v>119140</v>
      </c>
      <c r="E58" s="76">
        <f t="shared" ref="E58:L58" si="12">E56-E57</f>
        <v>103040</v>
      </c>
      <c r="F58" s="76">
        <f>F56-F57</f>
        <v>83720</v>
      </c>
      <c r="G58" s="76">
        <f t="shared" si="12"/>
        <v>67620</v>
      </c>
      <c r="H58" s="76">
        <f t="shared" si="12"/>
        <v>57680</v>
      </c>
      <c r="I58" s="76">
        <f t="shared" si="12"/>
        <v>67200</v>
      </c>
      <c r="J58" s="76">
        <f t="shared" si="12"/>
        <v>86800</v>
      </c>
      <c r="K58" s="76">
        <f t="shared" si="12"/>
        <v>107800</v>
      </c>
      <c r="L58" s="76">
        <f t="shared" si="12"/>
        <v>78400</v>
      </c>
      <c r="M58" s="57" t="str">
        <f t="shared" ca="1" si="9"/>
        <v>=L56-L57</v>
      </c>
    </row>
    <row r="59" spans="2:13">
      <c r="B59" s="64" t="s">
        <v>248</v>
      </c>
      <c r="K59" s="57"/>
    </row>
    <row r="60" spans="2:13">
      <c r="B60" s="62" t="s">
        <v>65</v>
      </c>
      <c r="D60" s="74">
        <f>50%*C58</f>
        <v>38640</v>
      </c>
      <c r="E60" s="74">
        <f t="shared" ref="E60:L60" si="13">50%*D58</f>
        <v>59570</v>
      </c>
      <c r="F60" s="74">
        <f t="shared" si="13"/>
        <v>51520</v>
      </c>
      <c r="G60" s="74">
        <f t="shared" si="13"/>
        <v>41860</v>
      </c>
      <c r="H60" s="74">
        <f t="shared" si="13"/>
        <v>33810</v>
      </c>
      <c r="I60" s="74">
        <f t="shared" si="13"/>
        <v>28840</v>
      </c>
      <c r="J60" s="74">
        <f t="shared" si="13"/>
        <v>33600</v>
      </c>
      <c r="K60" s="74">
        <f t="shared" si="13"/>
        <v>43400</v>
      </c>
      <c r="L60" s="74">
        <f t="shared" si="13"/>
        <v>53900</v>
      </c>
      <c r="M60" s="57" t="str">
        <f t="shared" ca="1" si="9"/>
        <v>=50%*K58</v>
      </c>
    </row>
    <row r="61" spans="2:13" ht="19">
      <c r="B61" s="67" t="s">
        <v>249</v>
      </c>
      <c r="C61" s="65"/>
      <c r="D61" s="75">
        <f>50%*D58</f>
        <v>59570</v>
      </c>
      <c r="E61" s="75">
        <f t="shared" ref="E61:K61" si="14">50%*E58</f>
        <v>51520</v>
      </c>
      <c r="F61" s="75">
        <f t="shared" si="14"/>
        <v>41860</v>
      </c>
      <c r="G61" s="75">
        <f t="shared" si="14"/>
        <v>33810</v>
      </c>
      <c r="H61" s="75">
        <f t="shared" si="14"/>
        <v>28840</v>
      </c>
      <c r="I61" s="75">
        <f t="shared" si="14"/>
        <v>33600</v>
      </c>
      <c r="J61" s="75">
        <f t="shared" si="14"/>
        <v>43400</v>
      </c>
      <c r="K61" s="75">
        <f t="shared" si="14"/>
        <v>53900</v>
      </c>
      <c r="L61" s="75">
        <f>50%*L58</f>
        <v>39200</v>
      </c>
      <c r="M61" s="57" t="str">
        <f t="shared" ca="1" si="9"/>
        <v>=50%*L58</v>
      </c>
    </row>
    <row r="62" spans="2:13">
      <c r="B62" s="68" t="s">
        <v>250</v>
      </c>
      <c r="C62" s="69"/>
      <c r="D62" s="76">
        <f>SUM(D60:D61)</f>
        <v>98210</v>
      </c>
      <c r="E62" s="76">
        <f t="shared" ref="E62:K62" si="15">SUM(E60:E61)</f>
        <v>111090</v>
      </c>
      <c r="F62" s="76">
        <f t="shared" si="15"/>
        <v>93380</v>
      </c>
      <c r="G62" s="76">
        <f t="shared" si="15"/>
        <v>75670</v>
      </c>
      <c r="H62" s="76">
        <f t="shared" si="15"/>
        <v>62650</v>
      </c>
      <c r="I62" s="76">
        <f t="shared" si="15"/>
        <v>62440</v>
      </c>
      <c r="J62" s="76">
        <f t="shared" si="15"/>
        <v>77000</v>
      </c>
      <c r="K62" s="76">
        <f t="shared" si="15"/>
        <v>97300</v>
      </c>
      <c r="L62" s="76">
        <f>SUM(L60:L61)</f>
        <v>93100</v>
      </c>
      <c r="M62" s="57" t="str">
        <f t="shared" ca="1" si="9"/>
        <v>=SUM(L60:L61)</v>
      </c>
    </row>
    <row r="64" spans="2:13">
      <c r="B64" s="62" t="s">
        <v>251</v>
      </c>
    </row>
    <row r="65" spans="1:13">
      <c r="B65" s="62" t="s">
        <v>252</v>
      </c>
    </row>
    <row r="67" spans="1:13" ht="18">
      <c r="B67" s="135" t="s">
        <v>253</v>
      </c>
      <c r="C67" s="72" t="s">
        <v>230</v>
      </c>
      <c r="D67" s="72" t="s">
        <v>32</v>
      </c>
      <c r="E67" s="72" t="s">
        <v>5</v>
      </c>
      <c r="F67" s="72" t="s">
        <v>6</v>
      </c>
      <c r="G67" s="72" t="s">
        <v>7</v>
      </c>
      <c r="H67" s="72" t="s">
        <v>8</v>
      </c>
      <c r="I67" s="72" t="s">
        <v>11</v>
      </c>
      <c r="J67" s="72" t="s">
        <v>231</v>
      </c>
      <c r="K67" s="72" t="s">
        <v>232</v>
      </c>
      <c r="L67" s="72" t="s">
        <v>233</v>
      </c>
    </row>
    <row r="68" spans="1:13">
      <c r="B68" s="64" t="s">
        <v>254</v>
      </c>
    </row>
    <row r="69" spans="1:13">
      <c r="B69" s="62" t="s">
        <v>255</v>
      </c>
      <c r="C69" s="57">
        <v>5750</v>
      </c>
      <c r="D69" s="74">
        <f>C69</f>
        <v>5750</v>
      </c>
      <c r="E69" s="74">
        <f t="shared" ref="E69:L69" si="16">D69</f>
        <v>5750</v>
      </c>
      <c r="F69" s="74">
        <f t="shared" si="16"/>
        <v>5750</v>
      </c>
      <c r="G69" s="74">
        <f t="shared" si="16"/>
        <v>5750</v>
      </c>
      <c r="H69" s="74">
        <f t="shared" si="16"/>
        <v>5750</v>
      </c>
      <c r="I69" s="74">
        <f t="shared" si="16"/>
        <v>5750</v>
      </c>
      <c r="J69" s="74">
        <f t="shared" si="16"/>
        <v>5750</v>
      </c>
      <c r="K69" s="74">
        <f t="shared" si="16"/>
        <v>5750</v>
      </c>
      <c r="L69" s="74">
        <f t="shared" si="16"/>
        <v>5750</v>
      </c>
      <c r="M69" s="57" t="str">
        <f t="shared" ref="M69:M75" ca="1" si="17">_xlfn.FORMULATEXT(L69)</f>
        <v>=K69</v>
      </c>
    </row>
    <row r="70" spans="1:13" ht="19">
      <c r="B70" s="67" t="s">
        <v>256</v>
      </c>
      <c r="C70" s="65">
        <f t="shared" ref="C70:L70" si="18">15%*C41</f>
        <v>13800</v>
      </c>
      <c r="D70" s="75">
        <f t="shared" si="18"/>
        <v>17250</v>
      </c>
      <c r="E70" s="75">
        <f t="shared" si="18"/>
        <v>27600</v>
      </c>
      <c r="F70" s="75">
        <f t="shared" si="18"/>
        <v>20700</v>
      </c>
      <c r="G70" s="75">
        <f t="shared" si="18"/>
        <v>17250</v>
      </c>
      <c r="H70" s="75">
        <f t="shared" si="18"/>
        <v>13800</v>
      </c>
      <c r="I70" s="75">
        <f t="shared" si="18"/>
        <v>12000</v>
      </c>
      <c r="J70" s="75">
        <f t="shared" si="18"/>
        <v>15000</v>
      </c>
      <c r="K70" s="75">
        <f t="shared" si="18"/>
        <v>19500</v>
      </c>
      <c r="L70" s="75">
        <f t="shared" si="18"/>
        <v>24000</v>
      </c>
      <c r="M70" s="57" t="str">
        <f t="shared" ca="1" si="17"/>
        <v>=15%*L41</v>
      </c>
    </row>
    <row r="71" spans="1:13" s="69" customFormat="1">
      <c r="B71" s="68" t="s">
        <v>257</v>
      </c>
      <c r="C71" s="69">
        <f>C69+C70</f>
        <v>19550</v>
      </c>
      <c r="D71" s="76">
        <f t="shared" ref="D71:L71" si="19">D69+D70</f>
        <v>23000</v>
      </c>
      <c r="E71" s="76">
        <f t="shared" si="19"/>
        <v>33350</v>
      </c>
      <c r="F71" s="76">
        <f t="shared" si="19"/>
        <v>26450</v>
      </c>
      <c r="G71" s="76">
        <f t="shared" si="19"/>
        <v>23000</v>
      </c>
      <c r="H71" s="76">
        <f t="shared" si="19"/>
        <v>19550</v>
      </c>
      <c r="I71" s="76">
        <f t="shared" si="19"/>
        <v>17750</v>
      </c>
      <c r="J71" s="76">
        <f t="shared" si="19"/>
        <v>20750</v>
      </c>
      <c r="K71" s="76">
        <f t="shared" si="19"/>
        <v>25250</v>
      </c>
      <c r="L71" s="76">
        <f t="shared" si="19"/>
        <v>29750</v>
      </c>
      <c r="M71" s="57" t="str">
        <f t="shared" ca="1" si="17"/>
        <v>=L69+L70</v>
      </c>
    </row>
    <row r="72" spans="1:13">
      <c r="B72" s="64" t="s">
        <v>258</v>
      </c>
      <c r="K72" s="57"/>
    </row>
    <row r="73" spans="1:13">
      <c r="B73" s="62" t="s">
        <v>259</v>
      </c>
      <c r="D73" s="74">
        <f>50%*C71</f>
        <v>9775</v>
      </c>
      <c r="E73" s="74">
        <f t="shared" ref="E73:L73" si="20">50%*D71</f>
        <v>11500</v>
      </c>
      <c r="F73" s="74">
        <f t="shared" si="20"/>
        <v>16675</v>
      </c>
      <c r="G73" s="74">
        <f t="shared" si="20"/>
        <v>13225</v>
      </c>
      <c r="H73" s="74">
        <f t="shared" si="20"/>
        <v>11500</v>
      </c>
      <c r="I73" s="74">
        <f t="shared" si="20"/>
        <v>9775</v>
      </c>
      <c r="J73" s="74">
        <f t="shared" si="20"/>
        <v>8875</v>
      </c>
      <c r="K73" s="74">
        <f t="shared" si="20"/>
        <v>10375</v>
      </c>
      <c r="L73" s="74">
        <f t="shared" si="20"/>
        <v>12625</v>
      </c>
      <c r="M73" s="57" t="str">
        <f t="shared" ca="1" si="17"/>
        <v>=50%*K71</v>
      </c>
    </row>
    <row r="74" spans="1:13" ht="19">
      <c r="B74" s="67" t="s">
        <v>260</v>
      </c>
      <c r="C74" s="65"/>
      <c r="D74" s="75">
        <f>50%*D71</f>
        <v>11500</v>
      </c>
      <c r="E74" s="75">
        <f t="shared" ref="E74:L74" si="21">50%*E71</f>
        <v>16675</v>
      </c>
      <c r="F74" s="75">
        <f t="shared" si="21"/>
        <v>13225</v>
      </c>
      <c r="G74" s="75">
        <f t="shared" si="21"/>
        <v>11500</v>
      </c>
      <c r="H74" s="75">
        <f t="shared" si="21"/>
        <v>9775</v>
      </c>
      <c r="I74" s="75">
        <f t="shared" si="21"/>
        <v>8875</v>
      </c>
      <c r="J74" s="75">
        <f t="shared" si="21"/>
        <v>10375</v>
      </c>
      <c r="K74" s="75">
        <f t="shared" si="21"/>
        <v>12625</v>
      </c>
      <c r="L74" s="75">
        <f t="shared" si="21"/>
        <v>14875</v>
      </c>
      <c r="M74" s="57" t="str">
        <f t="shared" ca="1" si="17"/>
        <v>=50%*L71</v>
      </c>
    </row>
    <row r="75" spans="1:13" s="69" customFormat="1">
      <c r="B75" s="68" t="s">
        <v>261</v>
      </c>
      <c r="D75" s="76">
        <f>SUM(D73:D74)</f>
        <v>21275</v>
      </c>
      <c r="E75" s="76">
        <f t="shared" ref="E75:L75" si="22">SUM(E73:E74)</f>
        <v>28175</v>
      </c>
      <c r="F75" s="76">
        <f t="shared" si="22"/>
        <v>29900</v>
      </c>
      <c r="G75" s="76">
        <f t="shared" si="22"/>
        <v>24725</v>
      </c>
      <c r="H75" s="76">
        <f t="shared" si="22"/>
        <v>21275</v>
      </c>
      <c r="I75" s="76">
        <f t="shared" si="22"/>
        <v>18650</v>
      </c>
      <c r="J75" s="76">
        <f t="shared" si="22"/>
        <v>19250</v>
      </c>
      <c r="K75" s="76">
        <f t="shared" si="22"/>
        <v>23000</v>
      </c>
      <c r="L75" s="76">
        <f t="shared" si="22"/>
        <v>27500</v>
      </c>
      <c r="M75" s="57" t="str">
        <f t="shared" ca="1" si="17"/>
        <v>=SUM(L73:L74)</v>
      </c>
    </row>
    <row r="76" spans="1:13">
      <c r="A76" s="57" t="s">
        <v>416</v>
      </c>
    </row>
    <row r="77" spans="1:13">
      <c r="A77" s="57" t="s">
        <v>415</v>
      </c>
      <c r="B77" s="62" t="s">
        <v>262</v>
      </c>
    </row>
    <row r="78" spans="1:13">
      <c r="A78" s="57" t="s">
        <v>417</v>
      </c>
      <c r="B78" s="62" t="s">
        <v>263</v>
      </c>
    </row>
    <row r="79" spans="1:13">
      <c r="A79" s="57" t="s">
        <v>418</v>
      </c>
      <c r="B79" s="62" t="s">
        <v>264</v>
      </c>
    </row>
    <row r="80" spans="1:13" s="69" customFormat="1">
      <c r="A80" s="57" t="s">
        <v>419</v>
      </c>
      <c r="B80" s="62" t="s">
        <v>265</v>
      </c>
      <c r="K80" s="68"/>
    </row>
    <row r="81" spans="1:13" s="69" customFormat="1">
      <c r="A81" s="57" t="s">
        <v>420</v>
      </c>
      <c r="B81" s="62" t="s">
        <v>266</v>
      </c>
      <c r="K81" s="68"/>
    </row>
    <row r="82" spans="1:13" s="69" customFormat="1">
      <c r="A82" s="57" t="s">
        <v>419</v>
      </c>
      <c r="B82" s="62" t="s">
        <v>267</v>
      </c>
      <c r="K82" s="68"/>
    </row>
    <row r="83" spans="1:13" s="69" customFormat="1">
      <c r="A83" s="57" t="s">
        <v>421</v>
      </c>
      <c r="B83" s="62" t="s">
        <v>425</v>
      </c>
      <c r="K83" s="68"/>
    </row>
    <row r="85" spans="1:13" s="66" customFormat="1">
      <c r="B85" s="68" t="s">
        <v>268</v>
      </c>
      <c r="K85" s="70"/>
    </row>
    <row r="86" spans="1:13" s="66" customFormat="1">
      <c r="B86" s="68" t="s">
        <v>269</v>
      </c>
      <c r="K86" s="70"/>
    </row>
    <row r="87" spans="1:13" s="66" customFormat="1">
      <c r="B87" s="68" t="s">
        <v>270</v>
      </c>
      <c r="K87" s="70"/>
    </row>
    <row r="88" spans="1:13" s="66" customFormat="1">
      <c r="B88" s="68" t="s">
        <v>414</v>
      </c>
      <c r="K88" s="70"/>
    </row>
    <row r="90" spans="1:13" ht="18">
      <c r="B90" s="135" t="s">
        <v>271</v>
      </c>
      <c r="C90" s="71"/>
      <c r="D90" s="72" t="s">
        <v>32</v>
      </c>
      <c r="E90" s="72" t="s">
        <v>5</v>
      </c>
      <c r="F90" s="72" t="s">
        <v>6</v>
      </c>
      <c r="G90" s="72" t="s">
        <v>7</v>
      </c>
      <c r="H90" s="72" t="s">
        <v>8</v>
      </c>
      <c r="I90" s="72" t="s">
        <v>11</v>
      </c>
      <c r="J90" s="72" t="s">
        <v>231</v>
      </c>
      <c r="K90" s="72" t="s">
        <v>232</v>
      </c>
      <c r="L90" s="72" t="s">
        <v>233</v>
      </c>
    </row>
    <row r="91" spans="1:13">
      <c r="B91" s="62" t="s">
        <v>135</v>
      </c>
      <c r="C91" s="57" t="str">
        <f ca="1">_xlfn.FORMULATEXT(D91)</f>
        <v>=C15</v>
      </c>
      <c r="D91" s="74">
        <f>C15</f>
        <v>23000</v>
      </c>
      <c r="E91" s="74">
        <f>D111</f>
        <v>23000</v>
      </c>
      <c r="F91" s="74">
        <f>E111</f>
        <v>23000</v>
      </c>
      <c r="G91" s="74">
        <f>F111</f>
        <v>23000</v>
      </c>
      <c r="H91" s="74">
        <f>G111</f>
        <v>29487.039844375002</v>
      </c>
      <c r="I91" s="74">
        <f t="shared" ref="I91:L91" si="23">H111</f>
        <v>37562.039844375002</v>
      </c>
      <c r="J91" s="74">
        <f t="shared" si="23"/>
        <v>32672.039844375002</v>
      </c>
      <c r="K91" s="74">
        <f t="shared" si="23"/>
        <v>23000</v>
      </c>
      <c r="L91" s="74">
        <f t="shared" si="23"/>
        <v>23000</v>
      </c>
      <c r="M91" s="57" t="str">
        <f t="shared" ref="M91:M111" ca="1" si="24">_xlfn.FORMULATEXT(L91)</f>
        <v>=K111</v>
      </c>
    </row>
    <row r="92" spans="1:13">
      <c r="B92" s="64" t="s">
        <v>272</v>
      </c>
      <c r="K92" s="57"/>
    </row>
    <row r="93" spans="1:13" ht="19">
      <c r="B93" s="67" t="s">
        <v>273</v>
      </c>
      <c r="C93" s="57" t="str">
        <f t="shared" ref="C93:C111" ca="1" si="25">_xlfn.FORMULATEXT(D93)</f>
        <v>=D47</v>
      </c>
      <c r="D93" s="75">
        <f t="shared" ref="D93:L93" si="26">D47</f>
        <v>105800</v>
      </c>
      <c r="E93" s="75">
        <f t="shared" si="26"/>
        <v>156400</v>
      </c>
      <c r="F93" s="75">
        <f t="shared" si="26"/>
        <v>156400</v>
      </c>
      <c r="G93" s="75">
        <f t="shared" si="26"/>
        <v>124200</v>
      </c>
      <c r="H93" s="75">
        <f t="shared" si="26"/>
        <v>101200</v>
      </c>
      <c r="I93" s="75">
        <f t="shared" si="26"/>
        <v>84800</v>
      </c>
      <c r="J93" s="75">
        <f t="shared" si="26"/>
        <v>92000</v>
      </c>
      <c r="K93" s="75">
        <f t="shared" si="26"/>
        <v>118000</v>
      </c>
      <c r="L93" s="75">
        <f t="shared" si="26"/>
        <v>148000</v>
      </c>
      <c r="M93" s="57" t="str">
        <f t="shared" ca="1" si="24"/>
        <v>=L47</v>
      </c>
    </row>
    <row r="94" spans="1:13" s="69" customFormat="1">
      <c r="B94" s="68" t="s">
        <v>427</v>
      </c>
      <c r="C94" s="57" t="str">
        <f t="shared" ca="1" si="25"/>
        <v>=SUM(D91:D93)</v>
      </c>
      <c r="D94" s="76">
        <f>SUM(D91:D93)</f>
        <v>128800</v>
      </c>
      <c r="E94" s="76">
        <f>SUM(E91:E93)</f>
        <v>179400</v>
      </c>
      <c r="F94" s="76">
        <f>SUM(F91:F93)</f>
        <v>179400</v>
      </c>
      <c r="G94" s="76">
        <f>SUM(G91:G93)</f>
        <v>147200</v>
      </c>
      <c r="H94" s="76">
        <f>SUM(H91:H93)</f>
        <v>130687.039844375</v>
      </c>
      <c r="I94" s="76">
        <f t="shared" ref="I94:L94" si="27">SUM(I91:I93)</f>
        <v>122362.039844375</v>
      </c>
      <c r="J94" s="76">
        <f t="shared" si="27"/>
        <v>124672.039844375</v>
      </c>
      <c r="K94" s="76">
        <f t="shared" si="27"/>
        <v>141000</v>
      </c>
      <c r="L94" s="76">
        <f t="shared" si="27"/>
        <v>171000</v>
      </c>
      <c r="M94" s="57" t="str">
        <f t="shared" ca="1" si="24"/>
        <v>=SUM(L91:L93)</v>
      </c>
    </row>
    <row r="95" spans="1:13">
      <c r="B95" s="77" t="s">
        <v>274</v>
      </c>
      <c r="K95" s="57"/>
    </row>
    <row r="96" spans="1:13">
      <c r="B96" s="78" t="s">
        <v>275</v>
      </c>
      <c r="C96" s="57" t="str">
        <f t="shared" ca="1" si="25"/>
        <v>=D62</v>
      </c>
      <c r="D96" s="74">
        <f>D62</f>
        <v>98210</v>
      </c>
      <c r="E96" s="74">
        <f>E62</f>
        <v>111090</v>
      </c>
      <c r="F96" s="74">
        <f t="shared" ref="F96:K96" si="28">F62</f>
        <v>93380</v>
      </c>
      <c r="G96" s="74">
        <f t="shared" si="28"/>
        <v>75670</v>
      </c>
      <c r="H96" s="74">
        <f t="shared" si="28"/>
        <v>62650</v>
      </c>
      <c r="I96" s="74">
        <f t="shared" si="28"/>
        <v>62440</v>
      </c>
      <c r="J96" s="74">
        <f t="shared" si="28"/>
        <v>77000</v>
      </c>
      <c r="K96" s="74">
        <f t="shared" si="28"/>
        <v>97300</v>
      </c>
      <c r="L96" s="74">
        <f>L62</f>
        <v>93100</v>
      </c>
      <c r="M96" s="57" t="str">
        <f t="shared" ca="1" si="24"/>
        <v>=L62</v>
      </c>
    </row>
    <row r="97" spans="2:13">
      <c r="B97" s="78" t="s">
        <v>276</v>
      </c>
      <c r="C97" s="57" t="str">
        <f t="shared" ca="1" si="25"/>
        <v>=D75</v>
      </c>
      <c r="D97" s="74">
        <f t="shared" ref="D97:L97" si="29">D75</f>
        <v>21275</v>
      </c>
      <c r="E97" s="74">
        <f t="shared" ref="E97" si="30">E75</f>
        <v>28175</v>
      </c>
      <c r="F97" s="74">
        <f t="shared" si="29"/>
        <v>29900</v>
      </c>
      <c r="G97" s="74">
        <f t="shared" si="29"/>
        <v>24725</v>
      </c>
      <c r="H97" s="74">
        <f t="shared" si="29"/>
        <v>21275</v>
      </c>
      <c r="I97" s="74">
        <f t="shared" si="29"/>
        <v>18650</v>
      </c>
      <c r="J97" s="74">
        <f t="shared" si="29"/>
        <v>19250</v>
      </c>
      <c r="K97" s="74">
        <f t="shared" si="29"/>
        <v>23000</v>
      </c>
      <c r="L97" s="74">
        <f t="shared" si="29"/>
        <v>27500</v>
      </c>
      <c r="M97" s="57" t="str">
        <f t="shared" ca="1" si="24"/>
        <v>=L75</v>
      </c>
    </row>
    <row r="98" spans="2:13">
      <c r="B98" s="78" t="s">
        <v>277</v>
      </c>
      <c r="C98" s="57" t="str">
        <f t="shared" ca="1" si="25"/>
        <v>=5%*D41</v>
      </c>
      <c r="D98" s="74">
        <f t="shared" ref="D98:L98" si="31">5%*D41</f>
        <v>5750</v>
      </c>
      <c r="E98" s="74">
        <f t="shared" si="31"/>
        <v>9200</v>
      </c>
      <c r="F98" s="74">
        <f t="shared" si="31"/>
        <v>6900</v>
      </c>
      <c r="G98" s="74">
        <f t="shared" si="31"/>
        <v>5750</v>
      </c>
      <c r="H98" s="74">
        <f t="shared" si="31"/>
        <v>4600</v>
      </c>
      <c r="I98" s="74">
        <f t="shared" si="31"/>
        <v>4000</v>
      </c>
      <c r="J98" s="74">
        <f t="shared" si="31"/>
        <v>5000</v>
      </c>
      <c r="K98" s="74">
        <f t="shared" si="31"/>
        <v>6500</v>
      </c>
      <c r="L98" s="74">
        <f t="shared" si="31"/>
        <v>8000</v>
      </c>
      <c r="M98" s="57" t="str">
        <f t="shared" ca="1" si="24"/>
        <v>=5%*L41</v>
      </c>
    </row>
    <row r="99" spans="2:13">
      <c r="B99" s="78" t="s">
        <v>422</v>
      </c>
      <c r="C99" s="57" t="str">
        <f t="shared" ca="1" si="25"/>
        <v>=4600</v>
      </c>
      <c r="D99" s="74">
        <f>4600</f>
        <v>4600</v>
      </c>
      <c r="E99" s="74">
        <f>4600</f>
        <v>4600</v>
      </c>
      <c r="F99" s="74">
        <f t="shared" ref="F99:H100" si="32">E99</f>
        <v>4600</v>
      </c>
      <c r="G99" s="74">
        <f t="shared" si="32"/>
        <v>4600</v>
      </c>
      <c r="H99" s="74">
        <f t="shared" si="32"/>
        <v>4600</v>
      </c>
      <c r="I99" s="74">
        <f t="shared" ref="I99:L100" si="33">H99</f>
        <v>4600</v>
      </c>
      <c r="J99" s="74">
        <f t="shared" si="33"/>
        <v>4600</v>
      </c>
      <c r="K99" s="74">
        <f t="shared" si="33"/>
        <v>4600</v>
      </c>
      <c r="L99" s="74">
        <f t="shared" si="33"/>
        <v>4600</v>
      </c>
      <c r="M99" s="57" t="str">
        <f t="shared" ca="1" si="24"/>
        <v>=K99</v>
      </c>
    </row>
    <row r="100" spans="2:13" ht="19">
      <c r="B100" s="79" t="s">
        <v>423</v>
      </c>
      <c r="C100" s="57" t="str">
        <f t="shared" ca="1" si="25"/>
        <v>=6900</v>
      </c>
      <c r="D100" s="75">
        <f>6900</f>
        <v>6900</v>
      </c>
      <c r="E100" s="75">
        <v>0</v>
      </c>
      <c r="F100" s="75">
        <f t="shared" si="32"/>
        <v>0</v>
      </c>
      <c r="G100" s="75">
        <f t="shared" si="32"/>
        <v>0</v>
      </c>
      <c r="H100" s="75">
        <f t="shared" si="32"/>
        <v>0</v>
      </c>
      <c r="I100" s="75">
        <f t="shared" si="33"/>
        <v>0</v>
      </c>
      <c r="J100" s="75">
        <f t="shared" si="33"/>
        <v>0</v>
      </c>
      <c r="K100" s="75">
        <f t="shared" si="33"/>
        <v>0</v>
      </c>
      <c r="L100" s="75">
        <f t="shared" si="33"/>
        <v>0</v>
      </c>
      <c r="M100" s="57" t="str">
        <f t="shared" ca="1" si="24"/>
        <v>=K100</v>
      </c>
    </row>
    <row r="101" spans="2:13">
      <c r="B101" s="80" t="s">
        <v>428</v>
      </c>
      <c r="C101" s="57" t="str">
        <f t="shared" ca="1" si="25"/>
        <v>=SUM(D96:D100)</v>
      </c>
      <c r="D101" s="76">
        <f>SUM(D96:D100)</f>
        <v>136735</v>
      </c>
      <c r="E101" s="76">
        <f>SUM(E96:E100)</f>
        <v>153065</v>
      </c>
      <c r="F101" s="76">
        <f t="shared" ref="F101:L101" si="34">SUM(F96:F100)</f>
        <v>134780</v>
      </c>
      <c r="G101" s="76">
        <f t="shared" si="34"/>
        <v>110745</v>
      </c>
      <c r="H101" s="76">
        <f t="shared" si="34"/>
        <v>93125</v>
      </c>
      <c r="I101" s="76">
        <f t="shared" si="34"/>
        <v>89690</v>
      </c>
      <c r="J101" s="76">
        <f t="shared" si="34"/>
        <v>105850</v>
      </c>
      <c r="K101" s="76">
        <f t="shared" si="34"/>
        <v>131400</v>
      </c>
      <c r="L101" s="76">
        <f t="shared" si="34"/>
        <v>133200</v>
      </c>
      <c r="M101" s="57" t="str">
        <f t="shared" ca="1" si="24"/>
        <v>=SUM(L96:L100)</v>
      </c>
    </row>
    <row r="102" spans="2:13" ht="19">
      <c r="B102" s="79" t="s">
        <v>424</v>
      </c>
      <c r="C102" s="57" t="str">
        <f t="shared" ca="1" si="25"/>
        <v>=23000</v>
      </c>
      <c r="D102" s="75">
        <f>23000</f>
        <v>23000</v>
      </c>
      <c r="E102" s="75">
        <f>23000</f>
        <v>23000</v>
      </c>
      <c r="F102" s="75">
        <f t="shared" ref="F102:L102" si="35">E102</f>
        <v>23000</v>
      </c>
      <c r="G102" s="75">
        <f t="shared" si="35"/>
        <v>23000</v>
      </c>
      <c r="H102" s="75">
        <f t="shared" si="35"/>
        <v>23000</v>
      </c>
      <c r="I102" s="75">
        <f t="shared" si="35"/>
        <v>23000</v>
      </c>
      <c r="J102" s="75">
        <f t="shared" si="35"/>
        <v>23000</v>
      </c>
      <c r="K102" s="75">
        <f t="shared" si="35"/>
        <v>23000</v>
      </c>
      <c r="L102" s="75">
        <f t="shared" si="35"/>
        <v>23000</v>
      </c>
      <c r="M102" s="57" t="str">
        <f t="shared" ca="1" si="24"/>
        <v>=K102</v>
      </c>
    </row>
    <row r="103" spans="2:13" s="69" customFormat="1" ht="19">
      <c r="B103" s="81" t="s">
        <v>426</v>
      </c>
      <c r="C103" s="57" t="str">
        <f t="shared" ca="1" si="25"/>
        <v>=D101+D102</v>
      </c>
      <c r="D103" s="82">
        <f>D101+D102</f>
        <v>159735</v>
      </c>
      <c r="E103" s="82">
        <f>E101+E102</f>
        <v>176065</v>
      </c>
      <c r="F103" s="82">
        <f>F101+F102</f>
        <v>157780</v>
      </c>
      <c r="G103" s="82">
        <f>G101+G102</f>
        <v>133745</v>
      </c>
      <c r="H103" s="82">
        <f>H101+H102</f>
        <v>116125</v>
      </c>
      <c r="I103" s="82">
        <f t="shared" ref="I103:L103" si="36">I101+I102</f>
        <v>112690</v>
      </c>
      <c r="J103" s="82">
        <f t="shared" si="36"/>
        <v>128850</v>
      </c>
      <c r="K103" s="82">
        <f t="shared" si="36"/>
        <v>154400</v>
      </c>
      <c r="L103" s="82">
        <f t="shared" si="36"/>
        <v>156200</v>
      </c>
      <c r="M103" s="57" t="str">
        <f t="shared" ca="1" si="24"/>
        <v>=L101+L102</v>
      </c>
    </row>
    <row r="104" spans="2:13" s="83" customFormat="1">
      <c r="B104" s="77" t="s">
        <v>429</v>
      </c>
      <c r="C104" s="57" t="str">
        <f t="shared" ca="1" si="25"/>
        <v>=D94-D103</v>
      </c>
      <c r="D104" s="84">
        <f>D94-D103</f>
        <v>-30935</v>
      </c>
      <c r="E104" s="84">
        <f>E94-E103</f>
        <v>3335</v>
      </c>
      <c r="F104" s="84">
        <f>F94-F103</f>
        <v>21620</v>
      </c>
      <c r="G104" s="84">
        <f>G94-G103</f>
        <v>13455</v>
      </c>
      <c r="H104" s="84">
        <f>H94-H103</f>
        <v>14562.039844375002</v>
      </c>
      <c r="I104" s="84">
        <f t="shared" ref="I104:L104" si="37">I94-I103</f>
        <v>9672.0398443750018</v>
      </c>
      <c r="J104" s="84">
        <f t="shared" si="37"/>
        <v>-4177.9601556249982</v>
      </c>
      <c r="K104" s="84">
        <f t="shared" si="37"/>
        <v>-13400</v>
      </c>
      <c r="L104" s="84">
        <f t="shared" si="37"/>
        <v>14800</v>
      </c>
      <c r="M104" s="57" t="str">
        <f t="shared" ca="1" si="24"/>
        <v>=L94-L103</v>
      </c>
    </row>
    <row r="105" spans="2:13">
      <c r="B105" s="85" t="s">
        <v>278</v>
      </c>
      <c r="K105" s="57"/>
    </row>
    <row r="106" spans="2:13">
      <c r="B106" s="78" t="s">
        <v>434</v>
      </c>
      <c r="C106" s="57" t="str">
        <f t="shared" ca="1" si="25"/>
        <v>=-D104</v>
      </c>
      <c r="D106" s="74">
        <f>-D104</f>
        <v>30935</v>
      </c>
      <c r="E106" s="74">
        <v>0</v>
      </c>
      <c r="F106" s="74">
        <f>0</f>
        <v>0</v>
      </c>
      <c r="G106" s="74">
        <f>0</f>
        <v>0</v>
      </c>
      <c r="H106" s="74">
        <v>0</v>
      </c>
      <c r="I106" s="74">
        <v>0</v>
      </c>
      <c r="J106" s="74">
        <f>-J104</f>
        <v>4177.9601556249982</v>
      </c>
      <c r="K106" s="74">
        <f>-K104+K109</f>
        <v>13462.669402334375</v>
      </c>
      <c r="L106" s="74">
        <v>0</v>
      </c>
    </row>
    <row r="107" spans="2:13">
      <c r="B107" s="78" t="s">
        <v>433</v>
      </c>
      <c r="D107" s="74">
        <v>0</v>
      </c>
      <c r="E107" s="74">
        <f>E104-E109</f>
        <v>2870.9749999999999</v>
      </c>
      <c r="F107" s="74">
        <f>F104-F109</f>
        <v>21199.039625000001</v>
      </c>
      <c r="G107" s="74">
        <f>F108</f>
        <v>6864.9853750000002</v>
      </c>
      <c r="H107" s="74">
        <v>0</v>
      </c>
      <c r="I107" s="74">
        <v>0</v>
      </c>
      <c r="J107" s="74">
        <v>0</v>
      </c>
      <c r="K107" s="74">
        <v>0</v>
      </c>
      <c r="L107" s="74">
        <f>L104-L109</f>
        <v>14535.390556630609</v>
      </c>
      <c r="M107" s="57" t="str">
        <f t="shared" ca="1" si="24"/>
        <v>=L104-L109</v>
      </c>
    </row>
    <row r="108" spans="2:13">
      <c r="B108" s="78" t="s">
        <v>431</v>
      </c>
      <c r="C108" s="57" t="str">
        <f t="shared" ca="1" si="25"/>
        <v>=D106</v>
      </c>
      <c r="D108" s="74">
        <f>D106</f>
        <v>30935</v>
      </c>
      <c r="E108" s="74">
        <f>D108-E107</f>
        <v>28064.025000000001</v>
      </c>
      <c r="F108" s="74">
        <f>E108-F107</f>
        <v>6864.9853750000002</v>
      </c>
      <c r="G108" s="74">
        <f>F108-G107</f>
        <v>0</v>
      </c>
      <c r="H108" s="74">
        <v>0</v>
      </c>
      <c r="I108" s="74">
        <v>0</v>
      </c>
      <c r="J108" s="74">
        <f>J106</f>
        <v>4177.9601556249982</v>
      </c>
      <c r="K108" s="74">
        <f>J108+K106</f>
        <v>17640.629557959372</v>
      </c>
      <c r="L108" s="74">
        <f>K108-L107</f>
        <v>3105.2390013287622</v>
      </c>
      <c r="M108" s="57" t="str">
        <f t="shared" ca="1" si="24"/>
        <v>=K108-L107</v>
      </c>
    </row>
    <row r="109" spans="2:13" ht="19">
      <c r="B109" s="79" t="s">
        <v>432</v>
      </c>
      <c r="D109" s="75">
        <v>0</v>
      </c>
      <c r="E109" s="75">
        <f>D108*1.5%</f>
        <v>464.02499999999998</v>
      </c>
      <c r="F109" s="75">
        <f>E108*1.5%</f>
        <v>420.960375</v>
      </c>
      <c r="G109" s="75">
        <f>F108*1.5%</f>
        <v>102.97478062499999</v>
      </c>
      <c r="H109" s="75">
        <v>0</v>
      </c>
      <c r="I109" s="75">
        <v>0</v>
      </c>
      <c r="J109" s="75">
        <v>0</v>
      </c>
      <c r="K109" s="75">
        <f>J108*1.5%</f>
        <v>62.669402334374972</v>
      </c>
      <c r="L109" s="75">
        <f>K108*1.5%</f>
        <v>264.60944336939059</v>
      </c>
      <c r="M109" s="57" t="str">
        <f t="shared" ca="1" si="24"/>
        <v>=K108*1.5%</v>
      </c>
    </row>
    <row r="110" spans="2:13" ht="19">
      <c r="B110" s="81" t="s">
        <v>439</v>
      </c>
      <c r="C110" s="57" t="str">
        <f t="shared" ca="1" si="25"/>
        <v>=D106-D107-D109</v>
      </c>
      <c r="D110" s="82">
        <f>D106-D107-D109</f>
        <v>30935</v>
      </c>
      <c r="E110" s="82">
        <f>E106-E107-E109</f>
        <v>-3335</v>
      </c>
      <c r="F110" s="82">
        <f>F106-F107-F109</f>
        <v>-21620</v>
      </c>
      <c r="G110" s="82">
        <f>G106-G107-G109</f>
        <v>-6967.960155625</v>
      </c>
      <c r="H110" s="82">
        <f>H106-H107-H109</f>
        <v>0</v>
      </c>
      <c r="I110" s="82">
        <f t="shared" ref="I110:L110" si="38">I106-I107-I109</f>
        <v>0</v>
      </c>
      <c r="J110" s="82">
        <f t="shared" si="38"/>
        <v>4177.9601556249982</v>
      </c>
      <c r="K110" s="82">
        <f t="shared" si="38"/>
        <v>13400</v>
      </c>
      <c r="L110" s="82">
        <f t="shared" si="38"/>
        <v>-14800</v>
      </c>
      <c r="M110" s="57" t="str">
        <f t="shared" ca="1" si="24"/>
        <v>=L106-L107-L109</v>
      </c>
    </row>
    <row r="111" spans="2:13">
      <c r="B111" s="80" t="s">
        <v>279</v>
      </c>
      <c r="C111" s="57" t="str">
        <f t="shared" ca="1" si="25"/>
        <v>=D102+D104+D110</v>
      </c>
      <c r="D111" s="76">
        <f>D102+D104+D110</f>
        <v>23000</v>
      </c>
      <c r="E111" s="76">
        <f>E102+E104+E110</f>
        <v>23000</v>
      </c>
      <c r="F111" s="76">
        <f>F102+F104+F110</f>
        <v>23000</v>
      </c>
      <c r="G111" s="76">
        <f>G102+G104+G110</f>
        <v>29487.039844375002</v>
      </c>
      <c r="H111" s="76">
        <f>H102+H104+H110</f>
        <v>37562.039844375002</v>
      </c>
      <c r="I111" s="76">
        <f t="shared" ref="I111:L111" si="39">I102+I104+I110</f>
        <v>32672.039844375002</v>
      </c>
      <c r="J111" s="76">
        <f t="shared" si="39"/>
        <v>23000</v>
      </c>
      <c r="K111" s="76">
        <f t="shared" si="39"/>
        <v>23000</v>
      </c>
      <c r="L111" s="76">
        <f t="shared" si="39"/>
        <v>23000</v>
      </c>
      <c r="M111" s="57" t="str">
        <f t="shared" ca="1" si="24"/>
        <v>=L102+L104+L110</v>
      </c>
    </row>
    <row r="112" spans="2:13">
      <c r="B112" s="64" t="s">
        <v>430</v>
      </c>
    </row>
    <row r="113" spans="2:13" ht="28" customHeight="1"/>
    <row r="114" spans="2:13" ht="20">
      <c r="B114" s="134" t="s">
        <v>399</v>
      </c>
    </row>
    <row r="116" spans="2:13" s="86" customFormat="1" ht="20">
      <c r="B116" s="139" t="s">
        <v>400</v>
      </c>
      <c r="K116" s="87"/>
    </row>
    <row r="117" spans="2:13">
      <c r="B117" s="88" t="s">
        <v>280</v>
      </c>
    </row>
    <row r="119" spans="2:13" ht="18">
      <c r="B119" s="133" t="s">
        <v>281</v>
      </c>
      <c r="C119" s="72" t="s">
        <v>230</v>
      </c>
      <c r="D119" s="72" t="s">
        <v>32</v>
      </c>
      <c r="E119" s="72" t="s">
        <v>5</v>
      </c>
      <c r="F119" s="72" t="s">
        <v>6</v>
      </c>
      <c r="G119" s="72" t="s">
        <v>7</v>
      </c>
      <c r="H119" s="72" t="s">
        <v>8</v>
      </c>
      <c r="I119" s="72" t="s">
        <v>11</v>
      </c>
      <c r="J119" s="72" t="s">
        <v>231</v>
      </c>
      <c r="K119" s="72" t="s">
        <v>232</v>
      </c>
      <c r="L119" s="72" t="s">
        <v>233</v>
      </c>
    </row>
    <row r="120" spans="2:13">
      <c r="B120" s="88" t="s">
        <v>282</v>
      </c>
      <c r="C120" s="57">
        <f>H14</f>
        <v>92000</v>
      </c>
      <c r="D120" s="74">
        <f t="shared" ref="D120:L120" si="40">D41</f>
        <v>115000</v>
      </c>
      <c r="E120" s="74">
        <f t="shared" si="40"/>
        <v>184000</v>
      </c>
      <c r="F120" s="74">
        <f t="shared" si="40"/>
        <v>138000</v>
      </c>
      <c r="G120" s="74">
        <f t="shared" si="40"/>
        <v>115000</v>
      </c>
      <c r="H120" s="74">
        <f t="shared" si="40"/>
        <v>92000</v>
      </c>
      <c r="I120" s="74">
        <f t="shared" si="40"/>
        <v>80000</v>
      </c>
      <c r="J120" s="74">
        <f t="shared" si="40"/>
        <v>100000</v>
      </c>
      <c r="K120" s="74">
        <f t="shared" si="40"/>
        <v>130000</v>
      </c>
      <c r="L120" s="74">
        <f t="shared" si="40"/>
        <v>160000</v>
      </c>
      <c r="M120" s="57" t="str">
        <f t="shared" ref="M120:M132" ca="1" si="41">_xlfn.FORMULATEXT(L120)</f>
        <v>=L41</v>
      </c>
    </row>
    <row r="121" spans="2:13" ht="19">
      <c r="B121" s="89" t="s">
        <v>283</v>
      </c>
      <c r="C121" s="65">
        <f>H15</f>
        <v>-64400</v>
      </c>
      <c r="D121" s="75">
        <f>-D54</f>
        <v>-80500</v>
      </c>
      <c r="E121" s="75">
        <f t="shared" ref="E121:L121" si="42">-E54</f>
        <v>-128799.99999999999</v>
      </c>
      <c r="F121" s="75">
        <f t="shared" si="42"/>
        <v>-96600</v>
      </c>
      <c r="G121" s="75">
        <f t="shared" si="42"/>
        <v>-80500</v>
      </c>
      <c r="H121" s="75">
        <f t="shared" si="42"/>
        <v>-64399.999999999993</v>
      </c>
      <c r="I121" s="75">
        <f t="shared" si="42"/>
        <v>-56000</v>
      </c>
      <c r="J121" s="75">
        <f t="shared" si="42"/>
        <v>-70000</v>
      </c>
      <c r="K121" s="75">
        <f t="shared" si="42"/>
        <v>-91000</v>
      </c>
      <c r="L121" s="75">
        <f t="shared" si="42"/>
        <v>-112000</v>
      </c>
      <c r="M121" s="57" t="str">
        <f t="shared" ca="1" si="41"/>
        <v>=-L54</v>
      </c>
    </row>
    <row r="122" spans="2:13">
      <c r="B122" s="88" t="s">
        <v>284</v>
      </c>
      <c r="C122" s="57">
        <f>H16</f>
        <v>27600</v>
      </c>
      <c r="D122" s="74">
        <f>D120+D121</f>
        <v>34500</v>
      </c>
      <c r="E122" s="74">
        <f t="shared" ref="E122:L122" si="43">E120+E121</f>
        <v>55200.000000000015</v>
      </c>
      <c r="F122" s="74">
        <f t="shared" si="43"/>
        <v>41400</v>
      </c>
      <c r="G122" s="74">
        <f t="shared" si="43"/>
        <v>34500</v>
      </c>
      <c r="H122" s="74">
        <f t="shared" si="43"/>
        <v>27600.000000000007</v>
      </c>
      <c r="I122" s="74">
        <f t="shared" si="43"/>
        <v>24000</v>
      </c>
      <c r="J122" s="74">
        <f t="shared" si="43"/>
        <v>30000</v>
      </c>
      <c r="K122" s="74">
        <f t="shared" si="43"/>
        <v>39000</v>
      </c>
      <c r="L122" s="74">
        <f t="shared" si="43"/>
        <v>48000</v>
      </c>
      <c r="M122" s="57" t="str">
        <f t="shared" ca="1" si="41"/>
        <v>=L120+L121</v>
      </c>
    </row>
    <row r="123" spans="2:13">
      <c r="B123" s="141" t="s">
        <v>440</v>
      </c>
      <c r="C123" s="61"/>
      <c r="D123" s="61"/>
      <c r="E123" s="61"/>
      <c r="F123" s="61"/>
      <c r="G123" s="61"/>
      <c r="H123" s="61"/>
      <c r="I123" s="61"/>
      <c r="J123" s="61"/>
      <c r="K123" s="61"/>
      <c r="L123" s="61"/>
    </row>
    <row r="124" spans="2:13">
      <c r="B124" s="88" t="s">
        <v>276</v>
      </c>
      <c r="C124" s="57">
        <f t="shared" ref="C124:C132" si="44">H18</f>
        <v>-19550</v>
      </c>
      <c r="D124" s="74">
        <f t="shared" ref="D124:L124" si="45">-D71</f>
        <v>-23000</v>
      </c>
      <c r="E124" s="74">
        <f t="shared" si="45"/>
        <v>-33350</v>
      </c>
      <c r="F124" s="74">
        <f t="shared" si="45"/>
        <v>-26450</v>
      </c>
      <c r="G124" s="74">
        <f t="shared" si="45"/>
        <v>-23000</v>
      </c>
      <c r="H124" s="74">
        <f t="shared" si="45"/>
        <v>-19550</v>
      </c>
      <c r="I124" s="74">
        <f t="shared" si="45"/>
        <v>-17750</v>
      </c>
      <c r="J124" s="74">
        <f t="shared" si="45"/>
        <v>-20750</v>
      </c>
      <c r="K124" s="74">
        <f t="shared" si="45"/>
        <v>-25250</v>
      </c>
      <c r="L124" s="74">
        <f t="shared" si="45"/>
        <v>-29750</v>
      </c>
      <c r="M124" s="57" t="str">
        <f t="shared" ca="1" si="41"/>
        <v>=-L71</v>
      </c>
    </row>
    <row r="125" spans="2:13">
      <c r="B125" s="88" t="s">
        <v>285</v>
      </c>
      <c r="C125" s="57">
        <f t="shared" si="44"/>
        <v>-4600</v>
      </c>
      <c r="D125" s="74">
        <f t="shared" ref="D125:L125" si="46">-D99</f>
        <v>-4600</v>
      </c>
      <c r="E125" s="74">
        <f t="shared" si="46"/>
        <v>-4600</v>
      </c>
      <c r="F125" s="74">
        <f t="shared" si="46"/>
        <v>-4600</v>
      </c>
      <c r="G125" s="74">
        <f t="shared" si="46"/>
        <v>-4600</v>
      </c>
      <c r="H125" s="74">
        <f t="shared" si="46"/>
        <v>-4600</v>
      </c>
      <c r="I125" s="74">
        <f t="shared" si="46"/>
        <v>-4600</v>
      </c>
      <c r="J125" s="74">
        <f t="shared" si="46"/>
        <v>-4600</v>
      </c>
      <c r="K125" s="74">
        <f t="shared" si="46"/>
        <v>-4600</v>
      </c>
      <c r="L125" s="74">
        <f t="shared" si="46"/>
        <v>-4600</v>
      </c>
      <c r="M125" s="57" t="str">
        <f t="shared" ca="1" si="41"/>
        <v>=-L99</v>
      </c>
    </row>
    <row r="126" spans="2:13">
      <c r="B126" s="88" t="s">
        <v>286</v>
      </c>
      <c r="C126" s="57">
        <f t="shared" si="44"/>
        <v>-4600</v>
      </c>
      <c r="D126" s="74">
        <f>-D98</f>
        <v>-5750</v>
      </c>
      <c r="E126" s="74">
        <f t="shared" ref="E126:L126" si="47">-E98</f>
        <v>-9200</v>
      </c>
      <c r="F126" s="74">
        <f t="shared" si="47"/>
        <v>-6900</v>
      </c>
      <c r="G126" s="74">
        <f t="shared" si="47"/>
        <v>-5750</v>
      </c>
      <c r="H126" s="74">
        <f t="shared" si="47"/>
        <v>-4600</v>
      </c>
      <c r="I126" s="74">
        <f t="shared" si="47"/>
        <v>-4000</v>
      </c>
      <c r="J126" s="74">
        <f t="shared" si="47"/>
        <v>-5000</v>
      </c>
      <c r="K126" s="74">
        <f t="shared" si="47"/>
        <v>-6500</v>
      </c>
      <c r="L126" s="74">
        <f t="shared" si="47"/>
        <v>-8000</v>
      </c>
      <c r="M126" s="57" t="str">
        <f t="shared" ca="1" si="41"/>
        <v>=-L98</v>
      </c>
    </row>
    <row r="127" spans="2:13">
      <c r="B127" s="88" t="s">
        <v>287</v>
      </c>
      <c r="C127" s="57">
        <f t="shared" si="44"/>
        <v>-460</v>
      </c>
      <c r="D127" s="74">
        <f>C127</f>
        <v>-460</v>
      </c>
      <c r="E127" s="74">
        <f t="shared" ref="E127:G127" si="48">D127</f>
        <v>-460</v>
      </c>
      <c r="F127" s="74">
        <f t="shared" si="48"/>
        <v>-460</v>
      </c>
      <c r="G127" s="74">
        <f t="shared" si="48"/>
        <v>-460</v>
      </c>
      <c r="H127" s="74">
        <f t="shared" ref="E127:L128" si="49">G127</f>
        <v>-460</v>
      </c>
      <c r="I127" s="74">
        <f t="shared" si="49"/>
        <v>-460</v>
      </c>
      <c r="J127" s="74">
        <f t="shared" si="49"/>
        <v>-460</v>
      </c>
      <c r="K127" s="74">
        <f t="shared" si="49"/>
        <v>-460</v>
      </c>
      <c r="L127" s="74">
        <f t="shared" si="49"/>
        <v>-460</v>
      </c>
      <c r="M127" s="57" t="str">
        <f t="shared" ca="1" si="41"/>
        <v>=K127</v>
      </c>
    </row>
    <row r="128" spans="2:13" ht="19">
      <c r="B128" s="89" t="s">
        <v>288</v>
      </c>
      <c r="C128" s="65">
        <f t="shared" si="44"/>
        <v>-1150</v>
      </c>
      <c r="D128" s="75">
        <f>C128</f>
        <v>-1150</v>
      </c>
      <c r="E128" s="75">
        <f t="shared" si="49"/>
        <v>-1150</v>
      </c>
      <c r="F128" s="75">
        <f t="shared" si="49"/>
        <v>-1150</v>
      </c>
      <c r="G128" s="75">
        <f t="shared" si="49"/>
        <v>-1150</v>
      </c>
      <c r="H128" s="75">
        <f t="shared" si="49"/>
        <v>-1150</v>
      </c>
      <c r="I128" s="75">
        <f t="shared" si="49"/>
        <v>-1150</v>
      </c>
      <c r="J128" s="75">
        <f t="shared" si="49"/>
        <v>-1150</v>
      </c>
      <c r="K128" s="75">
        <f t="shared" si="49"/>
        <v>-1150</v>
      </c>
      <c r="L128" s="75">
        <f t="shared" si="49"/>
        <v>-1150</v>
      </c>
      <c r="M128" s="57" t="str">
        <f t="shared" ca="1" si="41"/>
        <v>=K128</v>
      </c>
    </row>
    <row r="129" spans="2:13" ht="19">
      <c r="B129" s="89" t="s">
        <v>214</v>
      </c>
      <c r="C129" s="65">
        <f t="shared" si="44"/>
        <v>-30360</v>
      </c>
      <c r="D129" s="75">
        <f>SUM(D124:D128)</f>
        <v>-34960</v>
      </c>
      <c r="E129" s="75">
        <f t="shared" ref="E129:L129" si="50">SUM(E124:E128)</f>
        <v>-48760</v>
      </c>
      <c r="F129" s="75">
        <f t="shared" si="50"/>
        <v>-39560</v>
      </c>
      <c r="G129" s="75">
        <f t="shared" si="50"/>
        <v>-34960</v>
      </c>
      <c r="H129" s="75">
        <f t="shared" si="50"/>
        <v>-30360</v>
      </c>
      <c r="I129" s="75">
        <f t="shared" si="50"/>
        <v>-27960</v>
      </c>
      <c r="J129" s="75">
        <f t="shared" si="50"/>
        <v>-31960</v>
      </c>
      <c r="K129" s="75">
        <f t="shared" si="50"/>
        <v>-37960</v>
      </c>
      <c r="L129" s="75">
        <f t="shared" si="50"/>
        <v>-43960</v>
      </c>
      <c r="M129" s="57" t="str">
        <f t="shared" ca="1" si="41"/>
        <v>=SUM(L124:L128)</v>
      </c>
    </row>
    <row r="130" spans="2:13">
      <c r="B130" s="88" t="s">
        <v>216</v>
      </c>
      <c r="C130" s="57">
        <f t="shared" si="44"/>
        <v>-2760</v>
      </c>
      <c r="D130" s="74">
        <f>D122+D129</f>
        <v>-460</v>
      </c>
      <c r="E130" s="74">
        <f t="shared" ref="E130:L130" si="51">E122+E129</f>
        <v>6440.0000000000146</v>
      </c>
      <c r="F130" s="74">
        <f t="shared" si="51"/>
        <v>1840</v>
      </c>
      <c r="G130" s="74">
        <f t="shared" si="51"/>
        <v>-460</v>
      </c>
      <c r="H130" s="74">
        <f t="shared" si="51"/>
        <v>-2759.9999999999927</v>
      </c>
      <c r="I130" s="74">
        <f t="shared" si="51"/>
        <v>-3960</v>
      </c>
      <c r="J130" s="74">
        <f t="shared" si="51"/>
        <v>-1960</v>
      </c>
      <c r="K130" s="74">
        <f t="shared" si="51"/>
        <v>1040</v>
      </c>
      <c r="L130" s="74">
        <f t="shared" si="51"/>
        <v>4040</v>
      </c>
      <c r="M130" s="57" t="str">
        <f t="shared" ca="1" si="41"/>
        <v>=L122+L129</v>
      </c>
    </row>
    <row r="131" spans="2:13" ht="19">
      <c r="B131" s="89" t="s">
        <v>289</v>
      </c>
      <c r="C131" s="65">
        <f t="shared" si="44"/>
        <v>0</v>
      </c>
      <c r="D131" s="75">
        <f>D109</f>
        <v>0</v>
      </c>
      <c r="E131" s="75">
        <f>-E109</f>
        <v>-464.02499999999998</v>
      </c>
      <c r="F131" s="75">
        <f t="shared" ref="F131:L131" si="52">-F109</f>
        <v>-420.960375</v>
      </c>
      <c r="G131" s="75">
        <f t="shared" si="52"/>
        <v>-102.97478062499999</v>
      </c>
      <c r="H131" s="75">
        <f t="shared" si="52"/>
        <v>0</v>
      </c>
      <c r="I131" s="75">
        <f t="shared" si="52"/>
        <v>0</v>
      </c>
      <c r="J131" s="75">
        <f t="shared" si="52"/>
        <v>0</v>
      </c>
      <c r="K131" s="75">
        <f t="shared" si="52"/>
        <v>-62.669402334374972</v>
      </c>
      <c r="L131" s="75">
        <f t="shared" si="52"/>
        <v>-264.60944336939059</v>
      </c>
      <c r="M131" s="57" t="str">
        <f t="shared" ca="1" si="41"/>
        <v>=-L109</v>
      </c>
    </row>
    <row r="132" spans="2:13">
      <c r="B132" s="88" t="s">
        <v>2</v>
      </c>
      <c r="C132" s="57">
        <f t="shared" si="44"/>
        <v>-2760</v>
      </c>
      <c r="D132" s="74">
        <f>D130-D131</f>
        <v>-460</v>
      </c>
      <c r="E132" s="74">
        <f>E130+E131</f>
        <v>5975.9750000000149</v>
      </c>
      <c r="F132" s="74">
        <f t="shared" ref="F132:L132" si="53">F130+F131</f>
        <v>1419.0396249999999</v>
      </c>
      <c r="G132" s="74">
        <f t="shared" si="53"/>
        <v>-562.97478062499999</v>
      </c>
      <c r="H132" s="74">
        <f t="shared" si="53"/>
        <v>-2759.9999999999927</v>
      </c>
      <c r="I132" s="74">
        <f t="shared" si="53"/>
        <v>-3960</v>
      </c>
      <c r="J132" s="74">
        <f t="shared" si="53"/>
        <v>-1960</v>
      </c>
      <c r="K132" s="74">
        <f t="shared" si="53"/>
        <v>977.33059766562508</v>
      </c>
      <c r="L132" s="74">
        <f t="shared" si="53"/>
        <v>3775.3905566306094</v>
      </c>
      <c r="M132" s="57" t="str">
        <f t="shared" ca="1" si="41"/>
        <v>=L130+L131</v>
      </c>
    </row>
    <row r="133" spans="2:13">
      <c r="B133" s="88"/>
    </row>
    <row r="134" spans="2:13" ht="20">
      <c r="B134" s="140" t="s">
        <v>401</v>
      </c>
    </row>
    <row r="135" spans="2:13">
      <c r="B135" s="88" t="s">
        <v>290</v>
      </c>
    </row>
    <row r="136" spans="2:13">
      <c r="B136" s="88" t="s">
        <v>291</v>
      </c>
    </row>
    <row r="137" spans="2:13">
      <c r="B137" s="88" t="s">
        <v>292</v>
      </c>
    </row>
    <row r="138" spans="2:13">
      <c r="B138" s="88" t="s">
        <v>411</v>
      </c>
    </row>
    <row r="139" spans="2:13">
      <c r="B139" s="88"/>
    </row>
    <row r="140" spans="2:13" ht="18">
      <c r="B140" s="133" t="s">
        <v>293</v>
      </c>
      <c r="C140" s="72" t="s">
        <v>230</v>
      </c>
      <c r="D140" s="72" t="s">
        <v>32</v>
      </c>
      <c r="E140" s="72" t="s">
        <v>5</v>
      </c>
      <c r="F140" s="72" t="s">
        <v>6</v>
      </c>
      <c r="G140" s="72" t="s">
        <v>7</v>
      </c>
      <c r="H140" s="72" t="s">
        <v>8</v>
      </c>
      <c r="I140" s="72" t="s">
        <v>11</v>
      </c>
      <c r="J140" s="72" t="s">
        <v>231</v>
      </c>
      <c r="K140" s="72" t="s">
        <v>232</v>
      </c>
      <c r="L140" s="72" t="s">
        <v>233</v>
      </c>
    </row>
    <row r="141" spans="2:13">
      <c r="B141" s="90" t="s">
        <v>164</v>
      </c>
    </row>
    <row r="142" spans="2:13">
      <c r="B142" s="88" t="s">
        <v>294</v>
      </c>
      <c r="C142" s="57">
        <f t="shared" ref="C142:C150" si="54">C15</f>
        <v>23000</v>
      </c>
      <c r="D142" s="74">
        <f>D111</f>
        <v>23000</v>
      </c>
      <c r="E142" s="74">
        <f t="shared" ref="E142:L142" si="55">E111</f>
        <v>23000</v>
      </c>
      <c r="F142" s="74">
        <f t="shared" si="55"/>
        <v>23000</v>
      </c>
      <c r="G142" s="74">
        <f t="shared" si="55"/>
        <v>29487.039844375002</v>
      </c>
      <c r="H142" s="74">
        <f t="shared" si="55"/>
        <v>37562.039844375002</v>
      </c>
      <c r="I142" s="74">
        <f t="shared" si="55"/>
        <v>32672.039844375002</v>
      </c>
      <c r="J142" s="74">
        <f t="shared" si="55"/>
        <v>23000</v>
      </c>
      <c r="K142" s="74">
        <f t="shared" si="55"/>
        <v>23000</v>
      </c>
      <c r="L142" s="74">
        <f t="shared" si="55"/>
        <v>23000</v>
      </c>
      <c r="M142" s="57" t="str">
        <f ca="1">_xlfn.FORMULATEXT(L142)</f>
        <v>=L111</v>
      </c>
    </row>
    <row r="143" spans="2:13">
      <c r="B143" s="88" t="s">
        <v>295</v>
      </c>
      <c r="C143" s="57">
        <f t="shared" si="54"/>
        <v>36800</v>
      </c>
      <c r="D143" s="74">
        <f>D42</f>
        <v>46000</v>
      </c>
      <c r="E143" s="74">
        <f t="shared" ref="E143:L143" si="56">E42</f>
        <v>73600</v>
      </c>
      <c r="F143" s="74">
        <f t="shared" si="56"/>
        <v>55200</v>
      </c>
      <c r="G143" s="74">
        <f t="shared" si="56"/>
        <v>46000</v>
      </c>
      <c r="H143" s="74">
        <f t="shared" si="56"/>
        <v>36800</v>
      </c>
      <c r="I143" s="74">
        <f t="shared" si="56"/>
        <v>32000</v>
      </c>
      <c r="J143" s="74">
        <f t="shared" si="56"/>
        <v>40000</v>
      </c>
      <c r="K143" s="74">
        <f t="shared" si="56"/>
        <v>52000</v>
      </c>
      <c r="L143" s="74">
        <f t="shared" si="56"/>
        <v>64000</v>
      </c>
      <c r="M143" s="57" t="str">
        <f t="shared" ref="M143:M157" ca="1" si="57">_xlfn.FORMULATEXT(L143)</f>
        <v>=L42</v>
      </c>
    </row>
    <row r="144" spans="2:13">
      <c r="B144" s="88" t="s">
        <v>296</v>
      </c>
      <c r="C144" s="57">
        <f t="shared" si="54"/>
        <v>110400</v>
      </c>
      <c r="D144" s="74">
        <f>D55</f>
        <v>149040</v>
      </c>
      <c r="E144" s="74">
        <f t="shared" ref="E144:L144" si="58">E55</f>
        <v>123280</v>
      </c>
      <c r="F144" s="74">
        <f t="shared" si="58"/>
        <v>110400</v>
      </c>
      <c r="G144" s="74">
        <f t="shared" si="58"/>
        <v>97520</v>
      </c>
      <c r="H144" s="74">
        <f t="shared" si="58"/>
        <v>90800</v>
      </c>
      <c r="I144" s="74">
        <f t="shared" si="58"/>
        <v>102000</v>
      </c>
      <c r="J144" s="74">
        <f t="shared" si="58"/>
        <v>118800</v>
      </c>
      <c r="K144" s="74">
        <f t="shared" si="58"/>
        <v>135600</v>
      </c>
      <c r="L144" s="74">
        <f t="shared" si="58"/>
        <v>102000</v>
      </c>
      <c r="M144" s="57" t="str">
        <f t="shared" ca="1" si="57"/>
        <v>=L55</v>
      </c>
    </row>
    <row r="145" spans="2:13" ht="19">
      <c r="B145" s="142" t="s">
        <v>441</v>
      </c>
      <c r="C145" s="65">
        <f t="shared" si="54"/>
        <v>4140</v>
      </c>
      <c r="D145" s="75">
        <f>C145+D127</f>
        <v>3680</v>
      </c>
      <c r="E145" s="75">
        <f>D145+E127</f>
        <v>3220</v>
      </c>
      <c r="F145" s="75">
        <f t="shared" ref="F145:L145" si="59">E145+F127</f>
        <v>2760</v>
      </c>
      <c r="G145" s="75">
        <f t="shared" si="59"/>
        <v>2300</v>
      </c>
      <c r="H145" s="75">
        <f t="shared" si="59"/>
        <v>1840</v>
      </c>
      <c r="I145" s="75">
        <f t="shared" si="59"/>
        <v>1380</v>
      </c>
      <c r="J145" s="75">
        <f t="shared" si="59"/>
        <v>920</v>
      </c>
      <c r="K145" s="75">
        <f t="shared" si="59"/>
        <v>460</v>
      </c>
      <c r="L145" s="75">
        <f t="shared" si="59"/>
        <v>0</v>
      </c>
      <c r="M145" s="57" t="str">
        <f t="shared" ca="1" si="57"/>
        <v>=K145+L127</v>
      </c>
    </row>
    <row r="146" spans="2:13">
      <c r="B146" s="88" t="s">
        <v>297</v>
      </c>
      <c r="C146" s="57">
        <f t="shared" si="54"/>
        <v>174340</v>
      </c>
      <c r="D146" s="74">
        <f>SUM(D142:D145)</f>
        <v>221720</v>
      </c>
      <c r="E146" s="74">
        <f t="shared" ref="E146:L146" si="60">SUM(E142:E145)</f>
        <v>223100</v>
      </c>
      <c r="F146" s="74">
        <f t="shared" si="60"/>
        <v>191360</v>
      </c>
      <c r="G146" s="74">
        <f t="shared" si="60"/>
        <v>175307.03984437499</v>
      </c>
      <c r="H146" s="74">
        <f t="shared" si="60"/>
        <v>167002.03984437499</v>
      </c>
      <c r="I146" s="74">
        <f t="shared" si="60"/>
        <v>168052.03984437499</v>
      </c>
      <c r="J146" s="74">
        <f t="shared" si="60"/>
        <v>182720</v>
      </c>
      <c r="K146" s="74">
        <f t="shared" si="60"/>
        <v>211060</v>
      </c>
      <c r="L146" s="74">
        <f t="shared" si="60"/>
        <v>189000</v>
      </c>
      <c r="M146" s="57" t="str">
        <f t="shared" ca="1" si="57"/>
        <v>=SUM(L142:L145)</v>
      </c>
    </row>
    <row r="147" spans="2:13">
      <c r="B147" s="88" t="s">
        <v>298</v>
      </c>
      <c r="C147" s="57">
        <f t="shared" si="54"/>
        <v>85100</v>
      </c>
      <c r="D147" s="74">
        <f>C147+D100</f>
        <v>92000</v>
      </c>
      <c r="E147" s="74">
        <f t="shared" ref="E147:L147" si="61">D147+E100</f>
        <v>92000</v>
      </c>
      <c r="F147" s="74">
        <f t="shared" si="61"/>
        <v>92000</v>
      </c>
      <c r="G147" s="74">
        <f t="shared" si="61"/>
        <v>92000</v>
      </c>
      <c r="H147" s="74">
        <f t="shared" si="61"/>
        <v>92000</v>
      </c>
      <c r="I147" s="74">
        <f t="shared" si="61"/>
        <v>92000</v>
      </c>
      <c r="J147" s="74">
        <f t="shared" si="61"/>
        <v>92000</v>
      </c>
      <c r="K147" s="74">
        <f t="shared" si="61"/>
        <v>92000</v>
      </c>
      <c r="L147" s="74">
        <f t="shared" si="61"/>
        <v>92000</v>
      </c>
      <c r="M147" s="57" t="str">
        <f t="shared" ca="1" si="57"/>
        <v>=K147+L100</v>
      </c>
    </row>
    <row r="148" spans="2:13" ht="19">
      <c r="B148" s="89" t="s">
        <v>299</v>
      </c>
      <c r="C148" s="65">
        <f t="shared" si="54"/>
        <v>-29440</v>
      </c>
      <c r="D148" s="75">
        <f>C148+D128</f>
        <v>-30590</v>
      </c>
      <c r="E148" s="75">
        <f t="shared" ref="E148:L148" si="62">D148+E128</f>
        <v>-31740</v>
      </c>
      <c r="F148" s="75">
        <f t="shared" si="62"/>
        <v>-32890</v>
      </c>
      <c r="G148" s="75">
        <f t="shared" si="62"/>
        <v>-34040</v>
      </c>
      <c r="H148" s="75">
        <f t="shared" si="62"/>
        <v>-35190</v>
      </c>
      <c r="I148" s="75">
        <f t="shared" si="62"/>
        <v>-36340</v>
      </c>
      <c r="J148" s="75">
        <f t="shared" si="62"/>
        <v>-37490</v>
      </c>
      <c r="K148" s="75">
        <f t="shared" si="62"/>
        <v>-38640</v>
      </c>
      <c r="L148" s="75">
        <f t="shared" si="62"/>
        <v>-39790</v>
      </c>
      <c r="M148" s="57" t="str">
        <f t="shared" ca="1" si="57"/>
        <v>=K148+L128</v>
      </c>
    </row>
    <row r="149" spans="2:13" ht="19">
      <c r="B149" s="89" t="s">
        <v>300</v>
      </c>
      <c r="C149" s="65">
        <f t="shared" si="54"/>
        <v>55660</v>
      </c>
      <c r="D149" s="75">
        <f>D147+D148</f>
        <v>61410</v>
      </c>
      <c r="E149" s="75">
        <f t="shared" ref="E149:L149" si="63">E147+E148</f>
        <v>60260</v>
      </c>
      <c r="F149" s="75">
        <f t="shared" si="63"/>
        <v>59110</v>
      </c>
      <c r="G149" s="75">
        <f t="shared" si="63"/>
        <v>57960</v>
      </c>
      <c r="H149" s="75">
        <f t="shared" si="63"/>
        <v>56810</v>
      </c>
      <c r="I149" s="75">
        <f t="shared" si="63"/>
        <v>55660</v>
      </c>
      <c r="J149" s="75">
        <f t="shared" si="63"/>
        <v>54510</v>
      </c>
      <c r="K149" s="75">
        <f t="shared" si="63"/>
        <v>53360</v>
      </c>
      <c r="L149" s="75">
        <f t="shared" si="63"/>
        <v>52210</v>
      </c>
      <c r="M149" s="57" t="str">
        <f t="shared" ca="1" si="57"/>
        <v>=L147+L148</v>
      </c>
    </row>
    <row r="150" spans="2:13">
      <c r="B150" s="90" t="s">
        <v>301</v>
      </c>
      <c r="C150" s="57">
        <f t="shared" si="54"/>
        <v>230000</v>
      </c>
      <c r="D150" s="74">
        <f>D146+D149</f>
        <v>283130</v>
      </c>
      <c r="E150" s="74">
        <f t="shared" ref="E150:J150" si="64">E146+E149</f>
        <v>283360</v>
      </c>
      <c r="F150" s="74">
        <f t="shared" si="64"/>
        <v>250470</v>
      </c>
      <c r="G150" s="74">
        <f t="shared" si="64"/>
        <v>233267.03984437499</v>
      </c>
      <c r="H150" s="74">
        <f t="shared" si="64"/>
        <v>223812.03984437499</v>
      </c>
      <c r="I150" s="74">
        <f t="shared" si="64"/>
        <v>223712.03984437499</v>
      </c>
      <c r="J150" s="74">
        <f t="shared" si="64"/>
        <v>237230</v>
      </c>
      <c r="K150" s="74">
        <f>K146+K149</f>
        <v>264420</v>
      </c>
      <c r="L150" s="74">
        <f t="shared" ref="L150" si="65">L146+L149</f>
        <v>241210</v>
      </c>
      <c r="M150" s="57" t="str">
        <f t="shared" ca="1" si="57"/>
        <v>=L146+L149</v>
      </c>
    </row>
    <row r="151" spans="2:13">
      <c r="B151" s="90" t="s">
        <v>302</v>
      </c>
      <c r="K151" s="57"/>
    </row>
    <row r="152" spans="2:13">
      <c r="B152" s="143" t="s">
        <v>435</v>
      </c>
      <c r="C152" s="57">
        <f>C25</f>
        <v>38640</v>
      </c>
      <c r="D152" s="74">
        <f>D58-D61</f>
        <v>59570</v>
      </c>
      <c r="E152" s="74">
        <f t="shared" ref="E152:L152" si="66">E58-E61</f>
        <v>51520</v>
      </c>
      <c r="F152" s="74">
        <f t="shared" si="66"/>
        <v>41860</v>
      </c>
      <c r="G152" s="74">
        <f t="shared" si="66"/>
        <v>33810</v>
      </c>
      <c r="H152" s="74">
        <f t="shared" si="66"/>
        <v>28840</v>
      </c>
      <c r="I152" s="74">
        <f t="shared" si="66"/>
        <v>33600</v>
      </c>
      <c r="J152" s="74">
        <f t="shared" si="66"/>
        <v>43400</v>
      </c>
      <c r="K152" s="74">
        <f t="shared" si="66"/>
        <v>53900</v>
      </c>
      <c r="L152" s="74">
        <f t="shared" si="66"/>
        <v>39200</v>
      </c>
      <c r="M152" s="57" t="str">
        <f t="shared" ca="1" si="57"/>
        <v>=L58-L61</v>
      </c>
    </row>
    <row r="153" spans="2:13">
      <c r="B153" s="143" t="s">
        <v>303</v>
      </c>
      <c r="C153" s="57">
        <f>C26</f>
        <v>9775</v>
      </c>
      <c r="D153" s="74">
        <f>D71-D74</f>
        <v>11500</v>
      </c>
      <c r="E153" s="74">
        <f t="shared" ref="E153:L153" si="67">E71-E74</f>
        <v>16675</v>
      </c>
      <c r="F153" s="74">
        <f t="shared" si="67"/>
        <v>13225</v>
      </c>
      <c r="G153" s="74">
        <f t="shared" si="67"/>
        <v>11500</v>
      </c>
      <c r="H153" s="74">
        <f t="shared" si="67"/>
        <v>9775</v>
      </c>
      <c r="I153" s="74">
        <f t="shared" si="67"/>
        <v>8875</v>
      </c>
      <c r="J153" s="74">
        <f t="shared" si="67"/>
        <v>10375</v>
      </c>
      <c r="K153" s="74">
        <f t="shared" si="67"/>
        <v>12625</v>
      </c>
      <c r="L153" s="74">
        <f t="shared" si="67"/>
        <v>14875</v>
      </c>
      <c r="M153" s="57" t="str">
        <f t="shared" ca="1" si="57"/>
        <v>=L71-L74</v>
      </c>
    </row>
    <row r="154" spans="2:13" ht="19">
      <c r="B154" s="144" t="s">
        <v>304</v>
      </c>
      <c r="C154" s="65">
        <v>0</v>
      </c>
      <c r="D154" s="75">
        <f>D108</f>
        <v>30935</v>
      </c>
      <c r="E154" s="75">
        <f t="shared" ref="E154:K154" si="68">E108</f>
        <v>28064.025000000001</v>
      </c>
      <c r="F154" s="75">
        <f t="shared" si="68"/>
        <v>6864.9853750000002</v>
      </c>
      <c r="G154" s="75">
        <f t="shared" si="68"/>
        <v>0</v>
      </c>
      <c r="H154" s="75">
        <f t="shared" si="68"/>
        <v>0</v>
      </c>
      <c r="I154" s="75">
        <f t="shared" si="68"/>
        <v>0</v>
      </c>
      <c r="J154" s="75">
        <f t="shared" si="68"/>
        <v>4177.9601556249982</v>
      </c>
      <c r="K154" s="75">
        <f t="shared" si="68"/>
        <v>17640.629557959372</v>
      </c>
      <c r="L154" s="75">
        <f>L108</f>
        <v>3105.2390013287622</v>
      </c>
      <c r="M154" s="57" t="str">
        <f t="shared" ca="1" si="57"/>
        <v>=L108</v>
      </c>
    </row>
    <row r="155" spans="2:13">
      <c r="B155" s="88" t="s">
        <v>305</v>
      </c>
      <c r="C155" s="57">
        <f>SUM(C152:C154)</f>
        <v>48415</v>
      </c>
      <c r="D155" s="74">
        <f>SUM(D152:D154)</f>
        <v>102005</v>
      </c>
      <c r="E155" s="74">
        <f t="shared" ref="E155:L155" si="69">SUM(E152:E154)</f>
        <v>96259.024999999994</v>
      </c>
      <c r="F155" s="74">
        <f t="shared" si="69"/>
        <v>61949.985375000004</v>
      </c>
      <c r="G155" s="74">
        <f t="shared" si="69"/>
        <v>45310</v>
      </c>
      <c r="H155" s="74">
        <f t="shared" si="69"/>
        <v>38615</v>
      </c>
      <c r="I155" s="74">
        <f t="shared" si="69"/>
        <v>42475</v>
      </c>
      <c r="J155" s="74">
        <f t="shared" si="69"/>
        <v>57952.960155624998</v>
      </c>
      <c r="K155" s="74">
        <f t="shared" si="69"/>
        <v>84165.629557959372</v>
      </c>
      <c r="L155" s="74">
        <f t="shared" si="69"/>
        <v>57180.239001328766</v>
      </c>
      <c r="M155" s="57" t="str">
        <f t="shared" ca="1" si="57"/>
        <v>=SUM(L152:L154)</v>
      </c>
    </row>
    <row r="156" spans="2:13" ht="19">
      <c r="B156" s="89" t="s">
        <v>306</v>
      </c>
      <c r="C156" s="65">
        <f>C28</f>
        <v>181585</v>
      </c>
      <c r="D156" s="75">
        <f t="shared" ref="D156:L156" si="70">C156+D132</f>
        <v>181125</v>
      </c>
      <c r="E156" s="75">
        <f t="shared" si="70"/>
        <v>187100.97500000001</v>
      </c>
      <c r="F156" s="75">
        <f t="shared" si="70"/>
        <v>188520.01462500001</v>
      </c>
      <c r="G156" s="75">
        <f t="shared" si="70"/>
        <v>187957.03984437502</v>
      </c>
      <c r="H156" s="75">
        <f t="shared" si="70"/>
        <v>185197.03984437502</v>
      </c>
      <c r="I156" s="75">
        <f t="shared" si="70"/>
        <v>181237.03984437502</v>
      </c>
      <c r="J156" s="75">
        <f t="shared" si="70"/>
        <v>179277.03984437502</v>
      </c>
      <c r="K156" s="75">
        <f t="shared" si="70"/>
        <v>180254.37044204064</v>
      </c>
      <c r="L156" s="75">
        <f t="shared" si="70"/>
        <v>184029.76099867126</v>
      </c>
      <c r="M156" s="57" t="str">
        <f t="shared" ca="1" si="57"/>
        <v>=K156+L132</v>
      </c>
    </row>
    <row r="157" spans="2:13">
      <c r="B157" s="90" t="s">
        <v>307</v>
      </c>
      <c r="C157" s="57">
        <f>C29</f>
        <v>230000</v>
      </c>
      <c r="D157" s="74">
        <f>D155+D156</f>
        <v>283130</v>
      </c>
      <c r="E157" s="74">
        <f t="shared" ref="E157:L157" si="71">E155+E156</f>
        <v>283360</v>
      </c>
      <c r="F157" s="74">
        <f t="shared" si="71"/>
        <v>250470</v>
      </c>
      <c r="G157" s="74">
        <f t="shared" si="71"/>
        <v>233267.03984437502</v>
      </c>
      <c r="H157" s="74">
        <f t="shared" si="71"/>
        <v>223812.03984437502</v>
      </c>
      <c r="I157" s="74">
        <f t="shared" si="71"/>
        <v>223712.03984437502</v>
      </c>
      <c r="J157" s="74">
        <f t="shared" si="71"/>
        <v>237230</v>
      </c>
      <c r="K157" s="74">
        <f t="shared" si="71"/>
        <v>264420</v>
      </c>
      <c r="L157" s="74">
        <f t="shared" si="71"/>
        <v>241210.00000000003</v>
      </c>
      <c r="M157" s="57" t="str">
        <f t="shared" ca="1" si="57"/>
        <v>=L155+L156</v>
      </c>
    </row>
    <row r="158" spans="2:13">
      <c r="B158" s="88"/>
    </row>
    <row r="159" spans="2:13" ht="20">
      <c r="B159" s="140" t="s">
        <v>402</v>
      </c>
    </row>
    <row r="160" spans="2:13">
      <c r="B160" s="88" t="s">
        <v>437</v>
      </c>
    </row>
    <row r="161" spans="2:12">
      <c r="B161" s="88" t="s">
        <v>308</v>
      </c>
    </row>
    <row r="162" spans="2:12">
      <c r="B162" s="88" t="s">
        <v>436</v>
      </c>
    </row>
    <row r="163" spans="2:12">
      <c r="B163" s="88"/>
    </row>
    <row r="164" spans="2:12" ht="18">
      <c r="B164" s="133" t="s">
        <v>309</v>
      </c>
      <c r="C164" s="72"/>
      <c r="D164" s="72" t="s">
        <v>32</v>
      </c>
      <c r="E164" s="72" t="s">
        <v>5</v>
      </c>
      <c r="F164" s="72" t="s">
        <v>6</v>
      </c>
      <c r="G164" s="72" t="s">
        <v>7</v>
      </c>
      <c r="H164" s="72" t="s">
        <v>8</v>
      </c>
      <c r="I164" s="72" t="s">
        <v>11</v>
      </c>
      <c r="J164" s="72" t="s">
        <v>231</v>
      </c>
      <c r="K164" s="72" t="s">
        <v>232</v>
      </c>
      <c r="L164" s="72" t="s">
        <v>233</v>
      </c>
    </row>
    <row r="165" spans="2:12">
      <c r="B165" s="91" t="s">
        <v>310</v>
      </c>
    </row>
    <row r="166" spans="2:12">
      <c r="B166" s="88" t="s">
        <v>311</v>
      </c>
      <c r="C166" s="57" t="str">
        <f ca="1">_xlfn.FORMULATEXT(D166)</f>
        <v>=D132</v>
      </c>
      <c r="D166" s="74">
        <f t="shared" ref="D166:L166" si="72">D132</f>
        <v>-460</v>
      </c>
      <c r="E166" s="74">
        <f t="shared" si="72"/>
        <v>5975.9750000000149</v>
      </c>
      <c r="F166" s="74">
        <f t="shared" si="72"/>
        <v>1419.0396249999999</v>
      </c>
      <c r="G166" s="74">
        <f t="shared" si="72"/>
        <v>-562.97478062499999</v>
      </c>
      <c r="H166" s="74">
        <f t="shared" si="72"/>
        <v>-2759.9999999999927</v>
      </c>
      <c r="I166" s="74">
        <f t="shared" si="72"/>
        <v>-3960</v>
      </c>
      <c r="J166" s="74">
        <f t="shared" si="72"/>
        <v>-1960</v>
      </c>
      <c r="K166" s="74">
        <f t="shared" si="72"/>
        <v>977.33059766562508</v>
      </c>
      <c r="L166" s="74">
        <f t="shared" si="72"/>
        <v>3775.3905566306094</v>
      </c>
    </row>
    <row r="167" spans="2:12">
      <c r="B167" s="88" t="s">
        <v>312</v>
      </c>
      <c r="C167" s="57" t="str">
        <f t="shared" ref="C167:C183" ca="1" si="73">_xlfn.FORMULATEXT(D167)</f>
        <v>=-D128</v>
      </c>
      <c r="D167" s="74">
        <f t="shared" ref="D167:L167" si="74">-D128</f>
        <v>1150</v>
      </c>
      <c r="E167" s="74">
        <f t="shared" si="74"/>
        <v>1150</v>
      </c>
      <c r="F167" s="74">
        <f t="shared" si="74"/>
        <v>1150</v>
      </c>
      <c r="G167" s="74">
        <f t="shared" si="74"/>
        <v>1150</v>
      </c>
      <c r="H167" s="74">
        <f t="shared" si="74"/>
        <v>1150</v>
      </c>
      <c r="I167" s="74">
        <f t="shared" si="74"/>
        <v>1150</v>
      </c>
      <c r="J167" s="74">
        <f t="shared" si="74"/>
        <v>1150</v>
      </c>
      <c r="K167" s="74">
        <f t="shared" si="74"/>
        <v>1150</v>
      </c>
      <c r="L167" s="74">
        <f t="shared" si="74"/>
        <v>1150</v>
      </c>
    </row>
    <row r="168" spans="2:12">
      <c r="B168" s="88" t="s">
        <v>313</v>
      </c>
      <c r="C168" s="57" t="str">
        <f t="shared" ca="1" si="73"/>
        <v>=C143-D143</v>
      </c>
      <c r="D168" s="74">
        <f>C143-D143</f>
        <v>-9200</v>
      </c>
      <c r="E168" s="74">
        <f t="shared" ref="E168:L170" si="75">D143-E143</f>
        <v>-27600</v>
      </c>
      <c r="F168" s="74">
        <f t="shared" si="75"/>
        <v>18400</v>
      </c>
      <c r="G168" s="74">
        <f t="shared" si="75"/>
        <v>9200</v>
      </c>
      <c r="H168" s="74">
        <f t="shared" si="75"/>
        <v>9200</v>
      </c>
      <c r="I168" s="74">
        <f t="shared" si="75"/>
        <v>4800</v>
      </c>
      <c r="J168" s="74">
        <f t="shared" si="75"/>
        <v>-8000</v>
      </c>
      <c r="K168" s="74">
        <f t="shared" si="75"/>
        <v>-12000</v>
      </c>
      <c r="L168" s="74">
        <f t="shared" si="75"/>
        <v>-12000</v>
      </c>
    </row>
    <row r="169" spans="2:12">
      <c r="B169" s="88" t="s">
        <v>314</v>
      </c>
      <c r="C169" s="57" t="str">
        <f t="shared" ca="1" si="73"/>
        <v>=C144-D144</v>
      </c>
      <c r="D169" s="74">
        <f>C144-D144</f>
        <v>-38640</v>
      </c>
      <c r="E169" s="74">
        <f t="shared" si="75"/>
        <v>25760</v>
      </c>
      <c r="F169" s="74">
        <f t="shared" si="75"/>
        <v>12880</v>
      </c>
      <c r="G169" s="74">
        <f t="shared" si="75"/>
        <v>12880</v>
      </c>
      <c r="H169" s="74">
        <f t="shared" si="75"/>
        <v>6720</v>
      </c>
      <c r="I169" s="74">
        <f t="shared" si="75"/>
        <v>-11200</v>
      </c>
      <c r="J169" s="74">
        <f t="shared" si="75"/>
        <v>-16800</v>
      </c>
      <c r="K169" s="74">
        <f t="shared" si="75"/>
        <v>-16800</v>
      </c>
      <c r="L169" s="74">
        <f t="shared" si="75"/>
        <v>33600</v>
      </c>
    </row>
    <row r="170" spans="2:12">
      <c r="B170" s="88" t="s">
        <v>315</v>
      </c>
      <c r="C170" s="57" t="str">
        <f t="shared" ca="1" si="73"/>
        <v>=C145-D145</v>
      </c>
      <c r="D170" s="74">
        <f>C145-D145</f>
        <v>460</v>
      </c>
      <c r="E170" s="74">
        <f t="shared" si="75"/>
        <v>460</v>
      </c>
      <c r="F170" s="74">
        <f t="shared" si="75"/>
        <v>460</v>
      </c>
      <c r="G170" s="74">
        <f t="shared" si="75"/>
        <v>460</v>
      </c>
      <c r="H170" s="74">
        <f t="shared" si="75"/>
        <v>460</v>
      </c>
      <c r="I170" s="74">
        <f t="shared" si="75"/>
        <v>460</v>
      </c>
      <c r="J170" s="74">
        <f t="shared" si="75"/>
        <v>460</v>
      </c>
      <c r="K170" s="74">
        <f t="shared" si="75"/>
        <v>460</v>
      </c>
      <c r="L170" s="74">
        <f t="shared" si="75"/>
        <v>460</v>
      </c>
    </row>
    <row r="171" spans="2:12">
      <c r="B171" s="88" t="s">
        <v>316</v>
      </c>
      <c r="C171" s="57" t="str">
        <f t="shared" ca="1" si="73"/>
        <v>=D152-C152</v>
      </c>
      <c r="D171" s="74">
        <f t="shared" ref="D171:L172" si="76">D152-C152</f>
        <v>20930</v>
      </c>
      <c r="E171" s="74">
        <f t="shared" si="76"/>
        <v>-8050</v>
      </c>
      <c r="F171" s="74">
        <f t="shared" si="76"/>
        <v>-9660</v>
      </c>
      <c r="G171" s="74">
        <f t="shared" si="76"/>
        <v>-8050</v>
      </c>
      <c r="H171" s="74">
        <f t="shared" si="76"/>
        <v>-4970</v>
      </c>
      <c r="I171" s="74">
        <f t="shared" si="76"/>
        <v>4760</v>
      </c>
      <c r="J171" s="74">
        <f t="shared" si="76"/>
        <v>9800</v>
      </c>
      <c r="K171" s="74">
        <f t="shared" si="76"/>
        <v>10500</v>
      </c>
      <c r="L171" s="74">
        <f t="shared" si="76"/>
        <v>-14700</v>
      </c>
    </row>
    <row r="172" spans="2:12" ht="19">
      <c r="B172" s="89" t="s">
        <v>317</v>
      </c>
      <c r="C172" s="57" t="str">
        <f t="shared" ca="1" si="73"/>
        <v>=D153-C153</v>
      </c>
      <c r="D172" s="75">
        <f t="shared" si="76"/>
        <v>1725</v>
      </c>
      <c r="E172" s="75">
        <f t="shared" si="76"/>
        <v>5175</v>
      </c>
      <c r="F172" s="75">
        <f t="shared" si="76"/>
        <v>-3450</v>
      </c>
      <c r="G172" s="75">
        <f t="shared" si="76"/>
        <v>-1725</v>
      </c>
      <c r="H172" s="75">
        <f t="shared" si="76"/>
        <v>-1725</v>
      </c>
      <c r="I172" s="75">
        <f t="shared" si="76"/>
        <v>-900</v>
      </c>
      <c r="J172" s="75">
        <f t="shared" si="76"/>
        <v>1500</v>
      </c>
      <c r="K172" s="75">
        <f t="shared" si="76"/>
        <v>2250</v>
      </c>
      <c r="L172" s="75">
        <f t="shared" si="76"/>
        <v>2250</v>
      </c>
    </row>
    <row r="173" spans="2:12">
      <c r="B173" s="90" t="s">
        <v>318</v>
      </c>
      <c r="C173" s="57" t="str">
        <f t="shared" ca="1" si="73"/>
        <v>=SUM(D166:D172)</v>
      </c>
      <c r="D173" s="74">
        <f>SUM(D166:D172)</f>
        <v>-24035</v>
      </c>
      <c r="E173" s="74">
        <f t="shared" ref="E173:L173" si="77">SUM(E166:E172)</f>
        <v>2870.9750000000131</v>
      </c>
      <c r="F173" s="74">
        <f t="shared" si="77"/>
        <v>21199.039625000005</v>
      </c>
      <c r="G173" s="74">
        <f t="shared" si="77"/>
        <v>13352.025219374998</v>
      </c>
      <c r="H173" s="74">
        <f t="shared" si="77"/>
        <v>8075.0000000000073</v>
      </c>
      <c r="I173" s="74">
        <f t="shared" si="77"/>
        <v>-4890</v>
      </c>
      <c r="J173" s="74">
        <f t="shared" si="77"/>
        <v>-13850</v>
      </c>
      <c r="K173" s="74">
        <f t="shared" si="77"/>
        <v>-13462.669402334373</v>
      </c>
      <c r="L173" s="74">
        <f t="shared" si="77"/>
        <v>14535.390556630609</v>
      </c>
    </row>
    <row r="174" spans="2:12">
      <c r="B174" s="91" t="s">
        <v>319</v>
      </c>
      <c r="K174" s="57"/>
    </row>
    <row r="175" spans="2:12" ht="19">
      <c r="B175" s="89" t="s">
        <v>320</v>
      </c>
      <c r="C175" s="57" t="str">
        <f t="shared" ca="1" si="73"/>
        <v>=C147-D147</v>
      </c>
      <c r="D175" s="75">
        <f>C147-D147</f>
        <v>-6900</v>
      </c>
      <c r="E175" s="75">
        <f t="shared" ref="E175:L175" si="78">D147-E147</f>
        <v>0</v>
      </c>
      <c r="F175" s="75">
        <f t="shared" si="78"/>
        <v>0</v>
      </c>
      <c r="G175" s="75">
        <f t="shared" si="78"/>
        <v>0</v>
      </c>
      <c r="H175" s="75">
        <f t="shared" si="78"/>
        <v>0</v>
      </c>
      <c r="I175" s="75">
        <f t="shared" si="78"/>
        <v>0</v>
      </c>
      <c r="J175" s="75">
        <f t="shared" si="78"/>
        <v>0</v>
      </c>
      <c r="K175" s="75">
        <f t="shared" si="78"/>
        <v>0</v>
      </c>
      <c r="L175" s="75">
        <f t="shared" si="78"/>
        <v>0</v>
      </c>
    </row>
    <row r="176" spans="2:12">
      <c r="B176" s="90" t="s">
        <v>321</v>
      </c>
      <c r="C176" s="57" t="str">
        <f t="shared" ca="1" si="73"/>
        <v>=D175</v>
      </c>
      <c r="D176" s="74">
        <f>D175</f>
        <v>-6900</v>
      </c>
      <c r="E176" s="74">
        <f t="shared" ref="E176:L176" si="79">E175</f>
        <v>0</v>
      </c>
      <c r="F176" s="74">
        <f t="shared" si="79"/>
        <v>0</v>
      </c>
      <c r="G176" s="74">
        <f t="shared" si="79"/>
        <v>0</v>
      </c>
      <c r="H176" s="74">
        <f t="shared" si="79"/>
        <v>0</v>
      </c>
      <c r="I176" s="74">
        <f t="shared" si="79"/>
        <v>0</v>
      </c>
      <c r="J176" s="74">
        <f t="shared" si="79"/>
        <v>0</v>
      </c>
      <c r="K176" s="74">
        <f t="shared" si="79"/>
        <v>0</v>
      </c>
      <c r="L176" s="74">
        <f t="shared" si="79"/>
        <v>0</v>
      </c>
    </row>
    <row r="177" spans="2:12">
      <c r="B177" s="91" t="s">
        <v>322</v>
      </c>
      <c r="K177" s="57"/>
    </row>
    <row r="178" spans="2:12" ht="19">
      <c r="B178" s="92" t="s">
        <v>323</v>
      </c>
      <c r="C178" s="57" t="str">
        <f t="shared" ca="1" si="73"/>
        <v>=D154-C154</v>
      </c>
      <c r="D178" s="75">
        <f>D154-C154</f>
        <v>30935</v>
      </c>
      <c r="E178" s="75">
        <f t="shared" ref="E178:L178" si="80">E154-D154</f>
        <v>-2870.9749999999985</v>
      </c>
      <c r="F178" s="75">
        <f t="shared" si="80"/>
        <v>-21199.039625000001</v>
      </c>
      <c r="G178" s="75">
        <f t="shared" si="80"/>
        <v>-6864.9853750000002</v>
      </c>
      <c r="H178" s="75">
        <f t="shared" si="80"/>
        <v>0</v>
      </c>
      <c r="I178" s="75">
        <f t="shared" si="80"/>
        <v>0</v>
      </c>
      <c r="J178" s="75">
        <f t="shared" si="80"/>
        <v>4177.9601556249982</v>
      </c>
      <c r="K178" s="75">
        <f t="shared" si="80"/>
        <v>13462.669402334373</v>
      </c>
      <c r="L178" s="75">
        <f t="shared" si="80"/>
        <v>-14535.390556630609</v>
      </c>
    </row>
    <row r="179" spans="2:12">
      <c r="B179" s="90" t="s">
        <v>324</v>
      </c>
      <c r="C179" s="57" t="str">
        <f t="shared" ca="1" si="73"/>
        <v>=D178</v>
      </c>
      <c r="D179" s="74">
        <f>D178</f>
        <v>30935</v>
      </c>
      <c r="E179" s="74">
        <f t="shared" ref="E179:L179" si="81">E178</f>
        <v>-2870.9749999999985</v>
      </c>
      <c r="F179" s="74">
        <f t="shared" si="81"/>
        <v>-21199.039625000001</v>
      </c>
      <c r="G179" s="74">
        <f t="shared" si="81"/>
        <v>-6864.9853750000002</v>
      </c>
      <c r="H179" s="74">
        <f t="shared" si="81"/>
        <v>0</v>
      </c>
      <c r="I179" s="74">
        <f t="shared" si="81"/>
        <v>0</v>
      </c>
      <c r="J179" s="74">
        <f t="shared" si="81"/>
        <v>4177.9601556249982</v>
      </c>
      <c r="K179" s="74">
        <f t="shared" si="81"/>
        <v>13462.669402334373</v>
      </c>
      <c r="L179" s="74">
        <f t="shared" si="81"/>
        <v>-14535.390556630609</v>
      </c>
    </row>
    <row r="180" spans="2:12">
      <c r="B180" s="88"/>
      <c r="K180" s="57"/>
    </row>
    <row r="181" spans="2:12">
      <c r="B181" s="90" t="s">
        <v>325</v>
      </c>
      <c r="C181" s="57" t="str">
        <f t="shared" ca="1" si="73"/>
        <v>=D173+D176+D179</v>
      </c>
      <c r="D181" s="74">
        <f>D173+D176+D179</f>
        <v>0</v>
      </c>
      <c r="E181" s="74">
        <f>E173+E176+E179</f>
        <v>1.4551915228366852E-11</v>
      </c>
      <c r="F181" s="74">
        <f t="shared" ref="F181:L181" si="82">F173+F176+F179</f>
        <v>0</v>
      </c>
      <c r="G181" s="74">
        <f t="shared" si="82"/>
        <v>6487.0398443749982</v>
      </c>
      <c r="H181" s="74">
        <f t="shared" si="82"/>
        <v>8075.0000000000073</v>
      </c>
      <c r="I181" s="74">
        <f t="shared" si="82"/>
        <v>-4890</v>
      </c>
      <c r="J181" s="74">
        <f t="shared" si="82"/>
        <v>-9672.0398443750018</v>
      </c>
      <c r="K181" s="74">
        <f t="shared" si="82"/>
        <v>0</v>
      </c>
      <c r="L181" s="74">
        <f t="shared" si="82"/>
        <v>0</v>
      </c>
    </row>
    <row r="182" spans="2:12" ht="19">
      <c r="B182" s="93" t="s">
        <v>326</v>
      </c>
      <c r="C182" s="57" t="str">
        <f t="shared" ca="1" si="73"/>
        <v>=C142</v>
      </c>
      <c r="D182" s="75">
        <f t="shared" ref="D182:L182" si="83">C142</f>
        <v>23000</v>
      </c>
      <c r="E182" s="75">
        <f t="shared" si="83"/>
        <v>23000</v>
      </c>
      <c r="F182" s="75">
        <f t="shared" si="83"/>
        <v>23000</v>
      </c>
      <c r="G182" s="75">
        <f t="shared" si="83"/>
        <v>23000</v>
      </c>
      <c r="H182" s="75">
        <f t="shared" si="83"/>
        <v>29487.039844375002</v>
      </c>
      <c r="I182" s="75">
        <f t="shared" si="83"/>
        <v>37562.039844375002</v>
      </c>
      <c r="J182" s="75">
        <f t="shared" si="83"/>
        <v>32672.039844375002</v>
      </c>
      <c r="K182" s="75">
        <f t="shared" si="83"/>
        <v>23000</v>
      </c>
      <c r="L182" s="75">
        <f t="shared" si="83"/>
        <v>23000</v>
      </c>
    </row>
    <row r="183" spans="2:12">
      <c r="B183" s="90" t="s">
        <v>327</v>
      </c>
      <c r="C183" s="57" t="str">
        <f t="shared" ca="1" si="73"/>
        <v>=D181+D182</v>
      </c>
      <c r="D183" s="74">
        <f>D181+D182</f>
        <v>23000</v>
      </c>
      <c r="E183" s="74">
        <f t="shared" ref="E183:K183" si="84">E181+E182</f>
        <v>23000.000000000015</v>
      </c>
      <c r="F183" s="74">
        <f t="shared" si="84"/>
        <v>23000</v>
      </c>
      <c r="G183" s="74">
        <f t="shared" si="84"/>
        <v>29487.039844374998</v>
      </c>
      <c r="H183" s="74">
        <f t="shared" si="84"/>
        <v>37562.039844375009</v>
      </c>
      <c r="I183" s="74">
        <f t="shared" si="84"/>
        <v>32672.039844375002</v>
      </c>
      <c r="J183" s="74">
        <f t="shared" si="84"/>
        <v>23000</v>
      </c>
      <c r="K183" s="74">
        <f t="shared" si="84"/>
        <v>23000</v>
      </c>
      <c r="L183" s="74">
        <f>L181+L182</f>
        <v>23000</v>
      </c>
    </row>
  </sheetData>
  <pageMargins left="0.7" right="0.7" top="0.75" bottom="0.75" header="0.3" footer="0.3"/>
  <pageSetup scale="62" fitToHeight="4"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3081-0E98-E746-90CB-34A48DE78EE5}">
  <sheetPr>
    <pageSetUpPr fitToPage="1"/>
  </sheetPr>
  <dimension ref="B2:V114"/>
  <sheetViews>
    <sheetView showGridLines="0" topLeftCell="A78" workbookViewId="0">
      <selection activeCell="C9" sqref="C9"/>
    </sheetView>
  </sheetViews>
  <sheetFormatPr baseColWidth="10" defaultColWidth="8.83203125" defaultRowHeight="16"/>
  <cols>
    <col min="1" max="1" width="2.5" style="96" customWidth="1"/>
    <col min="2" max="2" width="45.6640625" style="96" customWidth="1"/>
    <col min="3" max="14" width="10.83203125" style="96" customWidth="1"/>
    <col min="15" max="15" width="12.83203125" style="96" customWidth="1"/>
    <col min="16" max="16" width="10.6640625" style="96" customWidth="1"/>
    <col min="17" max="17" width="4.6640625" style="96" customWidth="1"/>
    <col min="18" max="18" width="9.6640625" style="96" customWidth="1"/>
    <col min="19" max="19" width="7.6640625" style="96" customWidth="1"/>
    <col min="20" max="22" width="5.6640625" style="96" customWidth="1"/>
    <col min="23" max="265" width="8.83203125" style="96"/>
    <col min="266" max="266" width="30.6640625" style="96" customWidth="1"/>
    <col min="267" max="272" width="10.6640625" style="96" customWidth="1"/>
    <col min="273" max="273" width="4.6640625" style="96" customWidth="1"/>
    <col min="274" max="274" width="9.6640625" style="96" customWidth="1"/>
    <col min="275" max="275" width="7.6640625" style="96" customWidth="1"/>
    <col min="276" max="278" width="5.6640625" style="96" customWidth="1"/>
    <col min="279" max="521" width="8.83203125" style="96"/>
    <col min="522" max="522" width="30.6640625" style="96" customWidth="1"/>
    <col min="523" max="528" width="10.6640625" style="96" customWidth="1"/>
    <col min="529" max="529" width="4.6640625" style="96" customWidth="1"/>
    <col min="530" max="530" width="9.6640625" style="96" customWidth="1"/>
    <col min="531" max="531" width="7.6640625" style="96" customWidth="1"/>
    <col min="532" max="534" width="5.6640625" style="96" customWidth="1"/>
    <col min="535" max="777" width="8.83203125" style="96"/>
    <col min="778" max="778" width="30.6640625" style="96" customWidth="1"/>
    <col min="779" max="784" width="10.6640625" style="96" customWidth="1"/>
    <col min="785" max="785" width="4.6640625" style="96" customWidth="1"/>
    <col min="786" max="786" width="9.6640625" style="96" customWidth="1"/>
    <col min="787" max="787" width="7.6640625" style="96" customWidth="1"/>
    <col min="788" max="790" width="5.6640625" style="96" customWidth="1"/>
    <col min="791" max="1033" width="8.83203125" style="96"/>
    <col min="1034" max="1034" width="30.6640625" style="96" customWidth="1"/>
    <col min="1035" max="1040" width="10.6640625" style="96" customWidth="1"/>
    <col min="1041" max="1041" width="4.6640625" style="96" customWidth="1"/>
    <col min="1042" max="1042" width="9.6640625" style="96" customWidth="1"/>
    <col min="1043" max="1043" width="7.6640625" style="96" customWidth="1"/>
    <col min="1044" max="1046" width="5.6640625" style="96" customWidth="1"/>
    <col min="1047" max="1289" width="8.83203125" style="96"/>
    <col min="1290" max="1290" width="30.6640625" style="96" customWidth="1"/>
    <col min="1291" max="1296" width="10.6640625" style="96" customWidth="1"/>
    <col min="1297" max="1297" width="4.6640625" style="96" customWidth="1"/>
    <col min="1298" max="1298" width="9.6640625" style="96" customWidth="1"/>
    <col min="1299" max="1299" width="7.6640625" style="96" customWidth="1"/>
    <col min="1300" max="1302" width="5.6640625" style="96" customWidth="1"/>
    <col min="1303" max="1545" width="8.83203125" style="96"/>
    <col min="1546" max="1546" width="30.6640625" style="96" customWidth="1"/>
    <col min="1547" max="1552" width="10.6640625" style="96" customWidth="1"/>
    <col min="1553" max="1553" width="4.6640625" style="96" customWidth="1"/>
    <col min="1554" max="1554" width="9.6640625" style="96" customWidth="1"/>
    <col min="1555" max="1555" width="7.6640625" style="96" customWidth="1"/>
    <col min="1556" max="1558" width="5.6640625" style="96" customWidth="1"/>
    <col min="1559" max="1801" width="8.83203125" style="96"/>
    <col min="1802" max="1802" width="30.6640625" style="96" customWidth="1"/>
    <col min="1803" max="1808" width="10.6640625" style="96" customWidth="1"/>
    <col min="1809" max="1809" width="4.6640625" style="96" customWidth="1"/>
    <col min="1810" max="1810" width="9.6640625" style="96" customWidth="1"/>
    <col min="1811" max="1811" width="7.6640625" style="96" customWidth="1"/>
    <col min="1812" max="1814" width="5.6640625" style="96" customWidth="1"/>
    <col min="1815" max="2057" width="8.83203125" style="96"/>
    <col min="2058" max="2058" width="30.6640625" style="96" customWidth="1"/>
    <col min="2059" max="2064" width="10.6640625" style="96" customWidth="1"/>
    <col min="2065" max="2065" width="4.6640625" style="96" customWidth="1"/>
    <col min="2066" max="2066" width="9.6640625" style="96" customWidth="1"/>
    <col min="2067" max="2067" width="7.6640625" style="96" customWidth="1"/>
    <col min="2068" max="2070" width="5.6640625" style="96" customWidth="1"/>
    <col min="2071" max="2313" width="8.83203125" style="96"/>
    <col min="2314" max="2314" width="30.6640625" style="96" customWidth="1"/>
    <col min="2315" max="2320" width="10.6640625" style="96" customWidth="1"/>
    <col min="2321" max="2321" width="4.6640625" style="96" customWidth="1"/>
    <col min="2322" max="2322" width="9.6640625" style="96" customWidth="1"/>
    <col min="2323" max="2323" width="7.6640625" style="96" customWidth="1"/>
    <col min="2324" max="2326" width="5.6640625" style="96" customWidth="1"/>
    <col min="2327" max="2569" width="8.83203125" style="96"/>
    <col min="2570" max="2570" width="30.6640625" style="96" customWidth="1"/>
    <col min="2571" max="2576" width="10.6640625" style="96" customWidth="1"/>
    <col min="2577" max="2577" width="4.6640625" style="96" customWidth="1"/>
    <col min="2578" max="2578" width="9.6640625" style="96" customWidth="1"/>
    <col min="2579" max="2579" width="7.6640625" style="96" customWidth="1"/>
    <col min="2580" max="2582" width="5.6640625" style="96" customWidth="1"/>
    <col min="2583" max="2825" width="8.83203125" style="96"/>
    <col min="2826" max="2826" width="30.6640625" style="96" customWidth="1"/>
    <col min="2827" max="2832" width="10.6640625" style="96" customWidth="1"/>
    <col min="2833" max="2833" width="4.6640625" style="96" customWidth="1"/>
    <col min="2834" max="2834" width="9.6640625" style="96" customWidth="1"/>
    <col min="2835" max="2835" width="7.6640625" style="96" customWidth="1"/>
    <col min="2836" max="2838" width="5.6640625" style="96" customWidth="1"/>
    <col min="2839" max="3081" width="8.83203125" style="96"/>
    <col min="3082" max="3082" width="30.6640625" style="96" customWidth="1"/>
    <col min="3083" max="3088" width="10.6640625" style="96" customWidth="1"/>
    <col min="3089" max="3089" width="4.6640625" style="96" customWidth="1"/>
    <col min="3090" max="3090" width="9.6640625" style="96" customWidth="1"/>
    <col min="3091" max="3091" width="7.6640625" style="96" customWidth="1"/>
    <col min="3092" max="3094" width="5.6640625" style="96" customWidth="1"/>
    <col min="3095" max="3337" width="8.83203125" style="96"/>
    <col min="3338" max="3338" width="30.6640625" style="96" customWidth="1"/>
    <col min="3339" max="3344" width="10.6640625" style="96" customWidth="1"/>
    <col min="3345" max="3345" width="4.6640625" style="96" customWidth="1"/>
    <col min="3346" max="3346" width="9.6640625" style="96" customWidth="1"/>
    <col min="3347" max="3347" width="7.6640625" style="96" customWidth="1"/>
    <col min="3348" max="3350" width="5.6640625" style="96" customWidth="1"/>
    <col min="3351" max="3593" width="8.83203125" style="96"/>
    <col min="3594" max="3594" width="30.6640625" style="96" customWidth="1"/>
    <col min="3595" max="3600" width="10.6640625" style="96" customWidth="1"/>
    <col min="3601" max="3601" width="4.6640625" style="96" customWidth="1"/>
    <col min="3602" max="3602" width="9.6640625" style="96" customWidth="1"/>
    <col min="3603" max="3603" width="7.6640625" style="96" customWidth="1"/>
    <col min="3604" max="3606" width="5.6640625" style="96" customWidth="1"/>
    <col min="3607" max="3849" width="8.83203125" style="96"/>
    <col min="3850" max="3850" width="30.6640625" style="96" customWidth="1"/>
    <col min="3851" max="3856" width="10.6640625" style="96" customWidth="1"/>
    <col min="3857" max="3857" width="4.6640625" style="96" customWidth="1"/>
    <col min="3858" max="3858" width="9.6640625" style="96" customWidth="1"/>
    <col min="3859" max="3859" width="7.6640625" style="96" customWidth="1"/>
    <col min="3860" max="3862" width="5.6640625" style="96" customWidth="1"/>
    <col min="3863" max="4105" width="8.83203125" style="96"/>
    <col min="4106" max="4106" width="30.6640625" style="96" customWidth="1"/>
    <col min="4107" max="4112" width="10.6640625" style="96" customWidth="1"/>
    <col min="4113" max="4113" width="4.6640625" style="96" customWidth="1"/>
    <col min="4114" max="4114" width="9.6640625" style="96" customWidth="1"/>
    <col min="4115" max="4115" width="7.6640625" style="96" customWidth="1"/>
    <col min="4116" max="4118" width="5.6640625" style="96" customWidth="1"/>
    <col min="4119" max="4361" width="8.83203125" style="96"/>
    <col min="4362" max="4362" width="30.6640625" style="96" customWidth="1"/>
    <col min="4363" max="4368" width="10.6640625" style="96" customWidth="1"/>
    <col min="4369" max="4369" width="4.6640625" style="96" customWidth="1"/>
    <col min="4370" max="4370" width="9.6640625" style="96" customWidth="1"/>
    <col min="4371" max="4371" width="7.6640625" style="96" customWidth="1"/>
    <col min="4372" max="4374" width="5.6640625" style="96" customWidth="1"/>
    <col min="4375" max="4617" width="8.83203125" style="96"/>
    <col min="4618" max="4618" width="30.6640625" style="96" customWidth="1"/>
    <col min="4619" max="4624" width="10.6640625" style="96" customWidth="1"/>
    <col min="4625" max="4625" width="4.6640625" style="96" customWidth="1"/>
    <col min="4626" max="4626" width="9.6640625" style="96" customWidth="1"/>
    <col min="4627" max="4627" width="7.6640625" style="96" customWidth="1"/>
    <col min="4628" max="4630" width="5.6640625" style="96" customWidth="1"/>
    <col min="4631" max="4873" width="8.83203125" style="96"/>
    <col min="4874" max="4874" width="30.6640625" style="96" customWidth="1"/>
    <col min="4875" max="4880" width="10.6640625" style="96" customWidth="1"/>
    <col min="4881" max="4881" width="4.6640625" style="96" customWidth="1"/>
    <col min="4882" max="4882" width="9.6640625" style="96" customWidth="1"/>
    <col min="4883" max="4883" width="7.6640625" style="96" customWidth="1"/>
    <col min="4884" max="4886" width="5.6640625" style="96" customWidth="1"/>
    <col min="4887" max="5129" width="8.83203125" style="96"/>
    <col min="5130" max="5130" width="30.6640625" style="96" customWidth="1"/>
    <col min="5131" max="5136" width="10.6640625" style="96" customWidth="1"/>
    <col min="5137" max="5137" width="4.6640625" style="96" customWidth="1"/>
    <col min="5138" max="5138" width="9.6640625" style="96" customWidth="1"/>
    <col min="5139" max="5139" width="7.6640625" style="96" customWidth="1"/>
    <col min="5140" max="5142" width="5.6640625" style="96" customWidth="1"/>
    <col min="5143" max="5385" width="8.83203125" style="96"/>
    <col min="5386" max="5386" width="30.6640625" style="96" customWidth="1"/>
    <col min="5387" max="5392" width="10.6640625" style="96" customWidth="1"/>
    <col min="5393" max="5393" width="4.6640625" style="96" customWidth="1"/>
    <col min="5394" max="5394" width="9.6640625" style="96" customWidth="1"/>
    <col min="5395" max="5395" width="7.6640625" style="96" customWidth="1"/>
    <col min="5396" max="5398" width="5.6640625" style="96" customWidth="1"/>
    <col min="5399" max="5641" width="8.83203125" style="96"/>
    <col min="5642" max="5642" width="30.6640625" style="96" customWidth="1"/>
    <col min="5643" max="5648" width="10.6640625" style="96" customWidth="1"/>
    <col min="5649" max="5649" width="4.6640625" style="96" customWidth="1"/>
    <col min="5650" max="5650" width="9.6640625" style="96" customWidth="1"/>
    <col min="5651" max="5651" width="7.6640625" style="96" customWidth="1"/>
    <col min="5652" max="5654" width="5.6640625" style="96" customWidth="1"/>
    <col min="5655" max="5897" width="8.83203125" style="96"/>
    <col min="5898" max="5898" width="30.6640625" style="96" customWidth="1"/>
    <col min="5899" max="5904" width="10.6640625" style="96" customWidth="1"/>
    <col min="5905" max="5905" width="4.6640625" style="96" customWidth="1"/>
    <col min="5906" max="5906" width="9.6640625" style="96" customWidth="1"/>
    <col min="5907" max="5907" width="7.6640625" style="96" customWidth="1"/>
    <col min="5908" max="5910" width="5.6640625" style="96" customWidth="1"/>
    <col min="5911" max="6153" width="8.83203125" style="96"/>
    <col min="6154" max="6154" width="30.6640625" style="96" customWidth="1"/>
    <col min="6155" max="6160" width="10.6640625" style="96" customWidth="1"/>
    <col min="6161" max="6161" width="4.6640625" style="96" customWidth="1"/>
    <col min="6162" max="6162" width="9.6640625" style="96" customWidth="1"/>
    <col min="6163" max="6163" width="7.6640625" style="96" customWidth="1"/>
    <col min="6164" max="6166" width="5.6640625" style="96" customWidth="1"/>
    <col min="6167" max="6409" width="8.83203125" style="96"/>
    <col min="6410" max="6410" width="30.6640625" style="96" customWidth="1"/>
    <col min="6411" max="6416" width="10.6640625" style="96" customWidth="1"/>
    <col min="6417" max="6417" width="4.6640625" style="96" customWidth="1"/>
    <col min="6418" max="6418" width="9.6640625" style="96" customWidth="1"/>
    <col min="6419" max="6419" width="7.6640625" style="96" customWidth="1"/>
    <col min="6420" max="6422" width="5.6640625" style="96" customWidth="1"/>
    <col min="6423" max="6665" width="8.83203125" style="96"/>
    <col min="6666" max="6666" width="30.6640625" style="96" customWidth="1"/>
    <col min="6667" max="6672" width="10.6640625" style="96" customWidth="1"/>
    <col min="6673" max="6673" width="4.6640625" style="96" customWidth="1"/>
    <col min="6674" max="6674" width="9.6640625" style="96" customWidth="1"/>
    <col min="6675" max="6675" width="7.6640625" style="96" customWidth="1"/>
    <col min="6676" max="6678" width="5.6640625" style="96" customWidth="1"/>
    <col min="6679" max="6921" width="8.83203125" style="96"/>
    <col min="6922" max="6922" width="30.6640625" style="96" customWidth="1"/>
    <col min="6923" max="6928" width="10.6640625" style="96" customWidth="1"/>
    <col min="6929" max="6929" width="4.6640625" style="96" customWidth="1"/>
    <col min="6930" max="6930" width="9.6640625" style="96" customWidth="1"/>
    <col min="6931" max="6931" width="7.6640625" style="96" customWidth="1"/>
    <col min="6932" max="6934" width="5.6640625" style="96" customWidth="1"/>
    <col min="6935" max="7177" width="8.83203125" style="96"/>
    <col min="7178" max="7178" width="30.6640625" style="96" customWidth="1"/>
    <col min="7179" max="7184" width="10.6640625" style="96" customWidth="1"/>
    <col min="7185" max="7185" width="4.6640625" style="96" customWidth="1"/>
    <col min="7186" max="7186" width="9.6640625" style="96" customWidth="1"/>
    <col min="7187" max="7187" width="7.6640625" style="96" customWidth="1"/>
    <col min="7188" max="7190" width="5.6640625" style="96" customWidth="1"/>
    <col min="7191" max="7433" width="8.83203125" style="96"/>
    <col min="7434" max="7434" width="30.6640625" style="96" customWidth="1"/>
    <col min="7435" max="7440" width="10.6640625" style="96" customWidth="1"/>
    <col min="7441" max="7441" width="4.6640625" style="96" customWidth="1"/>
    <col min="7442" max="7442" width="9.6640625" style="96" customWidth="1"/>
    <col min="7443" max="7443" width="7.6640625" style="96" customWidth="1"/>
    <col min="7444" max="7446" width="5.6640625" style="96" customWidth="1"/>
    <col min="7447" max="7689" width="8.83203125" style="96"/>
    <col min="7690" max="7690" width="30.6640625" style="96" customWidth="1"/>
    <col min="7691" max="7696" width="10.6640625" style="96" customWidth="1"/>
    <col min="7697" max="7697" width="4.6640625" style="96" customWidth="1"/>
    <col min="7698" max="7698" width="9.6640625" style="96" customWidth="1"/>
    <col min="7699" max="7699" width="7.6640625" style="96" customWidth="1"/>
    <col min="7700" max="7702" width="5.6640625" style="96" customWidth="1"/>
    <col min="7703" max="7945" width="8.83203125" style="96"/>
    <col min="7946" max="7946" width="30.6640625" style="96" customWidth="1"/>
    <col min="7947" max="7952" width="10.6640625" style="96" customWidth="1"/>
    <col min="7953" max="7953" width="4.6640625" style="96" customWidth="1"/>
    <col min="7954" max="7954" width="9.6640625" style="96" customWidth="1"/>
    <col min="7955" max="7955" width="7.6640625" style="96" customWidth="1"/>
    <col min="7956" max="7958" width="5.6640625" style="96" customWidth="1"/>
    <col min="7959" max="8201" width="8.83203125" style="96"/>
    <col min="8202" max="8202" width="30.6640625" style="96" customWidth="1"/>
    <col min="8203" max="8208" width="10.6640625" style="96" customWidth="1"/>
    <col min="8209" max="8209" width="4.6640625" style="96" customWidth="1"/>
    <col min="8210" max="8210" width="9.6640625" style="96" customWidth="1"/>
    <col min="8211" max="8211" width="7.6640625" style="96" customWidth="1"/>
    <col min="8212" max="8214" width="5.6640625" style="96" customWidth="1"/>
    <col min="8215" max="8457" width="8.83203125" style="96"/>
    <col min="8458" max="8458" width="30.6640625" style="96" customWidth="1"/>
    <col min="8459" max="8464" width="10.6640625" style="96" customWidth="1"/>
    <col min="8465" max="8465" width="4.6640625" style="96" customWidth="1"/>
    <col min="8466" max="8466" width="9.6640625" style="96" customWidth="1"/>
    <col min="8467" max="8467" width="7.6640625" style="96" customWidth="1"/>
    <col min="8468" max="8470" width="5.6640625" style="96" customWidth="1"/>
    <col min="8471" max="8713" width="8.83203125" style="96"/>
    <col min="8714" max="8714" width="30.6640625" style="96" customWidth="1"/>
    <col min="8715" max="8720" width="10.6640625" style="96" customWidth="1"/>
    <col min="8721" max="8721" width="4.6640625" style="96" customWidth="1"/>
    <col min="8722" max="8722" width="9.6640625" style="96" customWidth="1"/>
    <col min="8723" max="8723" width="7.6640625" style="96" customWidth="1"/>
    <col min="8724" max="8726" width="5.6640625" style="96" customWidth="1"/>
    <col min="8727" max="8969" width="8.83203125" style="96"/>
    <col min="8970" max="8970" width="30.6640625" style="96" customWidth="1"/>
    <col min="8971" max="8976" width="10.6640625" style="96" customWidth="1"/>
    <col min="8977" max="8977" width="4.6640625" style="96" customWidth="1"/>
    <col min="8978" max="8978" width="9.6640625" style="96" customWidth="1"/>
    <col min="8979" max="8979" width="7.6640625" style="96" customWidth="1"/>
    <col min="8980" max="8982" width="5.6640625" style="96" customWidth="1"/>
    <col min="8983" max="9225" width="8.83203125" style="96"/>
    <col min="9226" max="9226" width="30.6640625" style="96" customWidth="1"/>
    <col min="9227" max="9232" width="10.6640625" style="96" customWidth="1"/>
    <col min="9233" max="9233" width="4.6640625" style="96" customWidth="1"/>
    <col min="9234" max="9234" width="9.6640625" style="96" customWidth="1"/>
    <col min="9235" max="9235" width="7.6640625" style="96" customWidth="1"/>
    <col min="9236" max="9238" width="5.6640625" style="96" customWidth="1"/>
    <col min="9239" max="9481" width="8.83203125" style="96"/>
    <col min="9482" max="9482" width="30.6640625" style="96" customWidth="1"/>
    <col min="9483" max="9488" width="10.6640625" style="96" customWidth="1"/>
    <col min="9489" max="9489" width="4.6640625" style="96" customWidth="1"/>
    <col min="9490" max="9490" width="9.6640625" style="96" customWidth="1"/>
    <col min="9491" max="9491" width="7.6640625" style="96" customWidth="1"/>
    <col min="9492" max="9494" width="5.6640625" style="96" customWidth="1"/>
    <col min="9495" max="9737" width="8.83203125" style="96"/>
    <col min="9738" max="9738" width="30.6640625" style="96" customWidth="1"/>
    <col min="9739" max="9744" width="10.6640625" style="96" customWidth="1"/>
    <col min="9745" max="9745" width="4.6640625" style="96" customWidth="1"/>
    <col min="9746" max="9746" width="9.6640625" style="96" customWidth="1"/>
    <col min="9747" max="9747" width="7.6640625" style="96" customWidth="1"/>
    <col min="9748" max="9750" width="5.6640625" style="96" customWidth="1"/>
    <col min="9751" max="9993" width="8.83203125" style="96"/>
    <col min="9994" max="9994" width="30.6640625" style="96" customWidth="1"/>
    <col min="9995" max="10000" width="10.6640625" style="96" customWidth="1"/>
    <col min="10001" max="10001" width="4.6640625" style="96" customWidth="1"/>
    <col min="10002" max="10002" width="9.6640625" style="96" customWidth="1"/>
    <col min="10003" max="10003" width="7.6640625" style="96" customWidth="1"/>
    <col min="10004" max="10006" width="5.6640625" style="96" customWidth="1"/>
    <col min="10007" max="10249" width="8.83203125" style="96"/>
    <col min="10250" max="10250" width="30.6640625" style="96" customWidth="1"/>
    <col min="10251" max="10256" width="10.6640625" style="96" customWidth="1"/>
    <col min="10257" max="10257" width="4.6640625" style="96" customWidth="1"/>
    <col min="10258" max="10258" width="9.6640625" style="96" customWidth="1"/>
    <col min="10259" max="10259" width="7.6640625" style="96" customWidth="1"/>
    <col min="10260" max="10262" width="5.6640625" style="96" customWidth="1"/>
    <col min="10263" max="10505" width="8.83203125" style="96"/>
    <col min="10506" max="10506" width="30.6640625" style="96" customWidth="1"/>
    <col min="10507" max="10512" width="10.6640625" style="96" customWidth="1"/>
    <col min="10513" max="10513" width="4.6640625" style="96" customWidth="1"/>
    <col min="10514" max="10514" width="9.6640625" style="96" customWidth="1"/>
    <col min="10515" max="10515" width="7.6640625" style="96" customWidth="1"/>
    <col min="10516" max="10518" width="5.6640625" style="96" customWidth="1"/>
    <col min="10519" max="10761" width="8.83203125" style="96"/>
    <col min="10762" max="10762" width="30.6640625" style="96" customWidth="1"/>
    <col min="10763" max="10768" width="10.6640625" style="96" customWidth="1"/>
    <col min="10769" max="10769" width="4.6640625" style="96" customWidth="1"/>
    <col min="10770" max="10770" width="9.6640625" style="96" customWidth="1"/>
    <col min="10771" max="10771" width="7.6640625" style="96" customWidth="1"/>
    <col min="10772" max="10774" width="5.6640625" style="96" customWidth="1"/>
    <col min="10775" max="11017" width="8.83203125" style="96"/>
    <col min="11018" max="11018" width="30.6640625" style="96" customWidth="1"/>
    <col min="11019" max="11024" width="10.6640625" style="96" customWidth="1"/>
    <col min="11025" max="11025" width="4.6640625" style="96" customWidth="1"/>
    <col min="11026" max="11026" width="9.6640625" style="96" customWidth="1"/>
    <col min="11027" max="11027" width="7.6640625" style="96" customWidth="1"/>
    <col min="11028" max="11030" width="5.6640625" style="96" customWidth="1"/>
    <col min="11031" max="11273" width="8.83203125" style="96"/>
    <col min="11274" max="11274" width="30.6640625" style="96" customWidth="1"/>
    <col min="11275" max="11280" width="10.6640625" style="96" customWidth="1"/>
    <col min="11281" max="11281" width="4.6640625" style="96" customWidth="1"/>
    <col min="11282" max="11282" width="9.6640625" style="96" customWidth="1"/>
    <col min="11283" max="11283" width="7.6640625" style="96" customWidth="1"/>
    <col min="11284" max="11286" width="5.6640625" style="96" customWidth="1"/>
    <col min="11287" max="11529" width="8.83203125" style="96"/>
    <col min="11530" max="11530" width="30.6640625" style="96" customWidth="1"/>
    <col min="11531" max="11536" width="10.6640625" style="96" customWidth="1"/>
    <col min="11537" max="11537" width="4.6640625" style="96" customWidth="1"/>
    <col min="11538" max="11538" width="9.6640625" style="96" customWidth="1"/>
    <col min="11539" max="11539" width="7.6640625" style="96" customWidth="1"/>
    <col min="11540" max="11542" width="5.6640625" style="96" customWidth="1"/>
    <col min="11543" max="11785" width="8.83203125" style="96"/>
    <col min="11786" max="11786" width="30.6640625" style="96" customWidth="1"/>
    <col min="11787" max="11792" width="10.6640625" style="96" customWidth="1"/>
    <col min="11793" max="11793" width="4.6640625" style="96" customWidth="1"/>
    <col min="11794" max="11794" width="9.6640625" style="96" customWidth="1"/>
    <col min="11795" max="11795" width="7.6640625" style="96" customWidth="1"/>
    <col min="11796" max="11798" width="5.6640625" style="96" customWidth="1"/>
    <col min="11799" max="12041" width="8.83203125" style="96"/>
    <col min="12042" max="12042" width="30.6640625" style="96" customWidth="1"/>
    <col min="12043" max="12048" width="10.6640625" style="96" customWidth="1"/>
    <col min="12049" max="12049" width="4.6640625" style="96" customWidth="1"/>
    <col min="12050" max="12050" width="9.6640625" style="96" customWidth="1"/>
    <col min="12051" max="12051" width="7.6640625" style="96" customWidth="1"/>
    <col min="12052" max="12054" width="5.6640625" style="96" customWidth="1"/>
    <col min="12055" max="12297" width="8.83203125" style="96"/>
    <col min="12298" max="12298" width="30.6640625" style="96" customWidth="1"/>
    <col min="12299" max="12304" width="10.6640625" style="96" customWidth="1"/>
    <col min="12305" max="12305" width="4.6640625" style="96" customWidth="1"/>
    <col min="12306" max="12306" width="9.6640625" style="96" customWidth="1"/>
    <col min="12307" max="12307" width="7.6640625" style="96" customWidth="1"/>
    <col min="12308" max="12310" width="5.6640625" style="96" customWidth="1"/>
    <col min="12311" max="12553" width="8.83203125" style="96"/>
    <col min="12554" max="12554" width="30.6640625" style="96" customWidth="1"/>
    <col min="12555" max="12560" width="10.6640625" style="96" customWidth="1"/>
    <col min="12561" max="12561" width="4.6640625" style="96" customWidth="1"/>
    <col min="12562" max="12562" width="9.6640625" style="96" customWidth="1"/>
    <col min="12563" max="12563" width="7.6640625" style="96" customWidth="1"/>
    <col min="12564" max="12566" width="5.6640625" style="96" customWidth="1"/>
    <col min="12567" max="12809" width="8.83203125" style="96"/>
    <col min="12810" max="12810" width="30.6640625" style="96" customWidth="1"/>
    <col min="12811" max="12816" width="10.6640625" style="96" customWidth="1"/>
    <col min="12817" max="12817" width="4.6640625" style="96" customWidth="1"/>
    <col min="12818" max="12818" width="9.6640625" style="96" customWidth="1"/>
    <col min="12819" max="12819" width="7.6640625" style="96" customWidth="1"/>
    <col min="12820" max="12822" width="5.6640625" style="96" customWidth="1"/>
    <col min="12823" max="13065" width="8.83203125" style="96"/>
    <col min="13066" max="13066" width="30.6640625" style="96" customWidth="1"/>
    <col min="13067" max="13072" width="10.6640625" style="96" customWidth="1"/>
    <col min="13073" max="13073" width="4.6640625" style="96" customWidth="1"/>
    <col min="13074" max="13074" width="9.6640625" style="96" customWidth="1"/>
    <col min="13075" max="13075" width="7.6640625" style="96" customWidth="1"/>
    <col min="13076" max="13078" width="5.6640625" style="96" customWidth="1"/>
    <col min="13079" max="13321" width="8.83203125" style="96"/>
    <col min="13322" max="13322" width="30.6640625" style="96" customWidth="1"/>
    <col min="13323" max="13328" width="10.6640625" style="96" customWidth="1"/>
    <col min="13329" max="13329" width="4.6640625" style="96" customWidth="1"/>
    <col min="13330" max="13330" width="9.6640625" style="96" customWidth="1"/>
    <col min="13331" max="13331" width="7.6640625" style="96" customWidth="1"/>
    <col min="13332" max="13334" width="5.6640625" style="96" customWidth="1"/>
    <col min="13335" max="13577" width="8.83203125" style="96"/>
    <col min="13578" max="13578" width="30.6640625" style="96" customWidth="1"/>
    <col min="13579" max="13584" width="10.6640625" style="96" customWidth="1"/>
    <col min="13585" max="13585" width="4.6640625" style="96" customWidth="1"/>
    <col min="13586" max="13586" width="9.6640625" style="96" customWidth="1"/>
    <col min="13587" max="13587" width="7.6640625" style="96" customWidth="1"/>
    <col min="13588" max="13590" width="5.6640625" style="96" customWidth="1"/>
    <col min="13591" max="13833" width="8.83203125" style="96"/>
    <col min="13834" max="13834" width="30.6640625" style="96" customWidth="1"/>
    <col min="13835" max="13840" width="10.6640625" style="96" customWidth="1"/>
    <col min="13841" max="13841" width="4.6640625" style="96" customWidth="1"/>
    <col min="13842" max="13842" width="9.6640625" style="96" customWidth="1"/>
    <col min="13843" max="13843" width="7.6640625" style="96" customWidth="1"/>
    <col min="13844" max="13846" width="5.6640625" style="96" customWidth="1"/>
    <col min="13847" max="14089" width="8.83203125" style="96"/>
    <col min="14090" max="14090" width="30.6640625" style="96" customWidth="1"/>
    <col min="14091" max="14096" width="10.6640625" style="96" customWidth="1"/>
    <col min="14097" max="14097" width="4.6640625" style="96" customWidth="1"/>
    <col min="14098" max="14098" width="9.6640625" style="96" customWidth="1"/>
    <col min="14099" max="14099" width="7.6640625" style="96" customWidth="1"/>
    <col min="14100" max="14102" width="5.6640625" style="96" customWidth="1"/>
    <col min="14103" max="14345" width="8.83203125" style="96"/>
    <col min="14346" max="14346" width="30.6640625" style="96" customWidth="1"/>
    <col min="14347" max="14352" width="10.6640625" style="96" customWidth="1"/>
    <col min="14353" max="14353" width="4.6640625" style="96" customWidth="1"/>
    <col min="14354" max="14354" width="9.6640625" style="96" customWidth="1"/>
    <col min="14355" max="14355" width="7.6640625" style="96" customWidth="1"/>
    <col min="14356" max="14358" width="5.6640625" style="96" customWidth="1"/>
    <col min="14359" max="14601" width="8.83203125" style="96"/>
    <col min="14602" max="14602" width="30.6640625" style="96" customWidth="1"/>
    <col min="14603" max="14608" width="10.6640625" style="96" customWidth="1"/>
    <col min="14609" max="14609" width="4.6640625" style="96" customWidth="1"/>
    <col min="14610" max="14610" width="9.6640625" style="96" customWidth="1"/>
    <col min="14611" max="14611" width="7.6640625" style="96" customWidth="1"/>
    <col min="14612" max="14614" width="5.6640625" style="96" customWidth="1"/>
    <col min="14615" max="14857" width="8.83203125" style="96"/>
    <col min="14858" max="14858" width="30.6640625" style="96" customWidth="1"/>
    <col min="14859" max="14864" width="10.6640625" style="96" customWidth="1"/>
    <col min="14865" max="14865" width="4.6640625" style="96" customWidth="1"/>
    <col min="14866" max="14866" width="9.6640625" style="96" customWidth="1"/>
    <col min="14867" max="14867" width="7.6640625" style="96" customWidth="1"/>
    <col min="14868" max="14870" width="5.6640625" style="96" customWidth="1"/>
    <col min="14871" max="15113" width="8.83203125" style="96"/>
    <col min="15114" max="15114" width="30.6640625" style="96" customWidth="1"/>
    <col min="15115" max="15120" width="10.6640625" style="96" customWidth="1"/>
    <col min="15121" max="15121" width="4.6640625" style="96" customWidth="1"/>
    <col min="15122" max="15122" width="9.6640625" style="96" customWidth="1"/>
    <col min="15123" max="15123" width="7.6640625" style="96" customWidth="1"/>
    <col min="15124" max="15126" width="5.6640625" style="96" customWidth="1"/>
    <col min="15127" max="15369" width="8.83203125" style="96"/>
    <col min="15370" max="15370" width="30.6640625" style="96" customWidth="1"/>
    <col min="15371" max="15376" width="10.6640625" style="96" customWidth="1"/>
    <col min="15377" max="15377" width="4.6640625" style="96" customWidth="1"/>
    <col min="15378" max="15378" width="9.6640625" style="96" customWidth="1"/>
    <col min="15379" max="15379" width="7.6640625" style="96" customWidth="1"/>
    <col min="15380" max="15382" width="5.6640625" style="96" customWidth="1"/>
    <col min="15383" max="15625" width="8.83203125" style="96"/>
    <col min="15626" max="15626" width="30.6640625" style="96" customWidth="1"/>
    <col min="15627" max="15632" width="10.6640625" style="96" customWidth="1"/>
    <col min="15633" max="15633" width="4.6640625" style="96" customWidth="1"/>
    <col min="15634" max="15634" width="9.6640625" style="96" customWidth="1"/>
    <col min="15635" max="15635" width="7.6640625" style="96" customWidth="1"/>
    <col min="15636" max="15638" width="5.6640625" style="96" customWidth="1"/>
    <col min="15639" max="15881" width="8.83203125" style="96"/>
    <col min="15882" max="15882" width="30.6640625" style="96" customWidth="1"/>
    <col min="15883" max="15888" width="10.6640625" style="96" customWidth="1"/>
    <col min="15889" max="15889" width="4.6640625" style="96" customWidth="1"/>
    <col min="15890" max="15890" width="9.6640625" style="96" customWidth="1"/>
    <col min="15891" max="15891" width="7.6640625" style="96" customWidth="1"/>
    <col min="15892" max="15894" width="5.6640625" style="96" customWidth="1"/>
    <col min="15895" max="16137" width="8.83203125" style="96"/>
    <col min="16138" max="16138" width="30.6640625" style="96" customWidth="1"/>
    <col min="16139" max="16144" width="10.6640625" style="96" customWidth="1"/>
    <col min="16145" max="16145" width="4.6640625" style="96" customWidth="1"/>
    <col min="16146" max="16146" width="9.6640625" style="96" customWidth="1"/>
    <col min="16147" max="16147" width="7.6640625" style="96" customWidth="1"/>
    <col min="16148" max="16150" width="5.6640625" style="96" customWidth="1"/>
    <col min="16151" max="16384" width="8.83203125" style="96"/>
  </cols>
  <sheetData>
    <row r="2" spans="2:18" ht="23">
      <c r="B2" s="94" t="s">
        <v>328</v>
      </c>
      <c r="C2" s="95"/>
      <c r="D2" s="95"/>
      <c r="E2" s="95"/>
      <c r="F2" s="95"/>
      <c r="G2" s="95"/>
      <c r="H2" s="95"/>
      <c r="I2" s="95"/>
      <c r="J2" s="95"/>
      <c r="K2" s="95"/>
      <c r="L2" s="95"/>
      <c r="M2" s="95"/>
      <c r="N2" s="95"/>
      <c r="O2" s="95"/>
    </row>
    <row r="3" spans="2:18" ht="20">
      <c r="B3" s="97"/>
    </row>
    <row r="4" spans="2:18">
      <c r="B4" s="96" t="s">
        <v>329</v>
      </c>
    </row>
    <row r="5" spans="2:18">
      <c r="B5" s="96" t="s">
        <v>330</v>
      </c>
    </row>
    <row r="6" spans="2:18">
      <c r="B6" s="96" t="s">
        <v>331</v>
      </c>
    </row>
    <row r="8" spans="2:18">
      <c r="B8" s="96" t="s">
        <v>332</v>
      </c>
    </row>
    <row r="9" spans="2:18">
      <c r="B9" s="96" t="s">
        <v>333</v>
      </c>
    </row>
    <row r="10" spans="2:18">
      <c r="B10" s="96" t="s">
        <v>334</v>
      </c>
    </row>
    <row r="12" spans="2:18">
      <c r="B12" s="96" t="s">
        <v>335</v>
      </c>
    </row>
    <row r="13" spans="2:18">
      <c r="B13" s="96" t="s">
        <v>336</v>
      </c>
    </row>
    <row r="14" spans="2:18">
      <c r="B14" s="96" t="s">
        <v>337</v>
      </c>
    </row>
    <row r="15" spans="2:18">
      <c r="C15" s="98"/>
      <c r="D15" s="99"/>
      <c r="E15" s="99"/>
      <c r="F15" s="99"/>
      <c r="G15" s="99"/>
      <c r="H15" s="99"/>
      <c r="I15" s="99"/>
      <c r="J15" s="99"/>
      <c r="K15" s="99"/>
      <c r="L15" s="99"/>
      <c r="M15" s="99"/>
      <c r="N15" s="99"/>
      <c r="O15" s="99"/>
      <c r="P15" s="100"/>
      <c r="R15" s="101"/>
    </row>
    <row r="16" spans="2:18" ht="18">
      <c r="B16" s="102" t="s">
        <v>338</v>
      </c>
      <c r="C16" s="103" t="s">
        <v>339</v>
      </c>
      <c r="D16" s="103" t="s">
        <v>340</v>
      </c>
      <c r="E16" s="103" t="s">
        <v>341</v>
      </c>
      <c r="F16" s="103"/>
      <c r="G16" s="103"/>
      <c r="H16" s="103"/>
      <c r="I16" s="103"/>
      <c r="J16" s="103"/>
      <c r="K16" s="103"/>
      <c r="L16" s="103"/>
      <c r="M16" s="103"/>
      <c r="N16" s="103"/>
      <c r="O16" s="103" t="s">
        <v>342</v>
      </c>
      <c r="P16" s="100"/>
      <c r="Q16" s="100"/>
      <c r="R16" s="100"/>
    </row>
    <row r="17" spans="2:22" ht="18">
      <c r="B17" s="104" t="s">
        <v>438</v>
      </c>
      <c r="C17" s="105" t="s">
        <v>13</v>
      </c>
      <c r="D17" s="105" t="s">
        <v>14</v>
      </c>
      <c r="E17" s="105" t="s">
        <v>15</v>
      </c>
      <c r="F17" s="105" t="s">
        <v>343</v>
      </c>
      <c r="G17" s="105" t="s">
        <v>5</v>
      </c>
      <c r="H17" s="105" t="s">
        <v>344</v>
      </c>
      <c r="I17" s="105" t="s">
        <v>16</v>
      </c>
      <c r="J17" s="105" t="s">
        <v>17</v>
      </c>
      <c r="K17" s="105" t="s">
        <v>18</v>
      </c>
      <c r="L17" s="105" t="s">
        <v>19</v>
      </c>
      <c r="M17" s="105" t="s">
        <v>20</v>
      </c>
      <c r="N17" s="105" t="s">
        <v>21</v>
      </c>
      <c r="O17" s="105" t="s">
        <v>345</v>
      </c>
      <c r="P17" s="98"/>
      <c r="Q17" s="98"/>
    </row>
    <row r="18" spans="2:22">
      <c r="B18" s="106" t="s">
        <v>346</v>
      </c>
      <c r="C18" s="107">
        <v>10</v>
      </c>
      <c r="D18" s="107">
        <v>10</v>
      </c>
      <c r="E18" s="107">
        <v>10</v>
      </c>
      <c r="F18" s="107">
        <v>10</v>
      </c>
      <c r="G18" s="107">
        <v>10</v>
      </c>
      <c r="H18" s="107">
        <v>10</v>
      </c>
      <c r="I18" s="107">
        <v>10</v>
      </c>
      <c r="J18" s="107">
        <v>10</v>
      </c>
      <c r="K18" s="107">
        <v>10</v>
      </c>
      <c r="L18" s="107">
        <v>10</v>
      </c>
      <c r="M18" s="107">
        <v>10</v>
      </c>
      <c r="N18" s="107">
        <v>10</v>
      </c>
      <c r="O18" s="108">
        <v>10</v>
      </c>
      <c r="P18" s="98"/>
      <c r="Q18" s="98"/>
    </row>
    <row r="19" spans="2:22" ht="19">
      <c r="B19" s="109" t="s">
        <v>347</v>
      </c>
      <c r="C19" s="110">
        <v>70</v>
      </c>
      <c r="D19" s="110">
        <f>100</f>
        <v>100</v>
      </c>
      <c r="E19" s="110">
        <v>150</v>
      </c>
      <c r="F19" s="110">
        <v>300</v>
      </c>
      <c r="G19" s="110">
        <v>200</v>
      </c>
      <c r="H19" s="110">
        <v>300</v>
      </c>
      <c r="I19" s="110">
        <v>400</v>
      </c>
      <c r="J19" s="110">
        <v>300</v>
      </c>
      <c r="K19" s="110">
        <v>400</v>
      </c>
      <c r="L19" s="110">
        <v>500</v>
      </c>
      <c r="M19" s="110">
        <v>400</v>
      </c>
      <c r="N19" s="110">
        <v>500</v>
      </c>
      <c r="O19" s="111">
        <f>SUM(C19:N19)</f>
        <v>3620</v>
      </c>
      <c r="P19" s="98"/>
      <c r="Q19" s="98"/>
    </row>
    <row r="20" spans="2:22">
      <c r="B20" s="112" t="s">
        <v>348</v>
      </c>
      <c r="C20" s="108">
        <f>C18*C19</f>
        <v>700</v>
      </c>
      <c r="D20" s="113">
        <f>D18*D19</f>
        <v>1000</v>
      </c>
      <c r="E20" s="113">
        <f t="shared" ref="E20:O20" si="0">E18*E19</f>
        <v>1500</v>
      </c>
      <c r="F20" s="113">
        <f t="shared" si="0"/>
        <v>3000</v>
      </c>
      <c r="G20" s="113">
        <f t="shared" si="0"/>
        <v>2000</v>
      </c>
      <c r="H20" s="113">
        <f t="shared" si="0"/>
        <v>3000</v>
      </c>
      <c r="I20" s="113">
        <f t="shared" si="0"/>
        <v>4000</v>
      </c>
      <c r="J20" s="113">
        <f t="shared" si="0"/>
        <v>3000</v>
      </c>
      <c r="K20" s="113">
        <f t="shared" si="0"/>
        <v>4000</v>
      </c>
      <c r="L20" s="113">
        <f t="shared" si="0"/>
        <v>5000</v>
      </c>
      <c r="M20" s="113">
        <f t="shared" si="0"/>
        <v>4000</v>
      </c>
      <c r="N20" s="113">
        <f t="shared" si="0"/>
        <v>5000</v>
      </c>
      <c r="O20" s="113">
        <f t="shared" si="0"/>
        <v>36200</v>
      </c>
    </row>
    <row r="21" spans="2:22">
      <c r="B21" s="114" t="s">
        <v>349</v>
      </c>
      <c r="C21" s="115">
        <f>C20*-0.8</f>
        <v>-560</v>
      </c>
      <c r="D21" s="116">
        <f>-80%*D20</f>
        <v>-800</v>
      </c>
      <c r="E21" s="116">
        <f t="shared" ref="E21:O21" si="1">-80%*E20</f>
        <v>-1200</v>
      </c>
      <c r="F21" s="116">
        <f t="shared" si="1"/>
        <v>-2400</v>
      </c>
      <c r="G21" s="116">
        <f t="shared" si="1"/>
        <v>-1600</v>
      </c>
      <c r="H21" s="116">
        <f t="shared" si="1"/>
        <v>-2400</v>
      </c>
      <c r="I21" s="116">
        <f t="shared" si="1"/>
        <v>-3200</v>
      </c>
      <c r="J21" s="116">
        <f t="shared" si="1"/>
        <v>-2400</v>
      </c>
      <c r="K21" s="116">
        <f t="shared" si="1"/>
        <v>-3200</v>
      </c>
      <c r="L21" s="116">
        <f t="shared" si="1"/>
        <v>-4000</v>
      </c>
      <c r="M21" s="116">
        <f t="shared" si="1"/>
        <v>-3200</v>
      </c>
      <c r="N21" s="116">
        <f t="shared" si="1"/>
        <v>-4000</v>
      </c>
      <c r="O21" s="116">
        <f t="shared" si="1"/>
        <v>-28960</v>
      </c>
      <c r="P21" s="117"/>
      <c r="Q21" s="117"/>
    </row>
    <row r="22" spans="2:22">
      <c r="B22" s="112" t="s">
        <v>350</v>
      </c>
      <c r="C22" s="108">
        <f>C20+C21</f>
        <v>140</v>
      </c>
      <c r="D22" s="113">
        <f>D20+D21</f>
        <v>200</v>
      </c>
      <c r="E22" s="113">
        <f t="shared" ref="E22:O22" si="2">E20+E21</f>
        <v>300</v>
      </c>
      <c r="F22" s="113">
        <f t="shared" si="2"/>
        <v>600</v>
      </c>
      <c r="G22" s="113">
        <f t="shared" si="2"/>
        <v>400</v>
      </c>
      <c r="H22" s="113">
        <f t="shared" si="2"/>
        <v>600</v>
      </c>
      <c r="I22" s="113">
        <f t="shared" si="2"/>
        <v>800</v>
      </c>
      <c r="J22" s="113">
        <f t="shared" si="2"/>
        <v>600</v>
      </c>
      <c r="K22" s="113">
        <f t="shared" si="2"/>
        <v>800</v>
      </c>
      <c r="L22" s="113">
        <f t="shared" si="2"/>
        <v>1000</v>
      </c>
      <c r="M22" s="113">
        <f t="shared" si="2"/>
        <v>800</v>
      </c>
      <c r="N22" s="113">
        <f t="shared" si="2"/>
        <v>1000</v>
      </c>
      <c r="O22" s="113">
        <f t="shared" si="2"/>
        <v>7240</v>
      </c>
    </row>
    <row r="23" spans="2:22">
      <c r="B23" s="112" t="s">
        <v>351</v>
      </c>
      <c r="C23" s="108">
        <f>C20*-0.07</f>
        <v>-49.000000000000007</v>
      </c>
      <c r="D23" s="113">
        <f>-7%*D20</f>
        <v>-70</v>
      </c>
      <c r="E23" s="113">
        <f t="shared" ref="E23:O23" si="3">-7%*E20</f>
        <v>-105.00000000000001</v>
      </c>
      <c r="F23" s="113">
        <f t="shared" si="3"/>
        <v>-210.00000000000003</v>
      </c>
      <c r="G23" s="113">
        <f t="shared" si="3"/>
        <v>-140</v>
      </c>
      <c r="H23" s="113">
        <f t="shared" si="3"/>
        <v>-210.00000000000003</v>
      </c>
      <c r="I23" s="113">
        <f t="shared" si="3"/>
        <v>-280</v>
      </c>
      <c r="J23" s="113">
        <f t="shared" si="3"/>
        <v>-210.00000000000003</v>
      </c>
      <c r="K23" s="113">
        <f t="shared" si="3"/>
        <v>-280</v>
      </c>
      <c r="L23" s="113">
        <f t="shared" si="3"/>
        <v>-350.00000000000006</v>
      </c>
      <c r="M23" s="113">
        <f t="shared" si="3"/>
        <v>-280</v>
      </c>
      <c r="N23" s="113">
        <f t="shared" si="3"/>
        <v>-350.00000000000006</v>
      </c>
      <c r="O23" s="113">
        <f t="shared" si="3"/>
        <v>-2534.0000000000005</v>
      </c>
    </row>
    <row r="24" spans="2:22" ht="19">
      <c r="B24" s="118" t="s">
        <v>213</v>
      </c>
      <c r="C24" s="115">
        <v>-10</v>
      </c>
      <c r="D24" s="116">
        <f>C24</f>
        <v>-10</v>
      </c>
      <c r="E24" s="116">
        <f t="shared" ref="E24:N24" si="4">D24</f>
        <v>-10</v>
      </c>
      <c r="F24" s="116">
        <f t="shared" si="4"/>
        <v>-10</v>
      </c>
      <c r="G24" s="116">
        <f t="shared" si="4"/>
        <v>-10</v>
      </c>
      <c r="H24" s="116">
        <f t="shared" si="4"/>
        <v>-10</v>
      </c>
      <c r="I24" s="116">
        <f t="shared" si="4"/>
        <v>-10</v>
      </c>
      <c r="J24" s="116">
        <f t="shared" si="4"/>
        <v>-10</v>
      </c>
      <c r="K24" s="116">
        <f t="shared" si="4"/>
        <v>-10</v>
      </c>
      <c r="L24" s="116">
        <f t="shared" si="4"/>
        <v>-10</v>
      </c>
      <c r="M24" s="116">
        <f t="shared" si="4"/>
        <v>-10</v>
      </c>
      <c r="N24" s="116">
        <f t="shared" si="4"/>
        <v>-10</v>
      </c>
      <c r="O24" s="116">
        <f>SUM(C24:N24)</f>
        <v>-120</v>
      </c>
      <c r="P24" s="117"/>
      <c r="Q24" s="117"/>
    </row>
    <row r="25" spans="2:22">
      <c r="B25" s="112" t="s">
        <v>352</v>
      </c>
      <c r="C25" s="108">
        <f>C22+C23+C24</f>
        <v>81</v>
      </c>
      <c r="D25" s="113">
        <f>SUM(D22:D24)</f>
        <v>120</v>
      </c>
      <c r="E25" s="113">
        <f t="shared" ref="E25:O25" si="5">SUM(E22:E24)</f>
        <v>185</v>
      </c>
      <c r="F25" s="113">
        <f t="shared" si="5"/>
        <v>380</v>
      </c>
      <c r="G25" s="113">
        <f t="shared" si="5"/>
        <v>250</v>
      </c>
      <c r="H25" s="113">
        <f t="shared" si="5"/>
        <v>380</v>
      </c>
      <c r="I25" s="113">
        <f t="shared" si="5"/>
        <v>510</v>
      </c>
      <c r="J25" s="113">
        <f t="shared" si="5"/>
        <v>380</v>
      </c>
      <c r="K25" s="113">
        <f t="shared" si="5"/>
        <v>510</v>
      </c>
      <c r="L25" s="113">
        <f t="shared" si="5"/>
        <v>640</v>
      </c>
      <c r="M25" s="113">
        <f t="shared" si="5"/>
        <v>510</v>
      </c>
      <c r="N25" s="113">
        <f t="shared" si="5"/>
        <v>640</v>
      </c>
      <c r="O25" s="113">
        <f t="shared" si="5"/>
        <v>4586</v>
      </c>
    </row>
    <row r="26" spans="2:22" ht="19">
      <c r="B26" s="118" t="s">
        <v>353</v>
      </c>
      <c r="C26" s="115">
        <f>+(C43+C41)*-0.01</f>
        <v>-8</v>
      </c>
      <c r="D26" s="116">
        <f>-1%*(C41+C43)</f>
        <v>-8</v>
      </c>
      <c r="E26" s="116">
        <f t="shared" ref="E26:N26" si="6">-1%*(D41+D43)</f>
        <v>-10.528</v>
      </c>
      <c r="F26" s="116">
        <f t="shared" si="6"/>
        <v>-14.381168000000001</v>
      </c>
      <c r="G26" s="116">
        <f t="shared" si="6"/>
        <v>-27.087455007999999</v>
      </c>
      <c r="H26" s="116">
        <f t="shared" si="6"/>
        <v>-15.649979738048001</v>
      </c>
      <c r="I26" s="116">
        <f t="shared" si="6"/>
        <v>-23.363879616476289</v>
      </c>
      <c r="J26" s="116">
        <f t="shared" si="6"/>
        <v>-30.344062894175146</v>
      </c>
      <c r="K26" s="116">
        <f t="shared" si="6"/>
        <v>-18.146127271540195</v>
      </c>
      <c r="L26" s="116">
        <f t="shared" si="6"/>
        <v>-25.095004035169438</v>
      </c>
      <c r="M26" s="116">
        <f t="shared" si="6"/>
        <v>-31.305574059380451</v>
      </c>
      <c r="N26" s="116">
        <f t="shared" si="6"/>
        <v>-18.333407503736733</v>
      </c>
      <c r="O26" s="116">
        <f>SUM(C26:N26)</f>
        <v>-230.23465812652628</v>
      </c>
      <c r="P26" s="117"/>
      <c r="Q26" s="117"/>
    </row>
    <row r="27" spans="2:22">
      <c r="B27" s="112" t="s">
        <v>354</v>
      </c>
      <c r="C27" s="108">
        <f>+C25+C26</f>
        <v>73</v>
      </c>
      <c r="D27" s="113">
        <f>D25+D26</f>
        <v>112</v>
      </c>
      <c r="E27" s="113">
        <f t="shared" ref="E27:O27" si="7">E25+E26</f>
        <v>174.47200000000001</v>
      </c>
      <c r="F27" s="113">
        <f t="shared" si="7"/>
        <v>365.618832</v>
      </c>
      <c r="G27" s="113">
        <f t="shared" si="7"/>
        <v>222.91254499199999</v>
      </c>
      <c r="H27" s="113">
        <f t="shared" si="7"/>
        <v>364.35002026195201</v>
      </c>
      <c r="I27" s="113">
        <f t="shared" si="7"/>
        <v>486.63612038352369</v>
      </c>
      <c r="J27" s="113">
        <f t="shared" si="7"/>
        <v>349.65593710582488</v>
      </c>
      <c r="K27" s="113">
        <f t="shared" si="7"/>
        <v>491.85387272845981</v>
      </c>
      <c r="L27" s="113">
        <f t="shared" si="7"/>
        <v>614.9049959648305</v>
      </c>
      <c r="M27" s="113">
        <f t="shared" si="7"/>
        <v>478.69442594061957</v>
      </c>
      <c r="N27" s="113">
        <f t="shared" si="7"/>
        <v>621.66659249626332</v>
      </c>
      <c r="O27" s="113">
        <f t="shared" si="7"/>
        <v>4355.7653418734735</v>
      </c>
    </row>
    <row r="28" spans="2:22" ht="19">
      <c r="B28" s="118" t="s">
        <v>355</v>
      </c>
      <c r="C28" s="115">
        <f>C27*-0.4</f>
        <v>-29.200000000000003</v>
      </c>
      <c r="D28" s="116">
        <f>D27*-40%</f>
        <v>-44.800000000000004</v>
      </c>
      <c r="E28" s="116">
        <f t="shared" ref="E28:O28" si="8">E27*-40%</f>
        <v>-69.788800000000009</v>
      </c>
      <c r="F28" s="116">
        <f t="shared" si="8"/>
        <v>-146.24753280000002</v>
      </c>
      <c r="G28" s="116">
        <f t="shared" si="8"/>
        <v>-89.165017996800003</v>
      </c>
      <c r="H28" s="116">
        <f t="shared" si="8"/>
        <v>-145.7400081047808</v>
      </c>
      <c r="I28" s="116">
        <f t="shared" si="8"/>
        <v>-194.65444815340948</v>
      </c>
      <c r="J28" s="116">
        <f t="shared" si="8"/>
        <v>-139.86237484232996</v>
      </c>
      <c r="K28" s="116">
        <f t="shared" si="8"/>
        <v>-196.74154909138394</v>
      </c>
      <c r="L28" s="116">
        <f t="shared" si="8"/>
        <v>-245.96199838593222</v>
      </c>
      <c r="M28" s="116">
        <f t="shared" si="8"/>
        <v>-191.47777037624783</v>
      </c>
      <c r="N28" s="116">
        <f t="shared" si="8"/>
        <v>-248.66663699850534</v>
      </c>
      <c r="O28" s="116">
        <f t="shared" si="8"/>
        <v>-1742.3061367493895</v>
      </c>
      <c r="P28" s="117"/>
      <c r="Q28" s="117"/>
    </row>
    <row r="29" spans="2:22">
      <c r="B29" s="112" t="s">
        <v>220</v>
      </c>
      <c r="C29" s="108">
        <f>C27+C28</f>
        <v>43.8</v>
      </c>
      <c r="D29" s="113">
        <f>D27+D28</f>
        <v>67.199999999999989</v>
      </c>
      <c r="E29" s="113">
        <f t="shared" ref="E29:O29" si="9">E27+E28</f>
        <v>104.6832</v>
      </c>
      <c r="F29" s="113">
        <f t="shared" si="9"/>
        <v>219.37129919999998</v>
      </c>
      <c r="G29" s="113">
        <f t="shared" si="9"/>
        <v>133.74752699519999</v>
      </c>
      <c r="H29" s="113">
        <f t="shared" si="9"/>
        <v>218.61001215717121</v>
      </c>
      <c r="I29" s="113">
        <f t="shared" si="9"/>
        <v>291.98167223011421</v>
      </c>
      <c r="J29" s="113">
        <f t="shared" si="9"/>
        <v>209.79356226349492</v>
      </c>
      <c r="K29" s="113">
        <f t="shared" si="9"/>
        <v>295.11232363707586</v>
      </c>
      <c r="L29" s="113">
        <f t="shared" si="9"/>
        <v>368.94299757889826</v>
      </c>
      <c r="M29" s="113">
        <f t="shared" si="9"/>
        <v>287.21665556437176</v>
      </c>
      <c r="N29" s="113">
        <f t="shared" si="9"/>
        <v>372.99995549775798</v>
      </c>
      <c r="O29" s="113">
        <f t="shared" si="9"/>
        <v>2613.4592051240843</v>
      </c>
    </row>
    <row r="30" spans="2:22">
      <c r="B30" s="112"/>
    </row>
    <row r="31" spans="2:22" ht="18">
      <c r="B31" s="104" t="s">
        <v>356</v>
      </c>
      <c r="C31" s="105" t="s">
        <v>13</v>
      </c>
      <c r="D31" s="105" t="s">
        <v>14</v>
      </c>
      <c r="E31" s="105" t="s">
        <v>15</v>
      </c>
      <c r="F31" s="105" t="s">
        <v>343</v>
      </c>
      <c r="G31" s="105" t="s">
        <v>5</v>
      </c>
      <c r="H31" s="105" t="s">
        <v>344</v>
      </c>
      <c r="I31" s="105" t="s">
        <v>16</v>
      </c>
      <c r="J31" s="105" t="s">
        <v>17</v>
      </c>
      <c r="K31" s="105" t="s">
        <v>18</v>
      </c>
      <c r="L31" s="105" t="s">
        <v>19</v>
      </c>
      <c r="M31" s="105" t="s">
        <v>20</v>
      </c>
      <c r="N31" s="105" t="s">
        <v>21</v>
      </c>
      <c r="O31" s="98"/>
      <c r="P31" s="98"/>
      <c r="T31" s="101"/>
      <c r="U31" s="101"/>
      <c r="V31" s="101"/>
    </row>
    <row r="32" spans="2:22">
      <c r="B32" s="112" t="s">
        <v>357</v>
      </c>
      <c r="C32" s="108">
        <v>50</v>
      </c>
      <c r="D32" s="113">
        <f>80</f>
        <v>80</v>
      </c>
      <c r="E32" s="113">
        <f>D32</f>
        <v>80</v>
      </c>
      <c r="F32" s="113">
        <f t="shared" ref="F32:N32" si="10">E32</f>
        <v>80</v>
      </c>
      <c r="G32" s="113">
        <f t="shared" si="10"/>
        <v>80</v>
      </c>
      <c r="H32" s="113">
        <f t="shared" si="10"/>
        <v>80</v>
      </c>
      <c r="I32" s="113">
        <f t="shared" si="10"/>
        <v>80</v>
      </c>
      <c r="J32" s="113">
        <f t="shared" si="10"/>
        <v>80</v>
      </c>
      <c r="K32" s="113">
        <f t="shared" si="10"/>
        <v>80</v>
      </c>
      <c r="L32" s="113">
        <f t="shared" si="10"/>
        <v>80</v>
      </c>
      <c r="M32" s="113">
        <f t="shared" si="10"/>
        <v>80</v>
      </c>
      <c r="N32" s="113">
        <f t="shared" si="10"/>
        <v>80</v>
      </c>
    </row>
    <row r="33" spans="2:22">
      <c r="B33" s="119" t="s">
        <v>358</v>
      </c>
      <c r="C33" s="108">
        <v>0</v>
      </c>
      <c r="D33" s="113">
        <f>C33</f>
        <v>0</v>
      </c>
      <c r="E33" s="113">
        <f t="shared" ref="E33:N33" si="11">D33</f>
        <v>0</v>
      </c>
      <c r="F33" s="113">
        <f t="shared" si="11"/>
        <v>0</v>
      </c>
      <c r="G33" s="113">
        <f t="shared" si="11"/>
        <v>0</v>
      </c>
      <c r="H33" s="113">
        <f t="shared" si="11"/>
        <v>0</v>
      </c>
      <c r="I33" s="113">
        <f t="shared" si="11"/>
        <v>0</v>
      </c>
      <c r="J33" s="113">
        <f t="shared" si="11"/>
        <v>0</v>
      </c>
      <c r="K33" s="113">
        <f t="shared" si="11"/>
        <v>0</v>
      </c>
      <c r="L33" s="113">
        <f t="shared" si="11"/>
        <v>0</v>
      </c>
      <c r="M33" s="113">
        <f t="shared" si="11"/>
        <v>0</v>
      </c>
      <c r="N33" s="113">
        <f t="shared" si="11"/>
        <v>0</v>
      </c>
    </row>
    <row r="34" spans="2:22">
      <c r="B34" s="112" t="s">
        <v>359</v>
      </c>
      <c r="C34" s="108">
        <f>C20</f>
        <v>700</v>
      </c>
      <c r="D34" s="113">
        <f>D20</f>
        <v>1000</v>
      </c>
      <c r="E34" s="113">
        <f t="shared" ref="E34:N34" si="12">E20</f>
        <v>1500</v>
      </c>
      <c r="F34" s="113">
        <f t="shared" si="12"/>
        <v>3000</v>
      </c>
      <c r="G34" s="113">
        <f t="shared" si="12"/>
        <v>2000</v>
      </c>
      <c r="H34" s="113">
        <f t="shared" si="12"/>
        <v>3000</v>
      </c>
      <c r="I34" s="113">
        <f t="shared" si="12"/>
        <v>4000</v>
      </c>
      <c r="J34" s="113">
        <f t="shared" si="12"/>
        <v>3000</v>
      </c>
      <c r="K34" s="113">
        <f t="shared" si="12"/>
        <v>4000</v>
      </c>
      <c r="L34" s="113">
        <f t="shared" si="12"/>
        <v>5000</v>
      </c>
      <c r="M34" s="113">
        <f t="shared" si="12"/>
        <v>4000</v>
      </c>
      <c r="N34" s="113">
        <f t="shared" si="12"/>
        <v>5000</v>
      </c>
    </row>
    <row r="35" spans="2:22" ht="19">
      <c r="B35" s="118" t="s">
        <v>360</v>
      </c>
      <c r="C35" s="115">
        <v>500</v>
      </c>
      <c r="D35" s="116">
        <f>C35</f>
        <v>500</v>
      </c>
      <c r="E35" s="116">
        <f t="shared" ref="E35:N35" si="13">D35</f>
        <v>500</v>
      </c>
      <c r="F35" s="116">
        <f t="shared" si="13"/>
        <v>500</v>
      </c>
      <c r="G35" s="116">
        <f t="shared" si="13"/>
        <v>500</v>
      </c>
      <c r="H35" s="116">
        <f t="shared" si="13"/>
        <v>500</v>
      </c>
      <c r="I35" s="116">
        <f t="shared" si="13"/>
        <v>500</v>
      </c>
      <c r="J35" s="116">
        <f t="shared" si="13"/>
        <v>500</v>
      </c>
      <c r="K35" s="116">
        <f t="shared" si="13"/>
        <v>500</v>
      </c>
      <c r="L35" s="116">
        <f t="shared" si="13"/>
        <v>500</v>
      </c>
      <c r="M35" s="116">
        <f t="shared" si="13"/>
        <v>500</v>
      </c>
      <c r="N35" s="116">
        <f t="shared" si="13"/>
        <v>500</v>
      </c>
      <c r="O35" s="117"/>
      <c r="P35" s="117"/>
      <c r="T35" s="117"/>
      <c r="U35" s="117"/>
      <c r="V35" s="117"/>
    </row>
    <row r="36" spans="2:22">
      <c r="B36" s="112" t="s">
        <v>361</v>
      </c>
      <c r="C36" s="108">
        <v>1250</v>
      </c>
      <c r="D36" s="113">
        <f>SUM(D32:D35)</f>
        <v>1580</v>
      </c>
      <c r="E36" s="113">
        <f t="shared" ref="E36:N36" si="14">SUM(E32:E35)</f>
        <v>2080</v>
      </c>
      <c r="F36" s="113">
        <f t="shared" si="14"/>
        <v>3580</v>
      </c>
      <c r="G36" s="113">
        <f t="shared" si="14"/>
        <v>2580</v>
      </c>
      <c r="H36" s="113">
        <f t="shared" si="14"/>
        <v>3580</v>
      </c>
      <c r="I36" s="113">
        <f t="shared" si="14"/>
        <v>4580</v>
      </c>
      <c r="J36" s="113">
        <f t="shared" si="14"/>
        <v>3580</v>
      </c>
      <c r="K36" s="113">
        <f t="shared" si="14"/>
        <v>4580</v>
      </c>
      <c r="L36" s="113">
        <f t="shared" si="14"/>
        <v>5580</v>
      </c>
      <c r="M36" s="113">
        <f t="shared" si="14"/>
        <v>4580</v>
      </c>
      <c r="N36" s="113">
        <f t="shared" si="14"/>
        <v>5580</v>
      </c>
    </row>
    <row r="37" spans="2:22" ht="19">
      <c r="B37" s="118" t="s">
        <v>362</v>
      </c>
      <c r="C37" s="115">
        <v>750</v>
      </c>
      <c r="D37" s="116">
        <f>C37+D24</f>
        <v>740</v>
      </c>
      <c r="E37" s="116">
        <f t="shared" ref="E37:N37" si="15">D37+E24</f>
        <v>730</v>
      </c>
      <c r="F37" s="116">
        <f t="shared" si="15"/>
        <v>720</v>
      </c>
      <c r="G37" s="116">
        <f t="shared" si="15"/>
        <v>710</v>
      </c>
      <c r="H37" s="116">
        <f t="shared" si="15"/>
        <v>700</v>
      </c>
      <c r="I37" s="116">
        <f t="shared" si="15"/>
        <v>690</v>
      </c>
      <c r="J37" s="116">
        <f t="shared" si="15"/>
        <v>680</v>
      </c>
      <c r="K37" s="116">
        <f t="shared" si="15"/>
        <v>670</v>
      </c>
      <c r="L37" s="116">
        <f t="shared" si="15"/>
        <v>660</v>
      </c>
      <c r="M37" s="116">
        <f t="shared" si="15"/>
        <v>650</v>
      </c>
      <c r="N37" s="116">
        <f t="shared" si="15"/>
        <v>640</v>
      </c>
      <c r="O37" s="117"/>
      <c r="P37" s="117"/>
    </row>
    <row r="38" spans="2:22">
      <c r="B38" s="112" t="s">
        <v>363</v>
      </c>
      <c r="C38" s="108">
        <f>C36+C37</f>
        <v>2000</v>
      </c>
      <c r="D38" s="113">
        <f>D36+D37</f>
        <v>2320</v>
      </c>
      <c r="E38" s="113">
        <f t="shared" ref="E38:N38" si="16">E36+E37</f>
        <v>2810</v>
      </c>
      <c r="F38" s="113">
        <f t="shared" si="16"/>
        <v>4300</v>
      </c>
      <c r="G38" s="113">
        <f t="shared" si="16"/>
        <v>3290</v>
      </c>
      <c r="H38" s="113">
        <f t="shared" si="16"/>
        <v>4280</v>
      </c>
      <c r="I38" s="113">
        <f t="shared" si="16"/>
        <v>5270</v>
      </c>
      <c r="J38" s="113">
        <f t="shared" si="16"/>
        <v>4260</v>
      </c>
      <c r="K38" s="113">
        <f t="shared" si="16"/>
        <v>5250</v>
      </c>
      <c r="L38" s="113">
        <f t="shared" si="16"/>
        <v>6240</v>
      </c>
      <c r="M38" s="113">
        <f t="shared" si="16"/>
        <v>5230</v>
      </c>
      <c r="N38" s="113">
        <f t="shared" si="16"/>
        <v>6220</v>
      </c>
    </row>
    <row r="39" spans="2:22">
      <c r="B39" s="112"/>
      <c r="C39" s="108"/>
      <c r="D39" s="120"/>
      <c r="E39" s="120"/>
      <c r="F39" s="120"/>
      <c r="G39" s="120"/>
      <c r="H39" s="120"/>
      <c r="I39" s="120"/>
      <c r="J39" s="120"/>
      <c r="K39" s="120"/>
      <c r="L39" s="120"/>
      <c r="M39" s="120"/>
      <c r="N39" s="120"/>
    </row>
    <row r="40" spans="2:22">
      <c r="B40" s="112" t="s">
        <v>364</v>
      </c>
      <c r="C40" s="108">
        <v>0</v>
      </c>
      <c r="D40" s="113">
        <f>C40</f>
        <v>0</v>
      </c>
      <c r="E40" s="113">
        <f t="shared" ref="E40:N40" si="17">D40</f>
        <v>0</v>
      </c>
      <c r="F40" s="113">
        <f t="shared" si="17"/>
        <v>0</v>
      </c>
      <c r="G40" s="113">
        <f t="shared" si="17"/>
        <v>0</v>
      </c>
      <c r="H40" s="113">
        <f t="shared" si="17"/>
        <v>0</v>
      </c>
      <c r="I40" s="113">
        <f t="shared" si="17"/>
        <v>0</v>
      </c>
      <c r="J40" s="113">
        <f t="shared" si="17"/>
        <v>0</v>
      </c>
      <c r="K40" s="113">
        <f t="shared" si="17"/>
        <v>0</v>
      </c>
      <c r="L40" s="113">
        <f t="shared" si="17"/>
        <v>0</v>
      </c>
      <c r="M40" s="113">
        <f t="shared" si="17"/>
        <v>0</v>
      </c>
      <c r="N40" s="113">
        <f t="shared" si="17"/>
        <v>0</v>
      </c>
    </row>
    <row r="41" spans="2:22" s="125" customFormat="1" ht="19">
      <c r="B41" s="121" t="s">
        <v>365</v>
      </c>
      <c r="C41" s="122">
        <v>0</v>
      </c>
      <c r="D41" s="123">
        <f>D38-D43-D44-D45</f>
        <v>252.79999999999995</v>
      </c>
      <c r="E41" s="123">
        <f>E38-E43-E44-E45</f>
        <v>638.11680000000001</v>
      </c>
      <c r="F41" s="123">
        <f t="shared" ref="F41:N41" si="18">F38-F43-F44-F45</f>
        <v>1908.7455007999999</v>
      </c>
      <c r="G41" s="123">
        <f t="shared" si="18"/>
        <v>764.99797380480004</v>
      </c>
      <c r="H41" s="123">
        <f t="shared" si="18"/>
        <v>1536.3879616476288</v>
      </c>
      <c r="I41" s="123">
        <f t="shared" si="18"/>
        <v>2234.4062894175145</v>
      </c>
      <c r="J41" s="123">
        <f t="shared" si="18"/>
        <v>1014.6127271540195</v>
      </c>
      <c r="K41" s="123">
        <f t="shared" si="18"/>
        <v>1709.5004035169436</v>
      </c>
      <c r="L41" s="123">
        <f t="shared" si="18"/>
        <v>2330.5574059380451</v>
      </c>
      <c r="M41" s="123">
        <f t="shared" si="18"/>
        <v>1033.3407503736735</v>
      </c>
      <c r="N41" s="123">
        <f t="shared" si="18"/>
        <v>1650.3407948759154</v>
      </c>
      <c r="O41" s="124"/>
      <c r="P41" s="124"/>
    </row>
    <row r="42" spans="2:22">
      <c r="B42" s="112" t="s">
        <v>366</v>
      </c>
      <c r="C42" s="108">
        <f>C40+C41</f>
        <v>0</v>
      </c>
      <c r="D42" s="113">
        <f>SUM(D40:D41)</f>
        <v>252.79999999999995</v>
      </c>
      <c r="E42" s="113">
        <f t="shared" ref="E42:N42" si="19">SUM(E40:E41)</f>
        <v>638.11680000000001</v>
      </c>
      <c r="F42" s="113">
        <f t="shared" si="19"/>
        <v>1908.7455007999999</v>
      </c>
      <c r="G42" s="113">
        <f t="shared" si="19"/>
        <v>764.99797380480004</v>
      </c>
      <c r="H42" s="113">
        <f t="shared" si="19"/>
        <v>1536.3879616476288</v>
      </c>
      <c r="I42" s="113">
        <f t="shared" si="19"/>
        <v>2234.4062894175145</v>
      </c>
      <c r="J42" s="113">
        <f t="shared" si="19"/>
        <v>1014.6127271540195</v>
      </c>
      <c r="K42" s="113">
        <f t="shared" si="19"/>
        <v>1709.5004035169436</v>
      </c>
      <c r="L42" s="113">
        <f t="shared" si="19"/>
        <v>2330.5574059380451</v>
      </c>
      <c r="M42" s="113">
        <f t="shared" si="19"/>
        <v>1033.3407503736735</v>
      </c>
      <c r="N42" s="113">
        <f t="shared" si="19"/>
        <v>1650.3407948759154</v>
      </c>
    </row>
    <row r="43" spans="2:22">
      <c r="B43" s="112" t="s">
        <v>367</v>
      </c>
      <c r="C43" s="108">
        <v>800</v>
      </c>
      <c r="D43" s="113">
        <f>C43</f>
        <v>800</v>
      </c>
      <c r="E43" s="113">
        <f t="shared" ref="E43:N44" si="20">D43</f>
        <v>800</v>
      </c>
      <c r="F43" s="113">
        <f t="shared" si="20"/>
        <v>800</v>
      </c>
      <c r="G43" s="113">
        <f t="shared" si="20"/>
        <v>800</v>
      </c>
      <c r="H43" s="113">
        <f t="shared" si="20"/>
        <v>800</v>
      </c>
      <c r="I43" s="113">
        <f t="shared" si="20"/>
        <v>800</v>
      </c>
      <c r="J43" s="113">
        <f t="shared" si="20"/>
        <v>800</v>
      </c>
      <c r="K43" s="113">
        <f t="shared" si="20"/>
        <v>800</v>
      </c>
      <c r="L43" s="113">
        <f t="shared" si="20"/>
        <v>800</v>
      </c>
      <c r="M43" s="113">
        <f t="shared" si="20"/>
        <v>800</v>
      </c>
      <c r="N43" s="113">
        <f t="shared" si="20"/>
        <v>800</v>
      </c>
    </row>
    <row r="44" spans="2:22">
      <c r="B44" s="112" t="s">
        <v>368</v>
      </c>
      <c r="C44" s="108">
        <v>400</v>
      </c>
      <c r="D44" s="113">
        <f>C44</f>
        <v>400</v>
      </c>
      <c r="E44" s="113">
        <f t="shared" si="20"/>
        <v>400</v>
      </c>
      <c r="F44" s="113">
        <f t="shared" si="20"/>
        <v>400</v>
      </c>
      <c r="G44" s="113">
        <f t="shared" si="20"/>
        <v>400</v>
      </c>
      <c r="H44" s="113">
        <f t="shared" si="20"/>
        <v>400</v>
      </c>
      <c r="I44" s="113">
        <f t="shared" si="20"/>
        <v>400</v>
      </c>
      <c r="J44" s="113">
        <f t="shared" si="20"/>
        <v>400</v>
      </c>
      <c r="K44" s="113">
        <f t="shared" si="20"/>
        <v>400</v>
      </c>
      <c r="L44" s="113">
        <f t="shared" si="20"/>
        <v>400</v>
      </c>
      <c r="M44" s="113">
        <f t="shared" si="20"/>
        <v>400</v>
      </c>
      <c r="N44" s="113">
        <f t="shared" si="20"/>
        <v>400</v>
      </c>
    </row>
    <row r="45" spans="2:22" ht="19">
      <c r="B45" s="118" t="s">
        <v>12</v>
      </c>
      <c r="C45" s="115">
        <v>800</v>
      </c>
      <c r="D45" s="116">
        <f>C45+D29</f>
        <v>867.2</v>
      </c>
      <c r="E45" s="116">
        <f t="shared" ref="E45:N45" si="21">D45+E29</f>
        <v>971.88319999999999</v>
      </c>
      <c r="F45" s="116">
        <f t="shared" si="21"/>
        <v>1191.2544992000001</v>
      </c>
      <c r="G45" s="116">
        <f t="shared" si="21"/>
        <v>1325.0020261952</v>
      </c>
      <c r="H45" s="116">
        <f t="shared" si="21"/>
        <v>1543.6120383523712</v>
      </c>
      <c r="I45" s="116">
        <f t="shared" si="21"/>
        <v>1835.5937105824855</v>
      </c>
      <c r="J45" s="116">
        <f t="shared" si="21"/>
        <v>2045.3872728459805</v>
      </c>
      <c r="K45" s="116">
        <f t="shared" si="21"/>
        <v>2340.4995964830564</v>
      </c>
      <c r="L45" s="116">
        <f t="shared" si="21"/>
        <v>2709.4425940619549</v>
      </c>
      <c r="M45" s="116">
        <f t="shared" si="21"/>
        <v>2996.6592496263265</v>
      </c>
      <c r="N45" s="116">
        <f t="shared" si="21"/>
        <v>3369.6592051240846</v>
      </c>
      <c r="O45" s="117"/>
      <c r="P45" s="117"/>
    </row>
    <row r="46" spans="2:22">
      <c r="B46" s="112" t="s">
        <v>369</v>
      </c>
      <c r="C46" s="108">
        <f>SUM(C42:C45)</f>
        <v>2000</v>
      </c>
      <c r="D46" s="113">
        <f>SUM(D42:D45)</f>
        <v>2320</v>
      </c>
      <c r="E46" s="113">
        <f t="shared" ref="E46:N46" si="22">SUM(E42:E45)</f>
        <v>2810</v>
      </c>
      <c r="F46" s="113">
        <f t="shared" si="22"/>
        <v>4300</v>
      </c>
      <c r="G46" s="113">
        <f t="shared" si="22"/>
        <v>3290</v>
      </c>
      <c r="H46" s="113">
        <f t="shared" si="22"/>
        <v>4280</v>
      </c>
      <c r="I46" s="113">
        <f t="shared" si="22"/>
        <v>5270</v>
      </c>
      <c r="J46" s="113">
        <f t="shared" si="22"/>
        <v>4260</v>
      </c>
      <c r="K46" s="113">
        <f t="shared" si="22"/>
        <v>5250</v>
      </c>
      <c r="L46" s="113">
        <f t="shared" si="22"/>
        <v>6240</v>
      </c>
      <c r="M46" s="113">
        <f t="shared" si="22"/>
        <v>5230</v>
      </c>
      <c r="N46" s="113">
        <f t="shared" si="22"/>
        <v>6220</v>
      </c>
    </row>
    <row r="47" spans="2:22">
      <c r="B47" s="112"/>
    </row>
    <row r="48" spans="2:22" ht="18">
      <c r="B48" s="104" t="s">
        <v>370</v>
      </c>
      <c r="C48" s="105" t="s">
        <v>13</v>
      </c>
      <c r="D48" s="105" t="s">
        <v>14</v>
      </c>
      <c r="E48" s="105" t="s">
        <v>15</v>
      </c>
      <c r="F48" s="105" t="s">
        <v>343</v>
      </c>
      <c r="G48" s="105" t="s">
        <v>5</v>
      </c>
      <c r="H48" s="105" t="s">
        <v>344</v>
      </c>
      <c r="I48" s="105" t="s">
        <v>16</v>
      </c>
      <c r="J48" s="105" t="s">
        <v>17</v>
      </c>
      <c r="K48" s="105" t="s">
        <v>18</v>
      </c>
      <c r="L48" s="105" t="s">
        <v>19</v>
      </c>
      <c r="M48" s="105" t="s">
        <v>20</v>
      </c>
      <c r="N48" s="105" t="s">
        <v>21</v>
      </c>
      <c r="O48" s="98"/>
      <c r="P48" s="98"/>
    </row>
    <row r="49" spans="2:16">
      <c r="B49" s="126" t="s">
        <v>371</v>
      </c>
      <c r="C49" s="101"/>
    </row>
    <row r="50" spans="2:16">
      <c r="B50" s="112" t="s">
        <v>220</v>
      </c>
      <c r="D50" s="113">
        <f>D29</f>
        <v>67.199999999999989</v>
      </c>
      <c r="E50" s="113">
        <f>E29</f>
        <v>104.6832</v>
      </c>
      <c r="F50" s="113">
        <f t="shared" ref="F50:N50" si="23">F29</f>
        <v>219.37129919999998</v>
      </c>
      <c r="G50" s="113">
        <f t="shared" si="23"/>
        <v>133.74752699519999</v>
      </c>
      <c r="H50" s="113">
        <f t="shared" si="23"/>
        <v>218.61001215717121</v>
      </c>
      <c r="I50" s="113">
        <f t="shared" si="23"/>
        <v>291.98167223011421</v>
      </c>
      <c r="J50" s="113">
        <f t="shared" si="23"/>
        <v>209.79356226349492</v>
      </c>
      <c r="K50" s="113">
        <f t="shared" si="23"/>
        <v>295.11232363707586</v>
      </c>
      <c r="L50" s="113">
        <f t="shared" si="23"/>
        <v>368.94299757889826</v>
      </c>
      <c r="M50" s="113">
        <f t="shared" si="23"/>
        <v>287.21665556437176</v>
      </c>
      <c r="N50" s="113">
        <f t="shared" si="23"/>
        <v>372.99995549775798</v>
      </c>
    </row>
    <row r="51" spans="2:16">
      <c r="B51" s="112" t="s">
        <v>213</v>
      </c>
      <c r="D51" s="113">
        <f>-D24</f>
        <v>10</v>
      </c>
      <c r="E51" s="113">
        <f>-E24</f>
        <v>10</v>
      </c>
      <c r="F51" s="113">
        <f t="shared" ref="F51:N51" si="24">-F24</f>
        <v>10</v>
      </c>
      <c r="G51" s="113">
        <f t="shared" si="24"/>
        <v>10</v>
      </c>
      <c r="H51" s="113">
        <f t="shared" si="24"/>
        <v>10</v>
      </c>
      <c r="I51" s="113">
        <f t="shared" si="24"/>
        <v>10</v>
      </c>
      <c r="J51" s="113">
        <f t="shared" si="24"/>
        <v>10</v>
      </c>
      <c r="K51" s="113">
        <f t="shared" si="24"/>
        <v>10</v>
      </c>
      <c r="L51" s="113">
        <f t="shared" si="24"/>
        <v>10</v>
      </c>
      <c r="M51" s="113">
        <f t="shared" si="24"/>
        <v>10</v>
      </c>
      <c r="N51" s="113">
        <f t="shared" si="24"/>
        <v>10</v>
      </c>
    </row>
    <row r="52" spans="2:16">
      <c r="B52" s="112" t="s">
        <v>372</v>
      </c>
      <c r="D52" s="113">
        <f>C34-D34</f>
        <v>-300</v>
      </c>
      <c r="E52" s="113">
        <f>D34-E34</f>
        <v>-500</v>
      </c>
      <c r="F52" s="113">
        <f t="shared" ref="F52:N53" si="25">E34-F34</f>
        <v>-1500</v>
      </c>
      <c r="G52" s="113">
        <f t="shared" si="25"/>
        <v>1000</v>
      </c>
      <c r="H52" s="113">
        <f t="shared" si="25"/>
        <v>-1000</v>
      </c>
      <c r="I52" s="113">
        <f t="shared" si="25"/>
        <v>-1000</v>
      </c>
      <c r="J52" s="113">
        <f t="shared" si="25"/>
        <v>1000</v>
      </c>
      <c r="K52" s="113">
        <f t="shared" si="25"/>
        <v>-1000</v>
      </c>
      <c r="L52" s="113">
        <f t="shared" si="25"/>
        <v>-1000</v>
      </c>
      <c r="M52" s="113">
        <f t="shared" si="25"/>
        <v>1000</v>
      </c>
      <c r="N52" s="113">
        <f t="shared" si="25"/>
        <v>-1000</v>
      </c>
    </row>
    <row r="53" spans="2:16">
      <c r="B53" s="112" t="s">
        <v>373</v>
      </c>
      <c r="D53" s="113">
        <f>C35-D35</f>
        <v>0</v>
      </c>
      <c r="E53" s="113">
        <f>D35-E35</f>
        <v>0</v>
      </c>
      <c r="F53" s="113">
        <f t="shared" si="25"/>
        <v>0</v>
      </c>
      <c r="G53" s="113">
        <f t="shared" si="25"/>
        <v>0</v>
      </c>
      <c r="H53" s="113">
        <f t="shared" si="25"/>
        <v>0</v>
      </c>
      <c r="I53" s="113">
        <f t="shared" si="25"/>
        <v>0</v>
      </c>
      <c r="J53" s="113">
        <f t="shared" si="25"/>
        <v>0</v>
      </c>
      <c r="K53" s="113">
        <f t="shared" si="25"/>
        <v>0</v>
      </c>
      <c r="L53" s="113">
        <f t="shared" si="25"/>
        <v>0</v>
      </c>
      <c r="M53" s="113">
        <f t="shared" si="25"/>
        <v>0</v>
      </c>
      <c r="N53" s="113">
        <f t="shared" si="25"/>
        <v>0</v>
      </c>
    </row>
    <row r="54" spans="2:16" ht="19">
      <c r="B54" s="118" t="s">
        <v>374</v>
      </c>
      <c r="D54" s="116">
        <f>D40-C40</f>
        <v>0</v>
      </c>
      <c r="E54" s="116">
        <f>E40-D40</f>
        <v>0</v>
      </c>
      <c r="F54" s="116">
        <f t="shared" ref="F54:N54" si="26">F40-E40</f>
        <v>0</v>
      </c>
      <c r="G54" s="116">
        <f t="shared" si="26"/>
        <v>0</v>
      </c>
      <c r="H54" s="116">
        <f t="shared" si="26"/>
        <v>0</v>
      </c>
      <c r="I54" s="116">
        <f t="shared" si="26"/>
        <v>0</v>
      </c>
      <c r="J54" s="116">
        <f t="shared" si="26"/>
        <v>0</v>
      </c>
      <c r="K54" s="116">
        <f t="shared" si="26"/>
        <v>0</v>
      </c>
      <c r="L54" s="116">
        <f t="shared" si="26"/>
        <v>0</v>
      </c>
      <c r="M54" s="116">
        <f t="shared" si="26"/>
        <v>0</v>
      </c>
      <c r="N54" s="116">
        <f t="shared" si="26"/>
        <v>0</v>
      </c>
      <c r="O54" s="117"/>
      <c r="P54" s="117"/>
    </row>
    <row r="55" spans="2:16">
      <c r="B55" s="112" t="s">
        <v>375</v>
      </c>
      <c r="D55" s="113">
        <f>SUM(D50:D54)</f>
        <v>-222.8</v>
      </c>
      <c r="E55" s="113">
        <f>SUM(E50:E54)</f>
        <v>-385.3168</v>
      </c>
      <c r="F55" s="113">
        <f t="shared" ref="F55:N55" si="27">SUM(F50:F54)</f>
        <v>-1270.6287007999999</v>
      </c>
      <c r="G55" s="113">
        <f t="shared" si="27"/>
        <v>1143.7475269951999</v>
      </c>
      <c r="H55" s="113">
        <f t="shared" si="27"/>
        <v>-771.38998784282876</v>
      </c>
      <c r="I55" s="113">
        <f t="shared" si="27"/>
        <v>-698.01832776988579</v>
      </c>
      <c r="J55" s="113">
        <f t="shared" si="27"/>
        <v>1219.793562263495</v>
      </c>
      <c r="K55" s="113">
        <f t="shared" si="27"/>
        <v>-694.88767636292414</v>
      </c>
      <c r="L55" s="113">
        <f t="shared" si="27"/>
        <v>-621.05700242110174</v>
      </c>
      <c r="M55" s="113">
        <f t="shared" si="27"/>
        <v>1297.2166555643716</v>
      </c>
      <c r="N55" s="113">
        <f t="shared" si="27"/>
        <v>-617.00004450224196</v>
      </c>
    </row>
    <row r="56" spans="2:16">
      <c r="B56" s="126" t="s">
        <v>376</v>
      </c>
      <c r="C56" s="101"/>
      <c r="D56" s="120"/>
      <c r="E56" s="120"/>
      <c r="F56" s="120"/>
      <c r="G56" s="120"/>
      <c r="H56" s="120"/>
      <c r="I56" s="120"/>
      <c r="J56" s="120"/>
      <c r="K56" s="120"/>
      <c r="L56" s="120"/>
      <c r="M56" s="120"/>
      <c r="N56" s="120"/>
    </row>
    <row r="57" spans="2:16" ht="19">
      <c r="B57" s="118" t="s">
        <v>377</v>
      </c>
      <c r="C57" s="127"/>
      <c r="D57" s="128">
        <f>0</f>
        <v>0</v>
      </c>
      <c r="E57" s="128">
        <f>0</f>
        <v>0</v>
      </c>
      <c r="F57" s="128">
        <f>0</f>
        <v>0</v>
      </c>
      <c r="G57" s="128">
        <f>0</f>
        <v>0</v>
      </c>
      <c r="H57" s="128">
        <f>0</f>
        <v>0</v>
      </c>
      <c r="I57" s="128">
        <f>0</f>
        <v>0</v>
      </c>
      <c r="J57" s="128">
        <f>0</f>
        <v>0</v>
      </c>
      <c r="K57" s="128">
        <f>0</f>
        <v>0</v>
      </c>
      <c r="L57" s="128">
        <f>0</f>
        <v>0</v>
      </c>
      <c r="M57" s="128">
        <f>0</f>
        <v>0</v>
      </c>
      <c r="N57" s="128">
        <f>0</f>
        <v>0</v>
      </c>
      <c r="O57" s="117"/>
      <c r="P57" s="117"/>
    </row>
    <row r="58" spans="2:16">
      <c r="B58" s="112" t="s">
        <v>378</v>
      </c>
      <c r="D58" s="113">
        <f>D57</f>
        <v>0</v>
      </c>
      <c r="E58" s="113">
        <f>E57</f>
        <v>0</v>
      </c>
      <c r="F58" s="113">
        <f t="shared" ref="F58:N58" si="28">F57</f>
        <v>0</v>
      </c>
      <c r="G58" s="113">
        <f t="shared" si="28"/>
        <v>0</v>
      </c>
      <c r="H58" s="113">
        <f t="shared" si="28"/>
        <v>0</v>
      </c>
      <c r="I58" s="113">
        <f t="shared" si="28"/>
        <v>0</v>
      </c>
      <c r="J58" s="113">
        <f t="shared" si="28"/>
        <v>0</v>
      </c>
      <c r="K58" s="113">
        <f t="shared" si="28"/>
        <v>0</v>
      </c>
      <c r="L58" s="113">
        <f t="shared" si="28"/>
        <v>0</v>
      </c>
      <c r="M58" s="113">
        <f t="shared" si="28"/>
        <v>0</v>
      </c>
      <c r="N58" s="113">
        <f t="shared" si="28"/>
        <v>0</v>
      </c>
      <c r="O58" s="117"/>
      <c r="P58" s="117"/>
    </row>
    <row r="59" spans="2:16">
      <c r="B59" s="126" t="s">
        <v>379</v>
      </c>
      <c r="C59" s="101"/>
      <c r="D59" s="120"/>
      <c r="E59" s="120"/>
      <c r="F59" s="120"/>
      <c r="G59" s="120"/>
      <c r="H59" s="120"/>
      <c r="I59" s="120"/>
      <c r="J59" s="120"/>
      <c r="K59" s="120"/>
      <c r="L59" s="120"/>
      <c r="M59" s="120"/>
      <c r="N59" s="120"/>
    </row>
    <row r="60" spans="2:16" ht="19">
      <c r="B60" s="129" t="s">
        <v>380</v>
      </c>
      <c r="D60" s="116">
        <f>D41-C41</f>
        <v>252.79999999999995</v>
      </c>
      <c r="E60" s="116">
        <f>E41-D41</f>
        <v>385.31680000000006</v>
      </c>
      <c r="F60" s="116">
        <f t="shared" ref="F60:N60" si="29">F41-E41</f>
        <v>1270.6287007999999</v>
      </c>
      <c r="G60" s="116">
        <f t="shared" si="29"/>
        <v>-1143.7475269951999</v>
      </c>
      <c r="H60" s="116">
        <f t="shared" si="29"/>
        <v>771.38998784282876</v>
      </c>
      <c r="I60" s="116">
        <f t="shared" si="29"/>
        <v>698.01832776988567</v>
      </c>
      <c r="J60" s="116">
        <f t="shared" si="29"/>
        <v>-1219.793562263495</v>
      </c>
      <c r="K60" s="116">
        <f t="shared" si="29"/>
        <v>694.88767636292414</v>
      </c>
      <c r="L60" s="116">
        <f t="shared" si="29"/>
        <v>621.05700242110152</v>
      </c>
      <c r="M60" s="116">
        <f t="shared" si="29"/>
        <v>-1297.2166555643716</v>
      </c>
      <c r="N60" s="116">
        <f t="shared" si="29"/>
        <v>617.00004450224196</v>
      </c>
      <c r="O60" s="117"/>
      <c r="P60" s="117"/>
    </row>
    <row r="61" spans="2:16">
      <c r="B61" s="112" t="s">
        <v>381</v>
      </c>
      <c r="D61" s="113">
        <f>D60</f>
        <v>252.79999999999995</v>
      </c>
      <c r="E61" s="113">
        <f>E60</f>
        <v>385.31680000000006</v>
      </c>
      <c r="F61" s="113">
        <f t="shared" ref="F61:N61" si="30">F60</f>
        <v>1270.6287007999999</v>
      </c>
      <c r="G61" s="113">
        <f t="shared" si="30"/>
        <v>-1143.7475269951999</v>
      </c>
      <c r="H61" s="113">
        <f t="shared" si="30"/>
        <v>771.38998784282876</v>
      </c>
      <c r="I61" s="113">
        <f t="shared" si="30"/>
        <v>698.01832776988567</v>
      </c>
      <c r="J61" s="113">
        <f t="shared" si="30"/>
        <v>-1219.793562263495</v>
      </c>
      <c r="K61" s="113">
        <f t="shared" si="30"/>
        <v>694.88767636292414</v>
      </c>
      <c r="L61" s="113">
        <f t="shared" si="30"/>
        <v>621.05700242110152</v>
      </c>
      <c r="M61" s="113">
        <f t="shared" si="30"/>
        <v>-1297.2166555643716</v>
      </c>
      <c r="N61" s="113">
        <f t="shared" si="30"/>
        <v>617.00004450224196</v>
      </c>
      <c r="O61" s="117"/>
      <c r="P61" s="117"/>
    </row>
    <row r="62" spans="2:16">
      <c r="B62" s="130"/>
      <c r="D62" s="131"/>
      <c r="E62" s="131"/>
      <c r="F62" s="131"/>
      <c r="G62" s="131"/>
      <c r="H62" s="131"/>
      <c r="I62" s="131"/>
      <c r="J62" s="131"/>
      <c r="K62" s="131"/>
      <c r="L62" s="131"/>
      <c r="M62" s="131"/>
      <c r="N62" s="131"/>
      <c r="O62" s="117"/>
      <c r="P62" s="117"/>
    </row>
    <row r="63" spans="2:16">
      <c r="B63" s="112" t="s">
        <v>382</v>
      </c>
      <c r="D63" s="113">
        <f>D55+D58+D61</f>
        <v>29.999999999999943</v>
      </c>
      <c r="E63" s="113">
        <f>E55+E58+E61</f>
        <v>0</v>
      </c>
      <c r="F63" s="113">
        <f t="shared" ref="F63:N63" si="31">F55+F58+F61</f>
        <v>0</v>
      </c>
      <c r="G63" s="113">
        <f t="shared" si="31"/>
        <v>0</v>
      </c>
      <c r="H63" s="113">
        <f t="shared" si="31"/>
        <v>0</v>
      </c>
      <c r="I63" s="113">
        <f t="shared" si="31"/>
        <v>0</v>
      </c>
      <c r="J63" s="113">
        <f t="shared" si="31"/>
        <v>0</v>
      </c>
      <c r="K63" s="113">
        <f t="shared" si="31"/>
        <v>0</v>
      </c>
      <c r="L63" s="113">
        <f t="shared" si="31"/>
        <v>0</v>
      </c>
      <c r="M63" s="113">
        <f t="shared" si="31"/>
        <v>0</v>
      </c>
      <c r="N63" s="113">
        <f t="shared" si="31"/>
        <v>0</v>
      </c>
    </row>
    <row r="64" spans="2:16" ht="19">
      <c r="B64" s="118" t="s">
        <v>383</v>
      </c>
      <c r="D64" s="116">
        <f>C32</f>
        <v>50</v>
      </c>
      <c r="E64" s="116">
        <f>D32</f>
        <v>80</v>
      </c>
      <c r="F64" s="116">
        <f t="shared" ref="F64:N64" si="32">E32</f>
        <v>80</v>
      </c>
      <c r="G64" s="116">
        <f t="shared" si="32"/>
        <v>80</v>
      </c>
      <c r="H64" s="116">
        <f t="shared" si="32"/>
        <v>80</v>
      </c>
      <c r="I64" s="116">
        <f t="shared" si="32"/>
        <v>80</v>
      </c>
      <c r="J64" s="116">
        <f t="shared" si="32"/>
        <v>80</v>
      </c>
      <c r="K64" s="116">
        <f t="shared" si="32"/>
        <v>80</v>
      </c>
      <c r="L64" s="116">
        <f t="shared" si="32"/>
        <v>80</v>
      </c>
      <c r="M64" s="116">
        <f t="shared" si="32"/>
        <v>80</v>
      </c>
      <c r="N64" s="116">
        <f t="shared" si="32"/>
        <v>80</v>
      </c>
    </row>
    <row r="65" spans="2:16">
      <c r="B65" s="130" t="s">
        <v>384</v>
      </c>
      <c r="C65" s="101"/>
      <c r="D65" s="132">
        <f>D63+D64</f>
        <v>79.999999999999943</v>
      </c>
      <c r="E65" s="132">
        <f>E63+E64</f>
        <v>80</v>
      </c>
      <c r="F65" s="132">
        <f t="shared" ref="F65:N65" si="33">F63+F64</f>
        <v>80</v>
      </c>
      <c r="G65" s="132">
        <f t="shared" si="33"/>
        <v>80</v>
      </c>
      <c r="H65" s="132">
        <f t="shared" si="33"/>
        <v>80</v>
      </c>
      <c r="I65" s="132">
        <f t="shared" si="33"/>
        <v>80</v>
      </c>
      <c r="J65" s="132">
        <f t="shared" si="33"/>
        <v>80</v>
      </c>
      <c r="K65" s="132">
        <f t="shared" si="33"/>
        <v>80</v>
      </c>
      <c r="L65" s="132">
        <f t="shared" si="33"/>
        <v>80</v>
      </c>
      <c r="M65" s="132">
        <f t="shared" si="33"/>
        <v>80</v>
      </c>
      <c r="N65" s="132">
        <f t="shared" si="33"/>
        <v>80</v>
      </c>
      <c r="O65" s="117"/>
      <c r="P65" s="117"/>
    </row>
    <row r="66" spans="2:16">
      <c r="B66" s="130"/>
      <c r="D66" s="120"/>
      <c r="E66" s="120"/>
      <c r="F66" s="120"/>
      <c r="G66" s="120"/>
      <c r="H66" s="120"/>
      <c r="I66" s="120"/>
      <c r="J66" s="120"/>
      <c r="K66" s="120"/>
      <c r="L66" s="120"/>
      <c r="M66" s="120"/>
      <c r="N66" s="120"/>
    </row>
    <row r="67" spans="2:16">
      <c r="B67" s="112" t="s">
        <v>385</v>
      </c>
      <c r="D67" s="113">
        <f>D41-C41</f>
        <v>252.79999999999995</v>
      </c>
      <c r="E67" s="113">
        <f>E41-D41</f>
        <v>385.31680000000006</v>
      </c>
      <c r="F67" s="113">
        <f t="shared" ref="F67:N67" si="34">F41-E41</f>
        <v>1270.6287007999999</v>
      </c>
      <c r="G67" s="113">
        <f t="shared" si="34"/>
        <v>-1143.7475269951999</v>
      </c>
      <c r="H67" s="113">
        <f t="shared" si="34"/>
        <v>771.38998784282876</v>
      </c>
      <c r="I67" s="113">
        <f t="shared" si="34"/>
        <v>698.01832776988567</v>
      </c>
      <c r="J67" s="113">
        <f t="shared" si="34"/>
        <v>-1219.793562263495</v>
      </c>
      <c r="K67" s="113">
        <f t="shared" si="34"/>
        <v>694.88767636292414</v>
      </c>
      <c r="L67" s="113">
        <f t="shared" si="34"/>
        <v>621.05700242110152</v>
      </c>
      <c r="M67" s="113">
        <f t="shared" si="34"/>
        <v>-1297.2166555643716</v>
      </c>
      <c r="N67" s="113">
        <f t="shared" si="34"/>
        <v>617.00004450224196</v>
      </c>
    </row>
    <row r="68" spans="2:16">
      <c r="B68" s="112" t="s">
        <v>386</v>
      </c>
      <c r="D68" s="113">
        <f>D67</f>
        <v>252.79999999999995</v>
      </c>
      <c r="E68" s="113">
        <f>D68+E67</f>
        <v>638.11680000000001</v>
      </c>
      <c r="F68" s="113">
        <f t="shared" ref="F68:N68" si="35">E68+F67</f>
        <v>1908.7455007999999</v>
      </c>
      <c r="G68" s="113">
        <f t="shared" si="35"/>
        <v>764.99797380480004</v>
      </c>
      <c r="H68" s="113">
        <f t="shared" si="35"/>
        <v>1536.3879616476288</v>
      </c>
      <c r="I68" s="113">
        <f t="shared" si="35"/>
        <v>2234.4062894175145</v>
      </c>
      <c r="J68" s="113">
        <f t="shared" si="35"/>
        <v>1014.6127271540195</v>
      </c>
      <c r="K68" s="113">
        <f t="shared" si="35"/>
        <v>1709.5004035169436</v>
      </c>
      <c r="L68" s="113">
        <f t="shared" si="35"/>
        <v>2330.5574059380451</v>
      </c>
      <c r="M68" s="113">
        <f t="shared" si="35"/>
        <v>1033.3407503736735</v>
      </c>
      <c r="N68" s="113">
        <f t="shared" si="35"/>
        <v>1650.3407948759154</v>
      </c>
    </row>
    <row r="69" spans="2:16">
      <c r="B69" s="112"/>
    </row>
    <row r="70" spans="2:16" ht="18">
      <c r="B70" s="104" t="s">
        <v>387</v>
      </c>
      <c r="C70" s="105" t="s">
        <v>13</v>
      </c>
      <c r="D70" s="105" t="s">
        <v>14</v>
      </c>
      <c r="E70" s="105" t="s">
        <v>15</v>
      </c>
      <c r="F70" s="105" t="s">
        <v>343</v>
      </c>
      <c r="G70" s="105" t="s">
        <v>5</v>
      </c>
      <c r="H70" s="105" t="s">
        <v>344</v>
      </c>
      <c r="I70" s="105" t="s">
        <v>16</v>
      </c>
      <c r="J70" s="105" t="s">
        <v>17</v>
      </c>
      <c r="K70" s="105" t="s">
        <v>18</v>
      </c>
      <c r="L70" s="105" t="s">
        <v>19</v>
      </c>
      <c r="M70" s="105" t="s">
        <v>20</v>
      </c>
      <c r="N70" s="105" t="s">
        <v>21</v>
      </c>
      <c r="O70" s="98"/>
      <c r="P70" s="98"/>
    </row>
    <row r="71" spans="2:16">
      <c r="B71" s="112" t="s">
        <v>388</v>
      </c>
      <c r="D71" s="113">
        <f>C34</f>
        <v>700</v>
      </c>
      <c r="E71" s="113">
        <f t="shared" ref="E71:N71" si="36">D34</f>
        <v>1000</v>
      </c>
      <c r="F71" s="113">
        <f t="shared" si="36"/>
        <v>1500</v>
      </c>
      <c r="G71" s="113">
        <f t="shared" si="36"/>
        <v>3000</v>
      </c>
      <c r="H71" s="113">
        <f t="shared" si="36"/>
        <v>2000</v>
      </c>
      <c r="I71" s="113">
        <f t="shared" si="36"/>
        <v>3000</v>
      </c>
      <c r="J71" s="113">
        <f t="shared" si="36"/>
        <v>4000</v>
      </c>
      <c r="K71" s="113">
        <f t="shared" si="36"/>
        <v>3000</v>
      </c>
      <c r="L71" s="113">
        <f t="shared" si="36"/>
        <v>4000</v>
      </c>
      <c r="M71" s="113">
        <f t="shared" si="36"/>
        <v>5000</v>
      </c>
      <c r="N71" s="113">
        <f t="shared" si="36"/>
        <v>4000</v>
      </c>
    </row>
    <row r="72" spans="2:16">
      <c r="B72" s="112" t="s">
        <v>389</v>
      </c>
      <c r="D72" s="113">
        <f>D21</f>
        <v>-800</v>
      </c>
      <c r="E72" s="113">
        <f t="shared" ref="E72:N72" si="37">E21</f>
        <v>-1200</v>
      </c>
      <c r="F72" s="113">
        <f t="shared" si="37"/>
        <v>-2400</v>
      </c>
      <c r="G72" s="113">
        <f t="shared" si="37"/>
        <v>-1600</v>
      </c>
      <c r="H72" s="113">
        <f t="shared" si="37"/>
        <v>-2400</v>
      </c>
      <c r="I72" s="113">
        <f t="shared" si="37"/>
        <v>-3200</v>
      </c>
      <c r="J72" s="113">
        <f t="shared" si="37"/>
        <v>-2400</v>
      </c>
      <c r="K72" s="113">
        <f t="shared" si="37"/>
        <v>-3200</v>
      </c>
      <c r="L72" s="113">
        <f t="shared" si="37"/>
        <v>-4000</v>
      </c>
      <c r="M72" s="113">
        <f t="shared" si="37"/>
        <v>-3200</v>
      </c>
      <c r="N72" s="113">
        <f t="shared" si="37"/>
        <v>-4000</v>
      </c>
    </row>
    <row r="73" spans="2:16">
      <c r="B73" s="112" t="s">
        <v>390</v>
      </c>
      <c r="D73" s="113">
        <f>D23</f>
        <v>-70</v>
      </c>
      <c r="E73" s="113">
        <f t="shared" ref="E73:N73" si="38">E23</f>
        <v>-105.00000000000001</v>
      </c>
      <c r="F73" s="113">
        <f t="shared" si="38"/>
        <v>-210.00000000000003</v>
      </c>
      <c r="G73" s="113">
        <f t="shared" si="38"/>
        <v>-140</v>
      </c>
      <c r="H73" s="113">
        <f t="shared" si="38"/>
        <v>-210.00000000000003</v>
      </c>
      <c r="I73" s="113">
        <f t="shared" si="38"/>
        <v>-280</v>
      </c>
      <c r="J73" s="113">
        <f t="shared" si="38"/>
        <v>-210.00000000000003</v>
      </c>
      <c r="K73" s="113">
        <f t="shared" si="38"/>
        <v>-280</v>
      </c>
      <c r="L73" s="113">
        <f t="shared" si="38"/>
        <v>-350.00000000000006</v>
      </c>
      <c r="M73" s="113">
        <f t="shared" si="38"/>
        <v>-280</v>
      </c>
      <c r="N73" s="113">
        <f t="shared" si="38"/>
        <v>-350.00000000000006</v>
      </c>
    </row>
    <row r="74" spans="2:16">
      <c r="B74" s="112" t="s">
        <v>391</v>
      </c>
      <c r="D74" s="113">
        <f>D26</f>
        <v>-8</v>
      </c>
      <c r="E74" s="113">
        <f t="shared" ref="E74:N74" si="39">E26</f>
        <v>-10.528</v>
      </c>
      <c r="F74" s="113">
        <f t="shared" si="39"/>
        <v>-14.381168000000001</v>
      </c>
      <c r="G74" s="113">
        <f t="shared" si="39"/>
        <v>-27.087455007999999</v>
      </c>
      <c r="H74" s="113">
        <f t="shared" si="39"/>
        <v>-15.649979738048001</v>
      </c>
      <c r="I74" s="113">
        <f t="shared" si="39"/>
        <v>-23.363879616476289</v>
      </c>
      <c r="J74" s="113">
        <f t="shared" si="39"/>
        <v>-30.344062894175146</v>
      </c>
      <c r="K74" s="113">
        <f t="shared" si="39"/>
        <v>-18.146127271540195</v>
      </c>
      <c r="L74" s="113">
        <f t="shared" si="39"/>
        <v>-25.095004035169438</v>
      </c>
      <c r="M74" s="113">
        <f t="shared" si="39"/>
        <v>-31.305574059380451</v>
      </c>
      <c r="N74" s="113">
        <f t="shared" si="39"/>
        <v>-18.333407503736733</v>
      </c>
    </row>
    <row r="75" spans="2:16">
      <c r="B75" s="112" t="s">
        <v>392</v>
      </c>
      <c r="D75" s="113">
        <f>D28</f>
        <v>-44.800000000000004</v>
      </c>
      <c r="E75" s="113">
        <f t="shared" ref="E75:N75" si="40">E28</f>
        <v>-69.788800000000009</v>
      </c>
      <c r="F75" s="113">
        <f t="shared" si="40"/>
        <v>-146.24753280000002</v>
      </c>
      <c r="G75" s="113">
        <f t="shared" si="40"/>
        <v>-89.165017996800003</v>
      </c>
      <c r="H75" s="113">
        <f t="shared" si="40"/>
        <v>-145.7400081047808</v>
      </c>
      <c r="I75" s="113">
        <f t="shared" si="40"/>
        <v>-194.65444815340948</v>
      </c>
      <c r="J75" s="113">
        <f t="shared" si="40"/>
        <v>-139.86237484232996</v>
      </c>
      <c r="K75" s="113">
        <f t="shared" si="40"/>
        <v>-196.74154909138394</v>
      </c>
      <c r="L75" s="113">
        <f t="shared" si="40"/>
        <v>-245.96199838593222</v>
      </c>
      <c r="M75" s="113">
        <f t="shared" si="40"/>
        <v>-191.47777037624783</v>
      </c>
      <c r="N75" s="113">
        <f t="shared" si="40"/>
        <v>-248.66663699850534</v>
      </c>
    </row>
    <row r="76" spans="2:16" ht="19">
      <c r="B76" s="118" t="s">
        <v>393</v>
      </c>
      <c r="D76" s="116">
        <f>D57</f>
        <v>0</v>
      </c>
      <c r="E76" s="116">
        <f t="shared" ref="E76:N76" si="41">E57</f>
        <v>0</v>
      </c>
      <c r="F76" s="116">
        <f t="shared" si="41"/>
        <v>0</v>
      </c>
      <c r="G76" s="116">
        <f t="shared" si="41"/>
        <v>0</v>
      </c>
      <c r="H76" s="116">
        <f t="shared" si="41"/>
        <v>0</v>
      </c>
      <c r="I76" s="116">
        <f t="shared" si="41"/>
        <v>0</v>
      </c>
      <c r="J76" s="116">
        <f t="shared" si="41"/>
        <v>0</v>
      </c>
      <c r="K76" s="116">
        <f t="shared" si="41"/>
        <v>0</v>
      </c>
      <c r="L76" s="116">
        <f t="shared" si="41"/>
        <v>0</v>
      </c>
      <c r="M76" s="116">
        <f t="shared" si="41"/>
        <v>0</v>
      </c>
      <c r="N76" s="116">
        <f t="shared" si="41"/>
        <v>0</v>
      </c>
      <c r="O76" s="117"/>
      <c r="P76" s="117"/>
    </row>
    <row r="77" spans="2:16">
      <c r="B77" s="112" t="s">
        <v>382</v>
      </c>
      <c r="D77" s="113">
        <f>SUM(D71:D76)</f>
        <v>-222.8</v>
      </c>
      <c r="E77" s="113">
        <f t="shared" ref="E77:N77" si="42">SUM(E71:E76)</f>
        <v>-385.31680000000006</v>
      </c>
      <c r="F77" s="113">
        <f t="shared" si="42"/>
        <v>-1270.6287007999999</v>
      </c>
      <c r="G77" s="113">
        <f t="shared" si="42"/>
        <v>1143.7475269951999</v>
      </c>
      <c r="H77" s="113">
        <f t="shared" si="42"/>
        <v>-771.38998784282887</v>
      </c>
      <c r="I77" s="113">
        <f t="shared" si="42"/>
        <v>-698.01832776988579</v>
      </c>
      <c r="J77" s="113">
        <f t="shared" si="42"/>
        <v>1219.793562263495</v>
      </c>
      <c r="K77" s="113">
        <f t="shared" si="42"/>
        <v>-694.88767636292414</v>
      </c>
      <c r="L77" s="113">
        <f t="shared" si="42"/>
        <v>-621.05700242110174</v>
      </c>
      <c r="M77" s="113">
        <f t="shared" si="42"/>
        <v>1297.2166555643716</v>
      </c>
      <c r="N77" s="113">
        <f t="shared" si="42"/>
        <v>-617.00004450224219</v>
      </c>
    </row>
    <row r="78" spans="2:16">
      <c r="B78" s="112"/>
      <c r="D78" s="120"/>
      <c r="E78" s="120"/>
      <c r="F78" s="120"/>
      <c r="G78" s="120"/>
      <c r="H78" s="120"/>
      <c r="I78" s="120"/>
      <c r="J78" s="120"/>
      <c r="K78" s="120"/>
      <c r="L78" s="120"/>
      <c r="M78" s="120"/>
      <c r="N78" s="120"/>
    </row>
    <row r="79" spans="2:16">
      <c r="B79" s="112" t="s">
        <v>394</v>
      </c>
      <c r="D79" s="113">
        <f>C32</f>
        <v>50</v>
      </c>
      <c r="E79" s="113">
        <f t="shared" ref="E79:N79" si="43">D32</f>
        <v>80</v>
      </c>
      <c r="F79" s="113">
        <f t="shared" si="43"/>
        <v>80</v>
      </c>
      <c r="G79" s="113">
        <f t="shared" si="43"/>
        <v>80</v>
      </c>
      <c r="H79" s="113">
        <f t="shared" si="43"/>
        <v>80</v>
      </c>
      <c r="I79" s="113">
        <f t="shared" si="43"/>
        <v>80</v>
      </c>
      <c r="J79" s="113">
        <f t="shared" si="43"/>
        <v>80</v>
      </c>
      <c r="K79" s="113">
        <f t="shared" si="43"/>
        <v>80</v>
      </c>
      <c r="L79" s="113">
        <f t="shared" si="43"/>
        <v>80</v>
      </c>
      <c r="M79" s="113">
        <f t="shared" si="43"/>
        <v>80</v>
      </c>
      <c r="N79" s="113">
        <f t="shared" si="43"/>
        <v>80</v>
      </c>
    </row>
    <row r="80" spans="2:16" ht="19">
      <c r="B80" s="118" t="s">
        <v>395</v>
      </c>
      <c r="D80" s="116">
        <f>D32</f>
        <v>80</v>
      </c>
      <c r="E80" s="116">
        <f t="shared" ref="E80:N80" si="44">E32</f>
        <v>80</v>
      </c>
      <c r="F80" s="116">
        <f t="shared" si="44"/>
        <v>80</v>
      </c>
      <c r="G80" s="116">
        <f t="shared" si="44"/>
        <v>80</v>
      </c>
      <c r="H80" s="116">
        <f t="shared" si="44"/>
        <v>80</v>
      </c>
      <c r="I80" s="116">
        <f t="shared" si="44"/>
        <v>80</v>
      </c>
      <c r="J80" s="116">
        <f t="shared" si="44"/>
        <v>80</v>
      </c>
      <c r="K80" s="116">
        <f t="shared" si="44"/>
        <v>80</v>
      </c>
      <c r="L80" s="116">
        <f t="shared" si="44"/>
        <v>80</v>
      </c>
      <c r="M80" s="116">
        <f t="shared" si="44"/>
        <v>80</v>
      </c>
      <c r="N80" s="116">
        <f t="shared" si="44"/>
        <v>80</v>
      </c>
    </row>
    <row r="81" spans="2:14">
      <c r="B81" s="112" t="s">
        <v>396</v>
      </c>
      <c r="D81" s="113">
        <f>D77+D79-D80</f>
        <v>-252.8</v>
      </c>
      <c r="E81" s="113">
        <f t="shared" ref="E81:N81" si="45">E77+E79-E80</f>
        <v>-385.31680000000006</v>
      </c>
      <c r="F81" s="113">
        <f t="shared" si="45"/>
        <v>-1270.6287007999999</v>
      </c>
      <c r="G81" s="113">
        <f t="shared" si="45"/>
        <v>1143.7475269951999</v>
      </c>
      <c r="H81" s="113">
        <f t="shared" si="45"/>
        <v>-771.38998784282887</v>
      </c>
      <c r="I81" s="113">
        <f t="shared" si="45"/>
        <v>-698.01832776988579</v>
      </c>
      <c r="J81" s="113">
        <f t="shared" si="45"/>
        <v>1219.793562263495</v>
      </c>
      <c r="K81" s="113">
        <f t="shared" si="45"/>
        <v>-694.88767636292414</v>
      </c>
      <c r="L81" s="113">
        <f t="shared" si="45"/>
        <v>-621.05700242110174</v>
      </c>
      <c r="M81" s="113">
        <f t="shared" si="45"/>
        <v>1297.2166555643716</v>
      </c>
      <c r="N81" s="113">
        <f t="shared" si="45"/>
        <v>-617.00004450224219</v>
      </c>
    </row>
    <row r="82" spans="2:14" ht="19">
      <c r="B82" s="118" t="s">
        <v>397</v>
      </c>
      <c r="C82" s="127"/>
      <c r="D82" s="128">
        <f>D60</f>
        <v>252.79999999999995</v>
      </c>
      <c r="E82" s="128">
        <f t="shared" ref="E82:N82" si="46">E60</f>
        <v>385.31680000000006</v>
      </c>
      <c r="F82" s="128">
        <f t="shared" si="46"/>
        <v>1270.6287007999999</v>
      </c>
      <c r="G82" s="128">
        <f t="shared" si="46"/>
        <v>-1143.7475269951999</v>
      </c>
      <c r="H82" s="128">
        <f t="shared" si="46"/>
        <v>771.38998784282876</v>
      </c>
      <c r="I82" s="128">
        <f t="shared" si="46"/>
        <v>698.01832776988567</v>
      </c>
      <c r="J82" s="128">
        <f t="shared" si="46"/>
        <v>-1219.793562263495</v>
      </c>
      <c r="K82" s="128">
        <f t="shared" si="46"/>
        <v>694.88767636292414</v>
      </c>
      <c r="L82" s="128">
        <f t="shared" si="46"/>
        <v>621.05700242110152</v>
      </c>
      <c r="M82" s="128">
        <f t="shared" si="46"/>
        <v>-1297.2166555643716</v>
      </c>
      <c r="N82" s="128">
        <f t="shared" si="46"/>
        <v>617.00004450224196</v>
      </c>
    </row>
    <row r="83" spans="2:14">
      <c r="B83" s="112" t="s">
        <v>384</v>
      </c>
      <c r="D83" s="113">
        <f>D80+D81+D82</f>
        <v>79.999999999999943</v>
      </c>
      <c r="E83" s="113">
        <f t="shared" ref="E83:N83" si="47">E80+E81+E82</f>
        <v>80</v>
      </c>
      <c r="F83" s="113">
        <f t="shared" si="47"/>
        <v>80</v>
      </c>
      <c r="G83" s="113">
        <f t="shared" si="47"/>
        <v>80</v>
      </c>
      <c r="H83" s="113">
        <f t="shared" si="47"/>
        <v>79.999999999999886</v>
      </c>
      <c r="I83" s="113">
        <f t="shared" si="47"/>
        <v>79.999999999999886</v>
      </c>
      <c r="J83" s="113">
        <f t="shared" si="47"/>
        <v>80</v>
      </c>
      <c r="K83" s="113">
        <f t="shared" si="47"/>
        <v>80</v>
      </c>
      <c r="L83" s="113">
        <f t="shared" si="47"/>
        <v>79.999999999999773</v>
      </c>
      <c r="M83" s="113">
        <f t="shared" si="47"/>
        <v>80</v>
      </c>
      <c r="N83" s="113">
        <f t="shared" si="47"/>
        <v>79.999999999999773</v>
      </c>
    </row>
    <row r="84" spans="2:14">
      <c r="B84" s="96" t="s">
        <v>398</v>
      </c>
    </row>
    <row r="94" spans="2:14">
      <c r="G94" s="57"/>
    </row>
    <row r="95" spans="2:14">
      <c r="G95" s="57"/>
    </row>
    <row r="96" spans="2:14">
      <c r="G96" s="57"/>
    </row>
    <row r="97" spans="7:7">
      <c r="G97" s="57"/>
    </row>
    <row r="98" spans="7:7">
      <c r="G98" s="57"/>
    </row>
    <row r="99" spans="7:7">
      <c r="G99" s="57"/>
    </row>
    <row r="100" spans="7:7">
      <c r="G100" s="57"/>
    </row>
    <row r="101" spans="7:7">
      <c r="G101" s="57"/>
    </row>
    <row r="102" spans="7:7">
      <c r="G102" s="57"/>
    </row>
    <row r="103" spans="7:7">
      <c r="G103" s="57"/>
    </row>
    <row r="104" spans="7:7">
      <c r="G104" s="57"/>
    </row>
    <row r="105" spans="7:7">
      <c r="G105" s="57"/>
    </row>
    <row r="106" spans="7:7">
      <c r="G106" s="57"/>
    </row>
    <row r="107" spans="7:7">
      <c r="G107" s="61"/>
    </row>
    <row r="108" spans="7:7">
      <c r="G108" s="57"/>
    </row>
    <row r="109" spans="7:7">
      <c r="G109" s="57"/>
    </row>
    <row r="110" spans="7:7">
      <c r="G110" s="57"/>
    </row>
    <row r="111" spans="7:7">
      <c r="G111" s="57"/>
    </row>
    <row r="112" spans="7:7">
      <c r="G112" s="57"/>
    </row>
    <row r="113" spans="7:7">
      <c r="G113" s="57"/>
    </row>
    <row r="114" spans="7:7">
      <c r="G114" s="57"/>
    </row>
  </sheetData>
  <pageMargins left="0.75" right="0.75" top="0.5" bottom="0.5" header="0.5" footer="0.5"/>
  <pageSetup scale="41" fitToHeight="2"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6B92B-71DA-784F-B3A5-3602ACAD6492}">
  <sheetPr>
    <pageSetUpPr fitToPage="1"/>
  </sheetPr>
  <dimension ref="A2:T194"/>
  <sheetViews>
    <sheetView showGridLines="0" zoomScale="75" workbookViewId="0">
      <selection activeCell="E17" sqref="E17"/>
    </sheetView>
  </sheetViews>
  <sheetFormatPr baseColWidth="10" defaultRowHeight="16"/>
  <cols>
    <col min="1" max="1" width="5.83203125" style="7" customWidth="1"/>
    <col min="2" max="2" width="38.6640625" style="7" customWidth="1"/>
    <col min="3" max="7" width="12.83203125" style="7" customWidth="1"/>
    <col min="8" max="8" width="2" style="7" customWidth="1"/>
    <col min="9" max="9" width="39.6640625" style="7" customWidth="1"/>
    <col min="10" max="10" width="19" style="7" customWidth="1"/>
    <col min="11" max="13" width="13" style="7" customWidth="1"/>
    <col min="14" max="14" width="19" style="7" customWidth="1"/>
    <col min="15" max="16" width="16.1640625" style="7" customWidth="1"/>
    <col min="17" max="17" width="20" style="7" customWidth="1"/>
    <col min="18" max="18" width="25.83203125" style="7" customWidth="1"/>
    <col min="19" max="19" width="16.1640625" style="7" customWidth="1"/>
    <col min="20" max="20" width="12" style="7" customWidth="1"/>
    <col min="21" max="16384" width="10.83203125" style="7"/>
  </cols>
  <sheetData>
    <row r="2" spans="2:20" s="4" customFormat="1" ht="25">
      <c r="B2" s="1" t="s">
        <v>23</v>
      </c>
      <c r="C2" s="2"/>
      <c r="D2" s="2"/>
      <c r="E2" s="2"/>
      <c r="F2" s="2"/>
      <c r="G2" s="2"/>
      <c r="H2" s="3"/>
      <c r="I2" s="3"/>
      <c r="J2" s="3"/>
      <c r="K2" s="3"/>
      <c r="L2" s="3"/>
      <c r="M2" s="3"/>
      <c r="N2" s="3"/>
    </row>
    <row r="3" spans="2:20" ht="23">
      <c r="B3" s="5"/>
      <c r="C3" s="6"/>
      <c r="D3" s="6"/>
      <c r="E3" s="6"/>
      <c r="F3" s="6"/>
      <c r="G3" s="6"/>
    </row>
    <row r="4" spans="2:20" ht="18">
      <c r="B4" s="8" t="s">
        <v>24</v>
      </c>
      <c r="C4" s="6"/>
      <c r="D4" s="6"/>
      <c r="E4" s="6"/>
      <c r="F4" s="6"/>
      <c r="G4" s="6"/>
    </row>
    <row r="5" spans="2:20" ht="18">
      <c r="B5" s="8" t="s">
        <v>25</v>
      </c>
      <c r="C5" s="6"/>
      <c r="D5" s="6"/>
      <c r="E5" s="6"/>
      <c r="F5" s="6"/>
      <c r="G5" s="6"/>
    </row>
    <row r="6" spans="2:20" ht="22" customHeight="1">
      <c r="B6" s="9"/>
      <c r="C6" s="6"/>
      <c r="D6" s="6"/>
      <c r="E6" s="6"/>
      <c r="F6" s="6"/>
      <c r="G6" s="6"/>
    </row>
    <row r="7" spans="2:20" ht="20">
      <c r="B7" s="10" t="s">
        <v>26</v>
      </c>
      <c r="C7" s="11"/>
      <c r="D7" s="11"/>
      <c r="E7" s="11"/>
      <c r="F7" s="11"/>
      <c r="G7" s="11"/>
      <c r="H7" s="12"/>
      <c r="I7" s="10" t="s">
        <v>27</v>
      </c>
      <c r="J7" s="13"/>
      <c r="K7" s="13"/>
      <c r="L7" s="13"/>
      <c r="M7" s="13"/>
      <c r="N7" s="14"/>
    </row>
    <row r="8" spans="2:20" ht="18">
      <c r="B8" s="4" t="s">
        <v>28</v>
      </c>
      <c r="H8" s="15"/>
      <c r="I8" s="16"/>
      <c r="N8" s="17"/>
    </row>
    <row r="9" spans="2:20">
      <c r="B9" s="4" t="s">
        <v>29</v>
      </c>
      <c r="H9" s="15"/>
      <c r="I9" s="18" t="s">
        <v>30</v>
      </c>
      <c r="J9" s="19" t="s">
        <v>31</v>
      </c>
      <c r="K9" s="19" t="s">
        <v>32</v>
      </c>
      <c r="L9" s="19" t="s">
        <v>5</v>
      </c>
      <c r="M9" s="20" t="s">
        <v>6</v>
      </c>
      <c r="N9" s="19" t="s">
        <v>33</v>
      </c>
    </row>
    <row r="10" spans="2:20">
      <c r="B10" s="4" t="s">
        <v>34</v>
      </c>
      <c r="H10" s="15"/>
      <c r="I10" s="7" t="s">
        <v>35</v>
      </c>
      <c r="J10" s="21">
        <f>C26</f>
        <v>40000</v>
      </c>
      <c r="K10" s="15">
        <f>D26</f>
        <v>50000</v>
      </c>
      <c r="L10" s="15">
        <f>E26</f>
        <v>80000</v>
      </c>
      <c r="M10" s="22">
        <f>F26</f>
        <v>60000</v>
      </c>
      <c r="N10" s="15">
        <f>SUM(K10:M10)</f>
        <v>190000</v>
      </c>
      <c r="O10" s="23"/>
      <c r="P10" s="23"/>
      <c r="Q10" s="23"/>
      <c r="R10" s="23"/>
      <c r="S10" s="23"/>
      <c r="T10" s="23"/>
    </row>
    <row r="11" spans="2:20">
      <c r="B11" s="4" t="s">
        <v>36</v>
      </c>
      <c r="H11" s="15"/>
      <c r="J11" s="24" t="str">
        <f ca="1">_xlfn.FORMULATEXT(J10)</f>
        <v>=C26</v>
      </c>
      <c r="K11" s="24" t="str">
        <f t="shared" ref="K11:N11" ca="1" si="0">_xlfn.FORMULATEXT(K10)</f>
        <v>=D26</v>
      </c>
      <c r="L11" s="24" t="str">
        <f t="shared" ca="1" si="0"/>
        <v>=E26</v>
      </c>
      <c r="M11" s="24" t="str">
        <f t="shared" ca="1" si="0"/>
        <v>=F26</v>
      </c>
      <c r="N11" s="24" t="str">
        <f t="shared" ca="1" si="0"/>
        <v>=SUM(K10:M10)</v>
      </c>
    </row>
    <row r="12" spans="2:20">
      <c r="B12" s="4" t="s">
        <v>37</v>
      </c>
      <c r="H12" s="15"/>
      <c r="J12" s="24"/>
      <c r="K12" s="24"/>
      <c r="L12" s="24"/>
      <c r="M12" s="24"/>
      <c r="N12" s="24"/>
    </row>
    <row r="13" spans="2:20">
      <c r="B13" s="4" t="s">
        <v>38</v>
      </c>
      <c r="H13" s="15"/>
      <c r="J13" s="24"/>
      <c r="K13" s="24"/>
      <c r="L13" s="24"/>
      <c r="M13" s="24"/>
      <c r="N13" s="24"/>
    </row>
    <row r="14" spans="2:20" s="26" customFormat="1">
      <c r="B14" s="4" t="s">
        <v>39</v>
      </c>
      <c r="C14" s="7"/>
      <c r="D14" s="7"/>
      <c r="E14" s="7"/>
      <c r="F14" s="7"/>
      <c r="G14" s="7"/>
      <c r="H14" s="25"/>
      <c r="I14" s="18" t="s">
        <v>40</v>
      </c>
      <c r="J14" s="19"/>
      <c r="K14" s="19" t="s">
        <v>32</v>
      </c>
      <c r="L14" s="19" t="s">
        <v>5</v>
      </c>
      <c r="M14" s="19" t="s">
        <v>6</v>
      </c>
      <c r="N14" s="23"/>
      <c r="O14" s="7"/>
      <c r="P14" s="7"/>
      <c r="Q14" s="7"/>
      <c r="R14" s="7"/>
      <c r="S14" s="23"/>
      <c r="T14" s="23"/>
    </row>
    <row r="15" spans="2:20">
      <c r="B15" s="4" t="s">
        <v>41</v>
      </c>
      <c r="H15" s="15"/>
      <c r="I15" s="7" t="s">
        <v>42</v>
      </c>
      <c r="K15" s="15">
        <f>K10*60%</f>
        <v>30000</v>
      </c>
      <c r="L15" s="15">
        <f>L10*60%</f>
        <v>48000</v>
      </c>
      <c r="M15" s="15">
        <f>M10*60%</f>
        <v>36000</v>
      </c>
      <c r="N15" s="27" t="str">
        <f ca="1">_xlfn.FORMULATEXT(K15)</f>
        <v>=K10*60%</v>
      </c>
      <c r="O15" s="27" t="str">
        <f ca="1">_xlfn.FORMULATEXT(L15)</f>
        <v>=L10*60%</v>
      </c>
      <c r="P15" s="27" t="str">
        <f ca="1">_xlfn.FORMULATEXT(M15)</f>
        <v>=M10*60%</v>
      </c>
      <c r="Q15" s="23"/>
      <c r="R15" s="23"/>
    </row>
    <row r="16" spans="2:20">
      <c r="B16" s="4" t="s">
        <v>43</v>
      </c>
      <c r="H16" s="15"/>
      <c r="I16" s="7" t="s">
        <v>44</v>
      </c>
      <c r="K16" s="15">
        <f>J10*40%</f>
        <v>16000</v>
      </c>
      <c r="L16" s="15">
        <f>K10*40%</f>
        <v>20000</v>
      </c>
      <c r="M16" s="15">
        <f>L10*40%</f>
        <v>32000</v>
      </c>
      <c r="N16" s="27" t="str">
        <f t="shared" ref="N16:N18" ca="1" si="1">_xlfn.FORMULATEXT(K16)</f>
        <v>=J10*40%</v>
      </c>
      <c r="O16" s="27" t="str">
        <f ca="1">_xlfn.FORMULATEXT(L16)</f>
        <v>=K10*40%</v>
      </c>
      <c r="P16" s="27" t="str">
        <f ca="1">_xlfn.FORMULATEXT(M16)</f>
        <v>=L10*40%</v>
      </c>
    </row>
    <row r="17" spans="2:20">
      <c r="B17" s="4" t="s">
        <v>45</v>
      </c>
      <c r="H17" s="15"/>
      <c r="I17" s="13" t="s">
        <v>46</v>
      </c>
      <c r="J17" s="13"/>
      <c r="K17" s="13"/>
      <c r="L17" s="13"/>
      <c r="M17" s="13"/>
      <c r="N17" s="27"/>
    </row>
    <row r="18" spans="2:20">
      <c r="B18" s="4" t="s">
        <v>47</v>
      </c>
      <c r="H18" s="15"/>
      <c r="I18" s="4" t="s">
        <v>48</v>
      </c>
      <c r="J18" s="4"/>
      <c r="K18" s="21">
        <f>SUM(K15:K16)</f>
        <v>46000</v>
      </c>
      <c r="L18" s="21">
        <f>SUM(L15:L16)</f>
        <v>68000</v>
      </c>
      <c r="M18" s="21">
        <f>SUM(M15:M16)</f>
        <v>68000</v>
      </c>
      <c r="N18" s="27" t="str">
        <f t="shared" ca="1" si="1"/>
        <v>=SUM(K15:K16)</v>
      </c>
      <c r="O18" s="27" t="str">
        <f ca="1">_xlfn.FORMULATEXT(L18)</f>
        <v>=SUM(L15:L16)</v>
      </c>
      <c r="P18" s="27" t="str">
        <f ca="1">_xlfn.FORMULATEXT(M18)</f>
        <v>=SUM(M15:M16)</v>
      </c>
    </row>
    <row r="19" spans="2:20">
      <c r="B19" s="4" t="s">
        <v>49</v>
      </c>
      <c r="H19" s="15"/>
      <c r="I19" s="28"/>
      <c r="J19" s="4"/>
      <c r="K19" s="4"/>
      <c r="L19" s="4"/>
      <c r="M19" s="4"/>
      <c r="O19" s="17"/>
    </row>
    <row r="20" spans="2:20">
      <c r="H20" s="15"/>
      <c r="I20" s="28"/>
      <c r="J20" s="4"/>
      <c r="K20" s="4"/>
      <c r="L20" s="4"/>
      <c r="M20" s="4"/>
      <c r="O20" s="17"/>
    </row>
    <row r="21" spans="2:20" ht="18">
      <c r="B21" s="29" t="s">
        <v>50</v>
      </c>
      <c r="H21" s="15"/>
      <c r="I21" s="18" t="s">
        <v>51</v>
      </c>
      <c r="J21" s="19" t="s">
        <v>31</v>
      </c>
      <c r="K21" s="19" t="s">
        <v>32</v>
      </c>
      <c r="L21" s="19" t="s">
        <v>5</v>
      </c>
      <c r="M21" s="20" t="s">
        <v>6</v>
      </c>
      <c r="N21" s="19" t="s">
        <v>33</v>
      </c>
      <c r="S21" s="23"/>
      <c r="T21" s="23"/>
    </row>
    <row r="22" spans="2:20">
      <c r="B22" s="7" t="s">
        <v>52</v>
      </c>
      <c r="H22" s="15"/>
      <c r="I22" s="7" t="s">
        <v>53</v>
      </c>
      <c r="J22" s="21">
        <f>70%*J10</f>
        <v>28000</v>
      </c>
      <c r="K22" s="15">
        <f>70%*K10</f>
        <v>35000</v>
      </c>
      <c r="L22" s="15">
        <f>70%*L10</f>
        <v>56000</v>
      </c>
      <c r="M22" s="22">
        <f>70%*M10</f>
        <v>42000</v>
      </c>
      <c r="N22" s="30">
        <f>SUM(K22:M22)</f>
        <v>133000</v>
      </c>
      <c r="O22" s="24" t="str">
        <f ca="1">_xlfn.FORMULATEXT(J22)</f>
        <v>=70%*J10</v>
      </c>
      <c r="P22" s="24" t="str">
        <f ca="1">_xlfn.FORMULATEXT(K22)</f>
        <v>=70%*K10</v>
      </c>
      <c r="Q22" s="24" t="str">
        <f ca="1">_xlfn.FORMULATEXT(L22)</f>
        <v>=70%*L10</v>
      </c>
      <c r="R22" s="24" t="str">
        <f ca="1">_xlfn.FORMULATEXT(M22)</f>
        <v>=70%*M10</v>
      </c>
      <c r="S22" s="24" t="str">
        <f ca="1">_xlfn.FORMULATEXT(N22)</f>
        <v>=SUM(K22:M22)</v>
      </c>
    </row>
    <row r="23" spans="2:20" ht="19">
      <c r="B23" s="7" t="s">
        <v>54</v>
      </c>
      <c r="H23" s="15"/>
      <c r="I23" s="31" t="s">
        <v>55</v>
      </c>
      <c r="J23" s="32">
        <f>20000+80%*K22</f>
        <v>48000</v>
      </c>
      <c r="K23" s="33">
        <f>20000+80%*L22</f>
        <v>64800</v>
      </c>
      <c r="L23" s="33">
        <f>20000+80%*M22</f>
        <v>53600</v>
      </c>
      <c r="M23" s="34">
        <f>20000+80%*70%*G26</f>
        <v>48000</v>
      </c>
      <c r="O23" s="24" t="str">
        <f t="shared" ref="O23:R26" ca="1" si="2">_xlfn.FORMULATEXT(J23)</f>
        <v>=20000+80%*K22</v>
      </c>
      <c r="P23" s="24" t="str">
        <f t="shared" ca="1" si="2"/>
        <v>=20000+80%*L22</v>
      </c>
      <c r="Q23" s="24" t="str">
        <f t="shared" ca="1" si="2"/>
        <v>=20000+80%*M22</v>
      </c>
      <c r="R23" s="24" t="str">
        <f t="shared" ca="1" si="2"/>
        <v>=20000+80%*70%*G26</v>
      </c>
      <c r="S23" s="24"/>
    </row>
    <row r="24" spans="2:20">
      <c r="B24" s="7" t="s">
        <v>56</v>
      </c>
      <c r="H24" s="15"/>
      <c r="I24" s="7" t="s">
        <v>57</v>
      </c>
      <c r="J24" s="21">
        <f>SUM(J22:J23)</f>
        <v>76000</v>
      </c>
      <c r="K24" s="15">
        <f>SUM(K22:K23)</f>
        <v>99800</v>
      </c>
      <c r="L24" s="15">
        <f>SUM(L22:L23)</f>
        <v>109600</v>
      </c>
      <c r="M24" s="22">
        <f>SUM(M22:M23)</f>
        <v>90000</v>
      </c>
      <c r="O24" s="24" t="str">
        <f t="shared" ca="1" si="2"/>
        <v>=SUM(J22:J23)</v>
      </c>
      <c r="P24" s="24" t="str">
        <f t="shared" ca="1" si="2"/>
        <v>=SUM(K22:K23)</v>
      </c>
      <c r="Q24" s="24" t="str">
        <f t="shared" ca="1" si="2"/>
        <v>=SUM(L22:L23)</v>
      </c>
      <c r="R24" s="24" t="str">
        <f t="shared" ca="1" si="2"/>
        <v>=SUM(M22:M23)</v>
      </c>
      <c r="S24" s="24"/>
    </row>
    <row r="25" spans="2:20" ht="19">
      <c r="B25" s="19"/>
      <c r="C25" s="19" t="s">
        <v>31</v>
      </c>
      <c r="D25" s="19" t="s">
        <v>32</v>
      </c>
      <c r="E25" s="19" t="s">
        <v>5</v>
      </c>
      <c r="F25" s="19" t="s">
        <v>6</v>
      </c>
      <c r="G25" s="19" t="s">
        <v>7</v>
      </c>
      <c r="H25" s="15"/>
      <c r="I25" s="35" t="s">
        <v>58</v>
      </c>
      <c r="J25" s="32">
        <f>20000+80%*J22</f>
        <v>42400</v>
      </c>
      <c r="K25" s="32">
        <f>J23</f>
        <v>48000</v>
      </c>
      <c r="L25" s="32">
        <f>K23</f>
        <v>64800</v>
      </c>
      <c r="M25" s="34">
        <f>L23</f>
        <v>53600</v>
      </c>
      <c r="O25" s="24" t="str">
        <f t="shared" ca="1" si="2"/>
        <v>=20000+80%*J22</v>
      </c>
      <c r="P25" s="24" t="str">
        <f t="shared" ca="1" si="2"/>
        <v>=J23</v>
      </c>
      <c r="Q25" s="24" t="str">
        <f t="shared" ca="1" si="2"/>
        <v>=K23</v>
      </c>
      <c r="R25" s="24" t="str">
        <f t="shared" ca="1" si="2"/>
        <v>=L23</v>
      </c>
      <c r="S25" s="24"/>
    </row>
    <row r="26" spans="2:20">
      <c r="B26" s="26" t="s">
        <v>59</v>
      </c>
      <c r="C26" s="7">
        <v>40000</v>
      </c>
      <c r="D26" s="7">
        <v>50000</v>
      </c>
      <c r="E26" s="7">
        <v>80000</v>
      </c>
      <c r="F26" s="7">
        <v>60000</v>
      </c>
      <c r="G26" s="12">
        <v>50000</v>
      </c>
      <c r="H26" s="15"/>
      <c r="I26" s="4" t="s">
        <v>60</v>
      </c>
      <c r="J26" s="21">
        <f>J24-J25</f>
        <v>33600</v>
      </c>
      <c r="K26" s="21">
        <f>K24-K25</f>
        <v>51800</v>
      </c>
      <c r="L26" s="21">
        <f t="shared" ref="L26:M26" si="3">L24-L25</f>
        <v>44800</v>
      </c>
      <c r="M26" s="22">
        <f t="shared" si="3"/>
        <v>36400</v>
      </c>
      <c r="O26" s="24" t="str">
        <f t="shared" ca="1" si="2"/>
        <v>=J24-J25</v>
      </c>
      <c r="P26" s="24" t="str">
        <f t="shared" ca="1" si="2"/>
        <v>=K24-K25</v>
      </c>
      <c r="Q26" s="24" t="str">
        <f t="shared" ca="1" si="2"/>
        <v>=L24-L25</v>
      </c>
      <c r="R26" s="24" t="str">
        <f t="shared" ca="1" si="2"/>
        <v>=M24-M25</v>
      </c>
      <c r="S26" s="24"/>
    </row>
    <row r="27" spans="2:20">
      <c r="H27" s="15"/>
      <c r="I27" s="4"/>
      <c r="J27" s="4"/>
      <c r="K27" s="4"/>
      <c r="L27" s="4"/>
      <c r="M27" s="4"/>
      <c r="R27" s="24"/>
      <c r="S27" s="24"/>
    </row>
    <row r="28" spans="2:20">
      <c r="B28" s="7" t="s">
        <v>61</v>
      </c>
      <c r="H28" s="15"/>
      <c r="I28" s="4"/>
      <c r="J28" s="4"/>
      <c r="K28" s="4"/>
      <c r="L28" s="4"/>
      <c r="M28" s="4"/>
      <c r="O28" s="24"/>
      <c r="P28" s="24"/>
      <c r="Q28" s="24"/>
      <c r="R28" s="24"/>
      <c r="T28" s="23"/>
    </row>
    <row r="29" spans="2:20">
      <c r="B29" s="7" t="s">
        <v>62</v>
      </c>
      <c r="H29" s="15"/>
      <c r="I29" s="18" t="s">
        <v>63</v>
      </c>
      <c r="J29" s="19"/>
      <c r="K29" s="19" t="s">
        <v>32</v>
      </c>
      <c r="L29" s="19" t="s">
        <v>5</v>
      </c>
      <c r="M29" s="19" t="s">
        <v>6</v>
      </c>
      <c r="N29" s="23"/>
      <c r="S29" s="23"/>
    </row>
    <row r="30" spans="2:20">
      <c r="B30" s="7" t="s">
        <v>64</v>
      </c>
      <c r="H30" s="15"/>
      <c r="I30" s="7" t="s">
        <v>65</v>
      </c>
      <c r="K30" s="15">
        <f>50%*J26</f>
        <v>16800</v>
      </c>
      <c r="L30" s="15">
        <f>50%*K26</f>
        <v>25900</v>
      </c>
      <c r="M30" s="15">
        <f>50%*L26</f>
        <v>22400</v>
      </c>
      <c r="N30" s="24" t="str">
        <f ca="1">_xlfn.FORMULATEXT(K30)</f>
        <v>=50%*J26</v>
      </c>
      <c r="O30" s="24" t="str">
        <f ca="1">_xlfn.FORMULATEXT(L30)</f>
        <v>=50%*K26</v>
      </c>
      <c r="P30" s="24" t="str">
        <f ca="1">_xlfn.FORMULATEXT(M30)</f>
        <v>=50%*L26</v>
      </c>
      <c r="Q30" s="23"/>
      <c r="R30" s="23"/>
    </row>
    <row r="31" spans="2:20" ht="19">
      <c r="H31" s="15"/>
      <c r="I31" s="35" t="s">
        <v>66</v>
      </c>
      <c r="J31" s="35"/>
      <c r="K31" s="32">
        <f>50%*K26</f>
        <v>25900</v>
      </c>
      <c r="L31" s="32">
        <f>50%*L26</f>
        <v>22400</v>
      </c>
      <c r="M31" s="32">
        <f>50%*M26</f>
        <v>18200</v>
      </c>
      <c r="N31" s="24" t="str">
        <f t="shared" ref="N31:N32" ca="1" si="4">_xlfn.FORMULATEXT(K31)</f>
        <v>=50%*K26</v>
      </c>
      <c r="O31" s="24" t="str">
        <f ca="1">_xlfn.FORMULATEXT(L31)</f>
        <v>=50%*L26</v>
      </c>
      <c r="P31" s="24" t="str">
        <f ca="1">_xlfn.FORMULATEXT(M31)</f>
        <v>=50%*M26</v>
      </c>
    </row>
    <row r="32" spans="2:20" ht="18">
      <c r="B32" s="29" t="s">
        <v>67</v>
      </c>
      <c r="H32" s="15"/>
      <c r="I32" s="4" t="s">
        <v>68</v>
      </c>
      <c r="J32" s="4"/>
      <c r="K32" s="21">
        <f>SUM(K30:K31)</f>
        <v>42700</v>
      </c>
      <c r="L32" s="21">
        <f t="shared" ref="L32:M32" si="5">SUM(L30:L31)</f>
        <v>48300</v>
      </c>
      <c r="M32" s="21">
        <f t="shared" si="5"/>
        <v>40600</v>
      </c>
      <c r="N32" s="24" t="str">
        <f t="shared" ca="1" si="4"/>
        <v>=SUM(K30:K31)</v>
      </c>
      <c r="O32" s="24" t="str">
        <f ca="1">_xlfn.FORMULATEXT(L32)</f>
        <v>=SUM(L30:L31)</v>
      </c>
      <c r="P32" s="24" t="str">
        <f ca="1">_xlfn.FORMULATEXT(M32)</f>
        <v>=SUM(M30:M31)</v>
      </c>
    </row>
    <row r="33" spans="1:20">
      <c r="A33" s="7" t="s">
        <v>407</v>
      </c>
      <c r="B33" s="7" t="s">
        <v>69</v>
      </c>
      <c r="H33" s="15"/>
      <c r="I33" s="4"/>
      <c r="J33" s="4"/>
      <c r="K33" s="4"/>
      <c r="L33" s="4"/>
      <c r="M33" s="4"/>
      <c r="O33" s="24"/>
      <c r="P33" s="24"/>
      <c r="T33" s="23"/>
    </row>
    <row r="34" spans="1:20">
      <c r="B34" s="7" t="s">
        <v>70</v>
      </c>
      <c r="H34" s="15"/>
      <c r="I34" s="4"/>
      <c r="J34" s="4"/>
      <c r="K34" s="4"/>
      <c r="L34" s="4"/>
      <c r="M34" s="4"/>
    </row>
    <row r="35" spans="1:20">
      <c r="A35" s="7" t="s">
        <v>406</v>
      </c>
      <c r="B35" s="7" t="s">
        <v>71</v>
      </c>
      <c r="H35" s="15"/>
      <c r="I35" s="18" t="s">
        <v>72</v>
      </c>
      <c r="J35" s="19" t="s">
        <v>73</v>
      </c>
      <c r="K35" s="19" t="s">
        <v>32</v>
      </c>
      <c r="L35" s="19" t="s">
        <v>5</v>
      </c>
      <c r="M35" s="20" t="s">
        <v>6</v>
      </c>
      <c r="N35" s="19" t="s">
        <v>33</v>
      </c>
      <c r="S35" s="23"/>
    </row>
    <row r="36" spans="1:20">
      <c r="B36" s="7" t="s">
        <v>74</v>
      </c>
      <c r="H36" s="15"/>
      <c r="I36" s="7" t="s">
        <v>75</v>
      </c>
      <c r="J36" s="15">
        <f>2500</f>
        <v>2500</v>
      </c>
      <c r="K36" s="15">
        <f>2500</f>
        <v>2500</v>
      </c>
      <c r="L36" s="15">
        <f>2500</f>
        <v>2500</v>
      </c>
      <c r="M36" s="22">
        <f>2500</f>
        <v>2500</v>
      </c>
      <c r="O36" s="7" t="str">
        <f t="shared" ref="O36:R38" ca="1" si="6">_xlfn.FORMULATEXT(J36)</f>
        <v>=2500</v>
      </c>
      <c r="P36" s="7" t="str">
        <f t="shared" ca="1" si="6"/>
        <v>=2500</v>
      </c>
      <c r="Q36" s="7" t="str">
        <f t="shared" ca="1" si="6"/>
        <v>=2500</v>
      </c>
      <c r="R36" s="7" t="str">
        <f t="shared" ca="1" si="6"/>
        <v>=2500</v>
      </c>
    </row>
    <row r="37" spans="1:20" ht="19">
      <c r="A37" s="7" t="s">
        <v>403</v>
      </c>
      <c r="B37" s="7" t="s">
        <v>76</v>
      </c>
      <c r="H37" s="15"/>
      <c r="I37" s="31" t="s">
        <v>77</v>
      </c>
      <c r="J37" s="33">
        <f>15%*J10</f>
        <v>6000</v>
      </c>
      <c r="K37" s="33">
        <f>15%*K10</f>
        <v>7500</v>
      </c>
      <c r="L37" s="33">
        <f>15%*L10</f>
        <v>12000</v>
      </c>
      <c r="M37" s="34">
        <f>15%*M10</f>
        <v>9000</v>
      </c>
      <c r="O37" s="7" t="str">
        <f t="shared" ca="1" si="6"/>
        <v>=15%*J10</v>
      </c>
      <c r="P37" s="7" t="str">
        <f t="shared" ca="1" si="6"/>
        <v>=15%*K10</v>
      </c>
      <c r="Q37" s="7" t="str">
        <f t="shared" ca="1" si="6"/>
        <v>=15%*L10</v>
      </c>
      <c r="R37" s="7" t="str">
        <f t="shared" ca="1" si="6"/>
        <v>=15%*M10</v>
      </c>
    </row>
    <row r="38" spans="1:20">
      <c r="H38" s="15"/>
      <c r="I38" s="7" t="s">
        <v>78</v>
      </c>
      <c r="J38" s="15">
        <f>SUM(J36:J37)</f>
        <v>8500</v>
      </c>
      <c r="K38" s="15">
        <f>SUM(K36:K37)</f>
        <v>10000</v>
      </c>
      <c r="L38" s="15">
        <f t="shared" ref="L38" si="7">SUM(L36:L37)</f>
        <v>14500</v>
      </c>
      <c r="M38" s="22">
        <f>SUM(M36:M37)</f>
        <v>11500</v>
      </c>
      <c r="N38" s="15">
        <f>SUM(K38:M38)</f>
        <v>36000</v>
      </c>
      <c r="O38" s="7" t="str">
        <f t="shared" ca="1" si="6"/>
        <v>=SUM(J36:J37)</v>
      </c>
      <c r="P38" s="7" t="str">
        <f t="shared" ca="1" si="6"/>
        <v>=SUM(K36:K37)</v>
      </c>
      <c r="Q38" s="7" t="str">
        <f t="shared" ca="1" si="6"/>
        <v>=SUM(L36:L37)</v>
      </c>
      <c r="R38" s="7" t="str">
        <f t="shared" ca="1" si="6"/>
        <v>=SUM(M36:M37)</v>
      </c>
      <c r="S38" s="7" t="str">
        <f t="shared" ref="S38:S43" ca="1" si="8">_xlfn.FORMULATEXT(N38)</f>
        <v>=SUM(K38:M38)</v>
      </c>
    </row>
    <row r="39" spans="1:20" ht="18">
      <c r="B39" s="29" t="s">
        <v>79</v>
      </c>
      <c r="H39" s="15"/>
      <c r="I39" s="7" t="s">
        <v>80</v>
      </c>
      <c r="K39" s="15">
        <f>5%*K10</f>
        <v>2500</v>
      </c>
      <c r="L39" s="15">
        <f>5%*L10</f>
        <v>4000</v>
      </c>
      <c r="M39" s="22">
        <f>5%*M10</f>
        <v>3000</v>
      </c>
      <c r="N39" s="15">
        <f>SUM(K39:M39)</f>
        <v>9500</v>
      </c>
      <c r="P39" s="7" t="str">
        <f t="shared" ref="P39:R43" ca="1" si="9">_xlfn.FORMULATEXT(K39)</f>
        <v>=5%*K10</v>
      </c>
      <c r="Q39" s="7" t="str">
        <f t="shared" ca="1" si="9"/>
        <v>=5%*L10</v>
      </c>
      <c r="R39" s="7" t="str">
        <f t="shared" ca="1" si="9"/>
        <v>=5%*M10</v>
      </c>
      <c r="S39" s="7" t="str">
        <f t="shared" ca="1" si="8"/>
        <v>=SUM(K39:M39)</v>
      </c>
    </row>
    <row r="40" spans="1:20">
      <c r="B40" s="7" t="s">
        <v>81</v>
      </c>
      <c r="H40" s="15"/>
      <c r="I40" s="7" t="s">
        <v>82</v>
      </c>
      <c r="K40" s="15">
        <f>2000</f>
        <v>2000</v>
      </c>
      <c r="L40" s="15">
        <f>2000</f>
        <v>2000</v>
      </c>
      <c r="M40" s="22">
        <f>2000</f>
        <v>2000</v>
      </c>
      <c r="N40" s="15">
        <f>SUM(K40:M40)</f>
        <v>6000</v>
      </c>
      <c r="P40" s="7" t="str">
        <f t="shared" ca="1" si="9"/>
        <v>=2000</v>
      </c>
      <c r="Q40" s="7" t="str">
        <f t="shared" ca="1" si="9"/>
        <v>=2000</v>
      </c>
      <c r="R40" s="7" t="str">
        <f t="shared" ca="1" si="9"/>
        <v>=2000</v>
      </c>
      <c r="S40" s="7" t="str">
        <f t="shared" ca="1" si="8"/>
        <v>=SUM(K40:M40)</v>
      </c>
    </row>
    <row r="41" spans="1:20">
      <c r="B41" s="7" t="s">
        <v>83</v>
      </c>
      <c r="H41" s="15"/>
      <c r="I41" s="4" t="s">
        <v>84</v>
      </c>
      <c r="J41" s="4"/>
      <c r="K41" s="21">
        <f>200</f>
        <v>200</v>
      </c>
      <c r="L41" s="21">
        <f>200</f>
        <v>200</v>
      </c>
      <c r="M41" s="22">
        <f>200</f>
        <v>200</v>
      </c>
      <c r="N41" s="21">
        <f>SUM(K41:M41)</f>
        <v>600</v>
      </c>
      <c r="P41" s="7" t="str">
        <f t="shared" ca="1" si="9"/>
        <v>=200</v>
      </c>
      <c r="Q41" s="7" t="str">
        <f t="shared" ca="1" si="9"/>
        <v>=200</v>
      </c>
      <c r="R41" s="7" t="str">
        <f t="shared" ca="1" si="9"/>
        <v>=200</v>
      </c>
      <c r="S41" s="7" t="str">
        <f t="shared" ca="1" si="8"/>
        <v>=SUM(K41:M41)</v>
      </c>
    </row>
    <row r="42" spans="1:20" ht="19">
      <c r="H42" s="15"/>
      <c r="I42" s="35" t="s">
        <v>85</v>
      </c>
      <c r="J42" s="35"/>
      <c r="K42" s="32">
        <f>500</f>
        <v>500</v>
      </c>
      <c r="L42" s="32">
        <f>500</f>
        <v>500</v>
      </c>
      <c r="M42" s="34">
        <f>500</f>
        <v>500</v>
      </c>
      <c r="N42" s="32">
        <f>SUM(K42:M42)</f>
        <v>1500</v>
      </c>
      <c r="P42" s="7" t="str">
        <f t="shared" ca="1" si="9"/>
        <v>=500</v>
      </c>
      <c r="Q42" s="7" t="str">
        <f t="shared" ca="1" si="9"/>
        <v>=500</v>
      </c>
      <c r="R42" s="7" t="str">
        <f t="shared" ca="1" si="9"/>
        <v>=500</v>
      </c>
      <c r="S42" s="7" t="str">
        <f t="shared" ca="1" si="8"/>
        <v>=SUM(K42:M42)</v>
      </c>
    </row>
    <row r="43" spans="1:20">
      <c r="B43" s="7" t="s">
        <v>86</v>
      </c>
      <c r="H43" s="15"/>
      <c r="I43" s="4" t="s">
        <v>87</v>
      </c>
      <c r="J43" s="4"/>
      <c r="K43" s="21">
        <f>SUM(K38:K42)</f>
        <v>15200</v>
      </c>
      <c r="L43" s="21">
        <f t="shared" ref="L43" si="10">SUM(L38:L42)</f>
        <v>21200</v>
      </c>
      <c r="M43" s="22">
        <f>SUM(M38:M42)</f>
        <v>17200</v>
      </c>
      <c r="N43" s="21">
        <f>SUM(N38:N42)</f>
        <v>53600</v>
      </c>
      <c r="P43" s="7" t="str">
        <f t="shared" ca="1" si="9"/>
        <v>=SUM(K38:K42)</v>
      </c>
      <c r="Q43" s="7" t="str">
        <f t="shared" ca="1" si="9"/>
        <v>=SUM(L38:L42)</v>
      </c>
      <c r="R43" s="7" t="str">
        <f t="shared" ca="1" si="9"/>
        <v>=SUM(M38:M42)</v>
      </c>
      <c r="S43" s="7" t="str">
        <f t="shared" ca="1" si="8"/>
        <v>=SUM(N38:N42)</v>
      </c>
      <c r="T43" s="23"/>
    </row>
    <row r="44" spans="1:20">
      <c r="B44" s="7" t="s">
        <v>88</v>
      </c>
      <c r="H44" s="15"/>
      <c r="I44" s="4"/>
      <c r="J44" s="4"/>
      <c r="K44" s="4"/>
      <c r="L44" s="4"/>
      <c r="M44" s="4"/>
      <c r="N44" s="4"/>
    </row>
    <row r="45" spans="1:20">
      <c r="H45" s="15"/>
      <c r="I45" s="4"/>
      <c r="J45" s="4"/>
      <c r="K45" s="4"/>
      <c r="L45" s="4"/>
      <c r="M45" s="4"/>
      <c r="N45" s="4"/>
    </row>
    <row r="46" spans="1:20" ht="18">
      <c r="B46" s="29" t="s">
        <v>89</v>
      </c>
      <c r="H46" s="15"/>
      <c r="I46" s="18" t="s">
        <v>90</v>
      </c>
      <c r="J46" s="19"/>
      <c r="K46" s="19" t="s">
        <v>32</v>
      </c>
      <c r="L46" s="19" t="s">
        <v>5</v>
      </c>
      <c r="M46" s="19" t="s">
        <v>6</v>
      </c>
      <c r="N46" s="23"/>
      <c r="S46" s="23"/>
    </row>
    <row r="47" spans="1:20">
      <c r="H47" s="15"/>
      <c r="I47" s="7" t="s">
        <v>91</v>
      </c>
      <c r="O47" s="23"/>
      <c r="P47" s="23"/>
      <c r="Q47" s="23"/>
      <c r="R47" s="23"/>
    </row>
    <row r="48" spans="1:20">
      <c r="B48" s="18" t="s">
        <v>92</v>
      </c>
      <c r="C48" s="36"/>
      <c r="D48" s="36"/>
      <c r="E48" s="13"/>
      <c r="F48" s="36" t="s">
        <v>93</v>
      </c>
      <c r="H48" s="15"/>
      <c r="I48" s="7" t="s">
        <v>94</v>
      </c>
      <c r="K48" s="15">
        <f>J38*50%</f>
        <v>4250</v>
      </c>
      <c r="L48" s="15">
        <f>K38*50%</f>
        <v>5000</v>
      </c>
      <c r="M48" s="15">
        <f>L38*50%</f>
        <v>7250</v>
      </c>
      <c r="N48" s="27" t="str">
        <f t="shared" ref="N48:P53" ca="1" si="11">_xlfn.FORMULATEXT(K48)</f>
        <v>=J38*50%</v>
      </c>
      <c r="O48" s="27" t="str">
        <f t="shared" ca="1" si="11"/>
        <v>=K38*50%</v>
      </c>
      <c r="P48" s="27" t="str">
        <f t="shared" ca="1" si="11"/>
        <v>=L38*50%</v>
      </c>
    </row>
    <row r="49" spans="1:20" ht="19">
      <c r="B49" s="7" t="s">
        <v>95</v>
      </c>
      <c r="D49" s="24" t="s">
        <v>96</v>
      </c>
      <c r="F49" s="24" t="s">
        <v>97</v>
      </c>
      <c r="H49" s="15"/>
      <c r="I49" s="31" t="s">
        <v>98</v>
      </c>
      <c r="J49" s="31"/>
      <c r="K49" s="33">
        <f>50%*K38</f>
        <v>5000</v>
      </c>
      <c r="L49" s="33">
        <f>50%*L38</f>
        <v>7250</v>
      </c>
      <c r="M49" s="33">
        <f>50%*M38</f>
        <v>5750</v>
      </c>
      <c r="N49" s="27" t="str">
        <f t="shared" ca="1" si="11"/>
        <v>=50%*K38</v>
      </c>
      <c r="O49" s="27" t="str">
        <f t="shared" ca="1" si="11"/>
        <v>=50%*L38</v>
      </c>
      <c r="P49" s="27" t="str">
        <f t="shared" ca="1" si="11"/>
        <v>=50%*M38</v>
      </c>
    </row>
    <row r="50" spans="1:20">
      <c r="B50" s="7" t="s">
        <v>99</v>
      </c>
      <c r="D50" s="24" t="s">
        <v>96</v>
      </c>
      <c r="F50" s="7">
        <v>2000</v>
      </c>
      <c r="H50" s="15"/>
      <c r="I50" s="7" t="s">
        <v>100</v>
      </c>
      <c r="K50" s="15">
        <f>SUM(K48:K49)</f>
        <v>9250</v>
      </c>
      <c r="L50" s="15">
        <f t="shared" ref="L50:M50" si="12">SUM(L48:L49)</f>
        <v>12250</v>
      </c>
      <c r="M50" s="15">
        <f t="shared" si="12"/>
        <v>13000</v>
      </c>
      <c r="N50" s="27" t="str">
        <f t="shared" ca="1" si="11"/>
        <v>=SUM(K48:K49)</v>
      </c>
      <c r="O50" s="27" t="str">
        <f t="shared" ca="1" si="11"/>
        <v>=SUM(L48:L49)</v>
      </c>
      <c r="P50" s="27" t="str">
        <f t="shared" ca="1" si="11"/>
        <v>=SUM(M48:M49)</v>
      </c>
    </row>
    <row r="51" spans="1:20">
      <c r="A51" s="7" t="s">
        <v>408</v>
      </c>
      <c r="B51" s="7" t="s">
        <v>101</v>
      </c>
      <c r="D51" s="24" t="s">
        <v>102</v>
      </c>
      <c r="F51" s="7">
        <v>200</v>
      </c>
      <c r="H51" s="15"/>
      <c r="I51" s="7" t="s">
        <v>103</v>
      </c>
      <c r="K51" s="15">
        <f t="shared" ref="K51:M52" si="13">K39</f>
        <v>2500</v>
      </c>
      <c r="L51" s="15">
        <f t="shared" si="13"/>
        <v>4000</v>
      </c>
      <c r="M51" s="15">
        <f t="shared" si="13"/>
        <v>3000</v>
      </c>
      <c r="N51" s="27" t="str">
        <f ca="1">_xlfn.FORMULATEXT(K51)</f>
        <v>=K39</v>
      </c>
      <c r="O51" s="27" t="str">
        <f t="shared" ca="1" si="11"/>
        <v>=L39</v>
      </c>
      <c r="P51" s="27" t="str">
        <f t="shared" ca="1" si="11"/>
        <v>=M39</v>
      </c>
    </row>
    <row r="52" spans="1:20" ht="19">
      <c r="A52" s="7" t="s">
        <v>409</v>
      </c>
      <c r="B52" s="13" t="s">
        <v>104</v>
      </c>
      <c r="C52" s="13"/>
      <c r="D52" s="36" t="s">
        <v>105</v>
      </c>
      <c r="E52" s="13"/>
      <c r="F52" s="13">
        <v>500</v>
      </c>
      <c r="H52" s="15"/>
      <c r="I52" s="31" t="s">
        <v>99</v>
      </c>
      <c r="J52" s="31"/>
      <c r="K52" s="33">
        <f t="shared" si="13"/>
        <v>2000</v>
      </c>
      <c r="L52" s="33">
        <f t="shared" si="13"/>
        <v>2000</v>
      </c>
      <c r="M52" s="33">
        <f t="shared" si="13"/>
        <v>2000</v>
      </c>
      <c r="N52" s="27" t="str">
        <f ca="1">_xlfn.FORMULATEXT(K52)</f>
        <v>=K40</v>
      </c>
      <c r="O52" s="27" t="str">
        <f t="shared" ca="1" si="11"/>
        <v>=L40</v>
      </c>
      <c r="P52" s="27" t="str">
        <f t="shared" ca="1" si="11"/>
        <v>=M40</v>
      </c>
    </row>
    <row r="53" spans="1:20">
      <c r="H53" s="15"/>
      <c r="I53" s="4" t="s">
        <v>106</v>
      </c>
      <c r="J53" s="4"/>
      <c r="K53" s="21">
        <f>K50+K51+K52</f>
        <v>13750</v>
      </c>
      <c r="L53" s="21">
        <f t="shared" ref="L53:M53" si="14">L50+L51+L52</f>
        <v>18250</v>
      </c>
      <c r="M53" s="21">
        <f t="shared" si="14"/>
        <v>18000</v>
      </c>
      <c r="N53" s="27" t="str">
        <f t="shared" ref="N53" ca="1" si="15">_xlfn.FORMULATEXT(K53)</f>
        <v>=K50+K51+K52</v>
      </c>
      <c r="O53" s="27" t="str">
        <f t="shared" ca="1" si="11"/>
        <v>=L50+L51+L52</v>
      </c>
      <c r="P53" s="27" t="str">
        <f t="shared" ca="1" si="11"/>
        <v>=M50+M51+M52</v>
      </c>
    </row>
    <row r="54" spans="1:20" ht="31" customHeight="1">
      <c r="H54" s="15"/>
      <c r="I54" s="4"/>
      <c r="J54" s="4"/>
      <c r="K54" s="4"/>
      <c r="L54" s="4"/>
      <c r="M54" s="4"/>
    </row>
    <row r="55" spans="1:20" ht="20">
      <c r="B55" s="4"/>
      <c r="C55" s="4"/>
      <c r="D55" s="28"/>
      <c r="E55" s="4"/>
      <c r="H55" s="15"/>
      <c r="I55" s="37" t="s">
        <v>107</v>
      </c>
    </row>
    <row r="56" spans="1:20">
      <c r="H56" s="15"/>
      <c r="T56" s="26"/>
    </row>
    <row r="57" spans="1:20" ht="18">
      <c r="H57" s="15"/>
      <c r="I57" s="29" t="s">
        <v>108</v>
      </c>
      <c r="J57" s="26"/>
      <c r="K57" s="26"/>
      <c r="L57" s="26"/>
      <c r="M57" s="26"/>
      <c r="N57" s="26"/>
      <c r="S57" s="26"/>
      <c r="T57" s="23"/>
    </row>
    <row r="58" spans="1:20" ht="18">
      <c r="H58" s="15"/>
      <c r="I58" s="38" t="s">
        <v>109</v>
      </c>
      <c r="J58" s="19"/>
      <c r="K58" s="19"/>
      <c r="L58" s="13"/>
      <c r="M58" s="19" t="s">
        <v>110</v>
      </c>
      <c r="N58" s="19" t="s">
        <v>111</v>
      </c>
      <c r="O58" s="23"/>
      <c r="P58" s="26"/>
      <c r="Q58" s="26"/>
      <c r="R58" s="26"/>
      <c r="S58" s="23"/>
    </row>
    <row r="59" spans="1:20">
      <c r="H59" s="15"/>
      <c r="I59" s="7" t="s">
        <v>9</v>
      </c>
      <c r="M59" s="24" t="s">
        <v>112</v>
      </c>
      <c r="N59" s="15">
        <f>N10</f>
        <v>190000</v>
      </c>
      <c r="O59" s="39" t="str">
        <f ca="1">_xlfn.FORMULATEXT(N59)</f>
        <v>=N10</v>
      </c>
      <c r="P59" s="23"/>
      <c r="Q59" s="23"/>
      <c r="R59" s="23"/>
    </row>
    <row r="60" spans="1:20" ht="19">
      <c r="H60" s="15"/>
      <c r="I60" s="31" t="s">
        <v>22</v>
      </c>
      <c r="J60" s="31"/>
      <c r="K60" s="31"/>
      <c r="M60" s="40" t="s">
        <v>113</v>
      </c>
      <c r="N60" s="33">
        <f>-N22</f>
        <v>-133000</v>
      </c>
      <c r="O60" s="39" t="str">
        <f t="shared" ref="O60:O72" ca="1" si="16">_xlfn.FORMULATEXT(N60)</f>
        <v>=-N22</v>
      </c>
    </row>
    <row r="61" spans="1:20">
      <c r="H61" s="15"/>
      <c r="I61" s="7" t="s">
        <v>114</v>
      </c>
      <c r="M61" s="24"/>
      <c r="N61" s="15">
        <f>SUM(N59:N60)</f>
        <v>57000</v>
      </c>
      <c r="O61" s="39" t="str">
        <f t="shared" ca="1" si="16"/>
        <v>=SUM(N59:N60)</v>
      </c>
    </row>
    <row r="62" spans="1:20">
      <c r="H62" s="15"/>
      <c r="I62" s="7" t="s">
        <v>115</v>
      </c>
      <c r="M62" s="24"/>
      <c r="O62" s="39"/>
    </row>
    <row r="63" spans="1:20">
      <c r="H63" s="15"/>
      <c r="I63" s="7" t="s">
        <v>116</v>
      </c>
      <c r="M63" s="24" t="s">
        <v>117</v>
      </c>
      <c r="N63" s="15">
        <f>-N38</f>
        <v>-36000</v>
      </c>
      <c r="O63" s="39" t="str">
        <f t="shared" ca="1" si="16"/>
        <v>=-N38</v>
      </c>
    </row>
    <row r="64" spans="1:20">
      <c r="H64" s="15"/>
      <c r="I64" s="7" t="s">
        <v>118</v>
      </c>
      <c r="M64" s="24" t="s">
        <v>117</v>
      </c>
      <c r="N64" s="15">
        <f>-N39</f>
        <v>-9500</v>
      </c>
      <c r="O64" s="39" t="str">
        <f t="shared" ca="1" si="16"/>
        <v>=-N39</v>
      </c>
    </row>
    <row r="65" spans="2:20">
      <c r="H65" s="15"/>
      <c r="I65" s="7" t="s">
        <v>119</v>
      </c>
      <c r="M65" s="24" t="s">
        <v>117</v>
      </c>
      <c r="N65" s="15">
        <f>-N40</f>
        <v>-6000</v>
      </c>
      <c r="O65" s="39" t="str">
        <f t="shared" ca="1" si="16"/>
        <v>=-N40</v>
      </c>
    </row>
    <row r="66" spans="2:20">
      <c r="H66" s="15"/>
      <c r="I66" s="7" t="s">
        <v>120</v>
      </c>
      <c r="M66" s="24" t="s">
        <v>117</v>
      </c>
      <c r="N66" s="15">
        <f>-N41</f>
        <v>-600</v>
      </c>
      <c r="O66" s="39" t="str">
        <f t="shared" ca="1" si="16"/>
        <v>=-N41</v>
      </c>
    </row>
    <row r="67" spans="2:20" ht="19">
      <c r="H67" s="15"/>
      <c r="I67" s="31" t="s">
        <v>121</v>
      </c>
      <c r="J67" s="31"/>
      <c r="K67" s="31"/>
      <c r="M67" s="40" t="s">
        <v>117</v>
      </c>
      <c r="N67" s="33">
        <f>-N42</f>
        <v>-1500</v>
      </c>
      <c r="O67" s="39" t="str">
        <f t="shared" ca="1" si="16"/>
        <v>=-N42</v>
      </c>
    </row>
    <row r="68" spans="2:20">
      <c r="H68" s="15"/>
      <c r="I68" s="7" t="s">
        <v>122</v>
      </c>
      <c r="M68" s="24" t="s">
        <v>117</v>
      </c>
      <c r="N68" s="15">
        <f>SUM(N61:N67)</f>
        <v>3400</v>
      </c>
      <c r="O68" s="39" t="str">
        <f t="shared" ca="1" si="16"/>
        <v>=SUM(N61:N67)</v>
      </c>
    </row>
    <row r="69" spans="2:20" ht="19">
      <c r="H69" s="15"/>
      <c r="I69" s="35" t="s">
        <v>123</v>
      </c>
      <c r="J69" s="35"/>
      <c r="K69" s="35"/>
      <c r="M69" s="41" t="s">
        <v>124</v>
      </c>
      <c r="N69" s="32">
        <f>SUM(K95:M95)</f>
        <v>-410</v>
      </c>
      <c r="O69" s="39" t="str">
        <f t="shared" ca="1" si="16"/>
        <v>=SUM(K95:M95)</v>
      </c>
      <c r="T69" s="4"/>
    </row>
    <row r="70" spans="2:20">
      <c r="H70" s="15"/>
      <c r="I70" s="4" t="s">
        <v>125</v>
      </c>
      <c r="J70" s="4"/>
      <c r="K70" s="4"/>
      <c r="M70" s="4"/>
      <c r="N70" s="21">
        <f>N68+N69</f>
        <v>2990</v>
      </c>
      <c r="O70" s="42" t="str">
        <f t="shared" ca="1" si="16"/>
        <v>=N68+N69</v>
      </c>
      <c r="S70" s="4"/>
      <c r="T70" s="4"/>
    </row>
    <row r="71" spans="2:20" ht="19">
      <c r="H71" s="15"/>
      <c r="I71" s="35" t="s">
        <v>126</v>
      </c>
      <c r="J71" s="4"/>
      <c r="K71" s="4"/>
      <c r="M71" s="4"/>
      <c r="N71" s="32">
        <f>-N70*35%</f>
        <v>-1046.5</v>
      </c>
      <c r="O71" s="42" t="str">
        <f t="shared" ca="1" si="16"/>
        <v>=-N70*35%</v>
      </c>
      <c r="P71" s="4"/>
      <c r="Q71" s="4"/>
      <c r="R71" s="4"/>
      <c r="S71" s="4"/>
      <c r="T71" s="4"/>
    </row>
    <row r="72" spans="2:20">
      <c r="H72" s="15"/>
      <c r="I72" s="4" t="s">
        <v>127</v>
      </c>
      <c r="J72" s="4"/>
      <c r="K72" s="4"/>
      <c r="M72" s="4"/>
      <c r="N72" s="21">
        <f>N70+N71</f>
        <v>1943.5</v>
      </c>
      <c r="O72" s="42" t="str">
        <f t="shared" ca="1" si="16"/>
        <v>=N70+N71</v>
      </c>
      <c r="P72" s="4"/>
      <c r="Q72" s="4"/>
      <c r="R72" s="4"/>
      <c r="S72" s="4"/>
    </row>
    <row r="73" spans="2:20" ht="26" customHeight="1">
      <c r="H73" s="15"/>
      <c r="O73" s="4"/>
      <c r="P73" s="4"/>
      <c r="Q73" s="4"/>
      <c r="R73" s="4"/>
    </row>
    <row r="74" spans="2:20" ht="20">
      <c r="H74" s="15"/>
      <c r="I74" s="37" t="s">
        <v>128</v>
      </c>
      <c r="J74" s="43"/>
      <c r="K74" s="43"/>
      <c r="L74" s="43"/>
      <c r="M74" s="43"/>
    </row>
    <row r="75" spans="2:20" ht="20">
      <c r="H75" s="15"/>
      <c r="I75" s="37"/>
      <c r="J75" s="43"/>
      <c r="K75" s="43"/>
      <c r="L75" s="43"/>
      <c r="M75" s="43"/>
    </row>
    <row r="76" spans="2:20" ht="18">
      <c r="B76" s="29" t="s">
        <v>129</v>
      </c>
      <c r="H76" s="15"/>
      <c r="I76" s="29" t="s">
        <v>130</v>
      </c>
    </row>
    <row r="77" spans="2:20">
      <c r="B77" s="7" t="s">
        <v>131</v>
      </c>
      <c r="H77" s="15"/>
      <c r="I77" s="7" t="s">
        <v>131</v>
      </c>
    </row>
    <row r="78" spans="2:20">
      <c r="H78" s="15"/>
      <c r="T78" s="26"/>
    </row>
    <row r="79" spans="2:20" ht="18">
      <c r="B79" s="29" t="s">
        <v>132</v>
      </c>
      <c r="H79" s="15"/>
      <c r="I79" s="38" t="s">
        <v>133</v>
      </c>
      <c r="J79" s="19"/>
      <c r="K79" s="19" t="s">
        <v>32</v>
      </c>
      <c r="L79" s="19" t="s">
        <v>5</v>
      </c>
      <c r="M79" s="19" t="s">
        <v>6</v>
      </c>
      <c r="N79" s="26"/>
      <c r="S79" s="26"/>
    </row>
    <row r="80" spans="2:20">
      <c r="B80" s="7" t="s">
        <v>134</v>
      </c>
      <c r="H80" s="15"/>
      <c r="I80" s="44" t="s">
        <v>135</v>
      </c>
      <c r="K80" s="15">
        <f>F104</f>
        <v>10000</v>
      </c>
      <c r="L80" s="15">
        <f>K97</f>
        <v>10410</v>
      </c>
      <c r="M80" s="15">
        <f>L97</f>
        <v>10720</v>
      </c>
      <c r="N80" s="27" t="str">
        <f t="shared" ref="N80:P92" ca="1" si="17">_xlfn.FORMULATEXT(K80)</f>
        <v>=F104</v>
      </c>
      <c r="O80" s="27" t="str">
        <f t="shared" ca="1" si="17"/>
        <v>=K97</v>
      </c>
      <c r="P80" s="27" t="str">
        <f t="shared" ca="1" si="17"/>
        <v>=L97</v>
      </c>
      <c r="Q80" s="26"/>
      <c r="R80" s="26"/>
    </row>
    <row r="81" spans="1:20" ht="19">
      <c r="B81" s="7" t="s">
        <v>136</v>
      </c>
      <c r="H81" s="15"/>
      <c r="I81" s="31" t="s">
        <v>137</v>
      </c>
      <c r="J81" s="31"/>
      <c r="K81" s="33">
        <f>10000</f>
        <v>10000</v>
      </c>
      <c r="L81" s="33">
        <f>K81</f>
        <v>10000</v>
      </c>
      <c r="M81" s="33">
        <f>L81</f>
        <v>10000</v>
      </c>
      <c r="N81" s="27" t="str">
        <f t="shared" ca="1" si="17"/>
        <v>=10000</v>
      </c>
      <c r="O81" s="27" t="str">
        <f t="shared" ca="1" si="17"/>
        <v>=K81</v>
      </c>
      <c r="P81" s="27" t="str">
        <f t="shared" ca="1" si="17"/>
        <v>=L81</v>
      </c>
      <c r="Q81" s="24"/>
    </row>
    <row r="82" spans="1:20">
      <c r="B82" s="7" t="s">
        <v>138</v>
      </c>
      <c r="H82" s="15"/>
      <c r="I82" s="44" t="s">
        <v>139</v>
      </c>
      <c r="K82" s="15">
        <f>K80-K81</f>
        <v>0</v>
      </c>
      <c r="L82" s="15">
        <f>L80-L81</f>
        <v>410</v>
      </c>
      <c r="M82" s="15">
        <f>M80-M81</f>
        <v>720</v>
      </c>
      <c r="N82" s="27" t="str">
        <f t="shared" ca="1" si="17"/>
        <v>=K80-K81</v>
      </c>
      <c r="O82" s="27" t="str">
        <f ca="1">_xlfn.FORMULATEXT(L82)</f>
        <v>=L80-L81</v>
      </c>
      <c r="P82" s="27" t="str">
        <f ca="1">_xlfn.FORMULATEXT(M82)</f>
        <v>=M80-M81</v>
      </c>
      <c r="Q82" s="24"/>
    </row>
    <row r="83" spans="1:20" ht="16" customHeight="1">
      <c r="A83" s="7" t="s">
        <v>3</v>
      </c>
      <c r="B83" s="7" t="s">
        <v>140</v>
      </c>
      <c r="H83" s="15"/>
      <c r="I83" s="44"/>
      <c r="K83" s="15"/>
      <c r="L83" s="15"/>
      <c r="M83" s="15"/>
      <c r="N83" s="27"/>
      <c r="O83" s="27"/>
      <c r="P83" s="27"/>
      <c r="Q83" s="24"/>
    </row>
    <row r="84" spans="1:20">
      <c r="A84" s="7" t="s">
        <v>404</v>
      </c>
      <c r="B84" s="7" t="s">
        <v>141</v>
      </c>
      <c r="H84" s="15"/>
      <c r="I84" s="44" t="s">
        <v>142</v>
      </c>
      <c r="N84" s="27"/>
      <c r="O84" s="27"/>
      <c r="P84" s="27"/>
      <c r="Q84" s="24"/>
    </row>
    <row r="85" spans="1:20">
      <c r="B85" s="7" t="s">
        <v>143</v>
      </c>
      <c r="H85" s="15"/>
      <c r="I85" s="7" t="s">
        <v>144</v>
      </c>
      <c r="K85" s="15">
        <f>K18</f>
        <v>46000</v>
      </c>
      <c r="L85" s="15">
        <f>L18</f>
        <v>68000</v>
      </c>
      <c r="M85" s="15">
        <f>M18</f>
        <v>68000</v>
      </c>
      <c r="N85" s="27" t="str">
        <f t="shared" ca="1" si="17"/>
        <v>=K18</v>
      </c>
      <c r="O85" s="27" t="str">
        <f t="shared" ca="1" si="17"/>
        <v>=L18</v>
      </c>
      <c r="P85" s="27" t="str">
        <f t="shared" ca="1" si="17"/>
        <v>=M18</v>
      </c>
      <c r="Q85" s="24"/>
    </row>
    <row r="86" spans="1:20">
      <c r="A86" s="7" t="s">
        <v>405</v>
      </c>
      <c r="B86" s="4" t="s">
        <v>145</v>
      </c>
      <c r="C86" s="4"/>
      <c r="D86" s="4"/>
      <c r="E86" s="4"/>
      <c r="F86" s="4"/>
      <c r="H86" s="15"/>
      <c r="I86" s="7" t="s">
        <v>146</v>
      </c>
      <c r="K86" s="15">
        <f>-K32</f>
        <v>-42700</v>
      </c>
      <c r="L86" s="15">
        <f>-L32</f>
        <v>-48300</v>
      </c>
      <c r="M86" s="15">
        <f>-M32</f>
        <v>-40600</v>
      </c>
      <c r="N86" s="27" t="str">
        <f t="shared" ca="1" si="17"/>
        <v>=-K32</v>
      </c>
      <c r="O86" s="27" t="str">
        <f t="shared" ca="1" si="17"/>
        <v>=-L32</v>
      </c>
      <c r="P86" s="27" t="str">
        <f t="shared" ca="1" si="17"/>
        <v>=-M32</v>
      </c>
      <c r="Q86" s="24"/>
    </row>
    <row r="87" spans="1:20" s="23" customFormat="1">
      <c r="B87" s="7"/>
      <c r="C87" s="7"/>
      <c r="D87" s="7"/>
      <c r="E87" s="7"/>
      <c r="F87" s="7"/>
      <c r="G87" s="7"/>
      <c r="H87" s="45"/>
      <c r="I87" s="7" t="s">
        <v>147</v>
      </c>
      <c r="J87" s="7"/>
      <c r="K87" s="15">
        <f>-K53</f>
        <v>-13750</v>
      </c>
      <c r="L87" s="15">
        <f>-L53</f>
        <v>-18250</v>
      </c>
      <c r="M87" s="15">
        <f>-M53</f>
        <v>-18000</v>
      </c>
      <c r="N87" s="27" t="str">
        <f t="shared" ca="1" si="17"/>
        <v>=-K53</v>
      </c>
      <c r="O87" s="27" t="str">
        <f t="shared" ca="1" si="17"/>
        <v>=-L53</v>
      </c>
      <c r="P87" s="27" t="str">
        <f t="shared" ca="1" si="17"/>
        <v>=-M53</v>
      </c>
      <c r="Q87" s="24"/>
      <c r="R87" s="7"/>
      <c r="S87" s="7"/>
      <c r="T87" s="7"/>
    </row>
    <row r="88" spans="1:20">
      <c r="H88" s="15"/>
      <c r="I88" s="7" t="s">
        <v>148</v>
      </c>
      <c r="K88" s="15">
        <v>0</v>
      </c>
      <c r="L88" s="15">
        <v>0</v>
      </c>
      <c r="M88" s="15">
        <f>N71</f>
        <v>-1046.5</v>
      </c>
      <c r="N88" s="27"/>
      <c r="O88" s="27"/>
      <c r="P88" s="27"/>
      <c r="Q88" s="24"/>
    </row>
    <row r="89" spans="1:20" ht="19">
      <c r="H89" s="15"/>
      <c r="I89" s="31" t="s">
        <v>149</v>
      </c>
      <c r="J89" s="31"/>
      <c r="K89" s="33">
        <f>-3000</f>
        <v>-3000</v>
      </c>
      <c r="L89" s="33">
        <f>0</f>
        <v>0</v>
      </c>
      <c r="M89" s="33">
        <f>0</f>
        <v>0</v>
      </c>
      <c r="N89" s="27" t="str">
        <f t="shared" ca="1" si="17"/>
        <v>=-3000</v>
      </c>
      <c r="O89" s="27"/>
      <c r="P89" s="27"/>
      <c r="Q89" s="24"/>
    </row>
    <row r="90" spans="1:20">
      <c r="H90" s="15"/>
      <c r="I90" s="44" t="s">
        <v>150</v>
      </c>
      <c r="K90" s="15">
        <f>SUM(K85:K89)</f>
        <v>-13450</v>
      </c>
      <c r="L90" s="15">
        <f>SUM(L85:L89)</f>
        <v>1450</v>
      </c>
      <c r="M90" s="15">
        <f>SUM(M85:M89)</f>
        <v>8353.5</v>
      </c>
      <c r="N90" s="27" t="str">
        <f t="shared" ca="1" si="17"/>
        <v>=SUM(K85:K89)</v>
      </c>
      <c r="O90" s="27" t="str">
        <f ca="1">_xlfn.FORMULATEXT(L90)</f>
        <v>=SUM(L85:L89)</v>
      </c>
      <c r="P90" s="27" t="str">
        <f ca="1">_xlfn.FORMULATEXT(M90)</f>
        <v>=SUM(M85:M89)</v>
      </c>
      <c r="Q90" s="24"/>
      <c r="T90" s="12"/>
    </row>
    <row r="91" spans="1:20" s="23" customFormat="1">
      <c r="B91" s="7"/>
      <c r="C91" s="7"/>
      <c r="D91" s="7"/>
      <c r="E91" s="7"/>
      <c r="F91" s="7"/>
      <c r="G91" s="7"/>
      <c r="H91" s="45"/>
      <c r="I91" s="46"/>
      <c r="J91" s="12"/>
      <c r="K91" s="12"/>
      <c r="L91" s="12"/>
      <c r="M91" s="12"/>
      <c r="N91" s="47"/>
      <c r="O91" s="47"/>
      <c r="P91" s="47"/>
      <c r="Q91" s="24"/>
      <c r="R91" s="7"/>
      <c r="S91" s="12"/>
      <c r="T91" s="7"/>
    </row>
    <row r="92" spans="1:20">
      <c r="H92" s="15"/>
      <c r="I92" s="26" t="s">
        <v>151</v>
      </c>
      <c r="K92" s="15">
        <f>K82+K90</f>
        <v>-13450</v>
      </c>
      <c r="L92" s="15">
        <f>L82+L90</f>
        <v>1860</v>
      </c>
      <c r="M92" s="15">
        <f>M82+M90</f>
        <v>9073.5</v>
      </c>
      <c r="N92" s="27" t="str">
        <f t="shared" ca="1" si="17"/>
        <v>=K82+K90</v>
      </c>
      <c r="O92" s="27" t="str">
        <f ca="1">_xlfn.FORMULATEXT(L92)</f>
        <v>=L82+L90</v>
      </c>
      <c r="P92" s="27" t="str">
        <f ca="1">_xlfn.FORMULATEXT(M92)</f>
        <v>=M82+M90</v>
      </c>
      <c r="Q92" s="48"/>
      <c r="R92" s="12"/>
    </row>
    <row r="93" spans="1:20">
      <c r="H93" s="15"/>
      <c r="I93" s="7" t="s">
        <v>152</v>
      </c>
      <c r="K93" s="15">
        <v>14000</v>
      </c>
      <c r="L93" s="15">
        <f>0</f>
        <v>0</v>
      </c>
      <c r="M93" s="15">
        <v>0</v>
      </c>
      <c r="N93" s="39" t="s">
        <v>153</v>
      </c>
      <c r="Q93" s="24"/>
    </row>
    <row r="94" spans="1:20">
      <c r="H94" s="15"/>
      <c r="I94" s="7" t="s">
        <v>154</v>
      </c>
      <c r="K94" s="15">
        <f>0</f>
        <v>0</v>
      </c>
      <c r="L94" s="15">
        <f>-1000</f>
        <v>-1000</v>
      </c>
      <c r="M94" s="15">
        <v>-8000</v>
      </c>
      <c r="N94" s="39" t="s">
        <v>155</v>
      </c>
    </row>
    <row r="95" spans="1:20" ht="19">
      <c r="H95" s="15"/>
      <c r="I95" s="31" t="s">
        <v>156</v>
      </c>
      <c r="J95" s="31"/>
      <c r="K95" s="33">
        <f>-K93*1%</f>
        <v>-140</v>
      </c>
      <c r="L95" s="33">
        <f>-K93*1%</f>
        <v>-140</v>
      </c>
      <c r="M95" s="33">
        <f>-(K93+L94)*1%</f>
        <v>-130</v>
      </c>
      <c r="N95" s="27" t="str">
        <f t="shared" ref="N95:P97" ca="1" si="18">_xlfn.FORMULATEXT(K95)</f>
        <v>=-K93*1%</v>
      </c>
      <c r="O95" s="27" t="str">
        <f t="shared" ca="1" si="18"/>
        <v>=-K93*1%</v>
      </c>
      <c r="P95" s="27" t="str">
        <f t="shared" ca="1" si="18"/>
        <v>=-(K93+L94)*1%</v>
      </c>
    </row>
    <row r="96" spans="1:20">
      <c r="H96" s="15"/>
      <c r="I96" s="44" t="s">
        <v>157</v>
      </c>
      <c r="K96" s="15">
        <f>SUM(K93:K95)</f>
        <v>13860</v>
      </c>
      <c r="L96" s="15">
        <f>SUM(L93:L95)</f>
        <v>-1140</v>
      </c>
      <c r="M96" s="15">
        <f>SUM(M93:M95)</f>
        <v>-8130</v>
      </c>
      <c r="N96" s="27" t="str">
        <f t="shared" ca="1" si="18"/>
        <v>=SUM(K93:K95)</v>
      </c>
      <c r="O96" s="27" t="str">
        <f t="shared" ca="1" si="18"/>
        <v>=SUM(L93:L95)</v>
      </c>
      <c r="P96" s="27" t="str">
        <f t="shared" ca="1" si="18"/>
        <v>=SUM(M93:M95)</v>
      </c>
    </row>
    <row r="97" spans="2:20">
      <c r="H97" s="15"/>
      <c r="I97" s="49" t="s">
        <v>158</v>
      </c>
      <c r="J97" s="4"/>
      <c r="K97" s="21">
        <f>K80+K90+K96</f>
        <v>10410</v>
      </c>
      <c r="L97" s="21">
        <f>L80+L90+L96</f>
        <v>10720</v>
      </c>
      <c r="M97" s="21">
        <f>M80+M90+M96</f>
        <v>10943.5</v>
      </c>
      <c r="N97" s="27" t="str">
        <f t="shared" ca="1" si="18"/>
        <v>=K80+K90+K96</v>
      </c>
      <c r="O97" s="27" t="str">
        <f ca="1">_xlfn.FORMULATEXT(L97)</f>
        <v>=L80+L90+L96</v>
      </c>
      <c r="P97" s="27" t="str">
        <f ca="1">_xlfn.FORMULATEXT(M97)</f>
        <v>=M80+M90+M96</v>
      </c>
    </row>
    <row r="98" spans="2:20" s="23" customFormat="1" ht="29" customHeight="1">
      <c r="B98" s="7"/>
      <c r="C98" s="7"/>
      <c r="D98" s="7"/>
      <c r="E98" s="7"/>
      <c r="F98" s="7"/>
      <c r="G98" s="7"/>
      <c r="H98" s="45"/>
      <c r="I98" s="4"/>
      <c r="J98" s="4"/>
      <c r="K98" s="4"/>
      <c r="L98" s="4"/>
      <c r="M98" s="4"/>
      <c r="N98" s="7"/>
      <c r="Q98" s="7"/>
      <c r="R98" s="7"/>
      <c r="S98" s="7"/>
      <c r="T98" s="7"/>
    </row>
    <row r="99" spans="2:20" ht="20">
      <c r="H99" s="15"/>
      <c r="I99" s="50" t="s">
        <v>159</v>
      </c>
      <c r="T99" s="26"/>
    </row>
    <row r="100" spans="2:20">
      <c r="H100" s="15"/>
      <c r="O100" s="26"/>
      <c r="P100" s="26"/>
      <c r="Q100" s="26"/>
      <c r="S100" s="26"/>
      <c r="T100" s="26"/>
    </row>
    <row r="101" spans="2:20" ht="18">
      <c r="B101" s="51" t="s">
        <v>160</v>
      </c>
      <c r="C101" s="13"/>
      <c r="D101" s="13"/>
      <c r="E101" s="13"/>
      <c r="F101" s="13"/>
      <c r="H101" s="15"/>
      <c r="I101" s="51" t="s">
        <v>161</v>
      </c>
      <c r="J101" s="52"/>
      <c r="K101" s="52"/>
      <c r="L101" s="52"/>
      <c r="M101" s="14" t="s">
        <v>162</v>
      </c>
      <c r="N101" s="26"/>
      <c r="O101" s="26"/>
      <c r="P101" s="26"/>
      <c r="Q101" s="26"/>
      <c r="R101" s="26"/>
      <c r="S101" s="26"/>
    </row>
    <row r="102" spans="2:20">
      <c r="B102" s="26" t="s">
        <v>163</v>
      </c>
      <c r="G102" s="23"/>
      <c r="H102" s="15"/>
      <c r="I102" s="44" t="s">
        <v>163</v>
      </c>
      <c r="R102" s="26"/>
    </row>
    <row r="103" spans="2:20">
      <c r="B103" s="39" t="s">
        <v>164</v>
      </c>
      <c r="H103" s="15"/>
      <c r="I103" s="7" t="s">
        <v>164</v>
      </c>
    </row>
    <row r="104" spans="2:20">
      <c r="B104" s="7" t="s">
        <v>165</v>
      </c>
      <c r="F104" s="7">
        <v>10000</v>
      </c>
      <c r="H104" s="15"/>
      <c r="I104" s="7" t="s">
        <v>165</v>
      </c>
      <c r="M104" s="15">
        <f>M97</f>
        <v>10943.5</v>
      </c>
      <c r="N104" s="39" t="str">
        <f ca="1">_xlfn.FORMULATEXT(M104)</f>
        <v>=M97</v>
      </c>
    </row>
    <row r="105" spans="2:20">
      <c r="B105" s="7" t="s">
        <v>166</v>
      </c>
      <c r="F105" s="7">
        <f>40000*40%</f>
        <v>16000</v>
      </c>
      <c r="H105" s="15"/>
      <c r="I105" s="7" t="s">
        <v>167</v>
      </c>
      <c r="M105" s="15">
        <f>40%*M10</f>
        <v>24000</v>
      </c>
      <c r="N105" s="39" t="str">
        <f t="shared" ref="N105:N120" ca="1" si="19">_xlfn.FORMULATEXT(M105)</f>
        <v>=40%*M10</v>
      </c>
    </row>
    <row r="106" spans="2:20" s="23" customFormat="1">
      <c r="B106" s="7" t="s">
        <v>168</v>
      </c>
      <c r="C106" s="7"/>
      <c r="D106" s="7"/>
      <c r="E106" s="7"/>
      <c r="F106" s="7">
        <f>20000+80%*70%*50000</f>
        <v>48000</v>
      </c>
      <c r="H106" s="45"/>
      <c r="I106" s="7" t="s">
        <v>169</v>
      </c>
      <c r="J106" s="7"/>
      <c r="K106" s="7"/>
      <c r="L106" s="7"/>
      <c r="M106" s="15">
        <f>M23</f>
        <v>48000</v>
      </c>
      <c r="N106" s="39" t="str">
        <f t="shared" ca="1" si="19"/>
        <v>=M23</v>
      </c>
      <c r="O106" s="7"/>
      <c r="P106" s="7"/>
      <c r="Q106" s="7"/>
      <c r="R106" s="7"/>
      <c r="S106" s="7"/>
      <c r="T106" s="7"/>
    </row>
    <row r="107" spans="2:20">
      <c r="B107" s="7" t="s">
        <v>170</v>
      </c>
      <c r="F107" s="7">
        <f>200*9</f>
        <v>1800</v>
      </c>
      <c r="H107" s="15"/>
      <c r="I107" s="7" t="s">
        <v>171</v>
      </c>
      <c r="M107" s="15">
        <f>200*6</f>
        <v>1200</v>
      </c>
      <c r="N107" s="39" t="str">
        <f t="shared" ca="1" si="19"/>
        <v>=200*6</v>
      </c>
    </row>
    <row r="108" spans="2:20">
      <c r="B108" s="7" t="s">
        <v>172</v>
      </c>
      <c r="H108" s="15"/>
      <c r="I108" s="7" t="s">
        <v>173</v>
      </c>
      <c r="N108" s="39"/>
    </row>
    <row r="109" spans="2:20">
      <c r="B109" s="7" t="s">
        <v>174</v>
      </c>
      <c r="F109" s="7">
        <v>37000</v>
      </c>
      <c r="H109" s="15"/>
      <c r="I109" s="7" t="s">
        <v>175</v>
      </c>
      <c r="M109" s="15">
        <f>F109+3000</f>
        <v>40000</v>
      </c>
      <c r="N109" s="39" t="str">
        <f t="shared" ca="1" si="19"/>
        <v>=F109+3000</v>
      </c>
    </row>
    <row r="110" spans="2:20" ht="19">
      <c r="B110" s="31" t="s">
        <v>176</v>
      </c>
      <c r="C110" s="31"/>
      <c r="D110" s="31"/>
      <c r="E110" s="31"/>
      <c r="F110" s="31">
        <v>-12800</v>
      </c>
      <c r="H110" s="15"/>
      <c r="I110" s="31" t="s">
        <v>177</v>
      </c>
      <c r="J110" s="31"/>
      <c r="K110" s="31"/>
      <c r="L110" s="31"/>
      <c r="M110" s="33">
        <f>F110-N42</f>
        <v>-14300</v>
      </c>
      <c r="N110" s="39" t="str">
        <f t="shared" ca="1" si="19"/>
        <v>=F110-N42</v>
      </c>
    </row>
    <row r="111" spans="2:20">
      <c r="B111" s="26" t="s">
        <v>178</v>
      </c>
      <c r="F111" s="7">
        <f>SUM(F104:F110)</f>
        <v>100000</v>
      </c>
      <c r="H111" s="15"/>
      <c r="I111" s="26" t="s">
        <v>178</v>
      </c>
      <c r="M111" s="15">
        <f>SUM(M104:M110)</f>
        <v>109843.5</v>
      </c>
      <c r="N111" s="39" t="str">
        <f t="shared" ca="1" si="19"/>
        <v>=SUM(M104:M110)</v>
      </c>
    </row>
    <row r="112" spans="2:20" s="23" customFormat="1">
      <c r="B112" s="7"/>
      <c r="C112" s="7"/>
      <c r="D112" s="7"/>
      <c r="E112" s="7"/>
      <c r="F112" s="7"/>
      <c r="G112" s="7"/>
      <c r="H112" s="45"/>
      <c r="I112" s="7"/>
      <c r="J112" s="7"/>
      <c r="K112" s="7"/>
      <c r="L112" s="7"/>
      <c r="M112" s="7"/>
      <c r="N112" s="39"/>
      <c r="O112" s="7"/>
      <c r="P112" s="7"/>
      <c r="Q112" s="7"/>
      <c r="R112" s="7"/>
      <c r="S112" s="7"/>
      <c r="T112" s="7"/>
    </row>
    <row r="113" spans="2:20">
      <c r="B113" s="44" t="s">
        <v>179</v>
      </c>
      <c r="G113" s="23"/>
      <c r="H113" s="15"/>
      <c r="I113" s="44" t="s">
        <v>179</v>
      </c>
      <c r="N113" s="39"/>
    </row>
    <row r="114" spans="2:20">
      <c r="B114" s="7" t="s">
        <v>180</v>
      </c>
      <c r="H114" s="15"/>
      <c r="I114" s="7" t="s">
        <v>180</v>
      </c>
      <c r="N114" s="39"/>
    </row>
    <row r="115" spans="2:20">
      <c r="B115" s="7" t="s">
        <v>181</v>
      </c>
      <c r="F115" s="7">
        <f>33600*50%</f>
        <v>16800</v>
      </c>
      <c r="H115" s="15"/>
      <c r="I115" s="7" t="s">
        <v>182</v>
      </c>
      <c r="M115" s="15">
        <f>50%*M26</f>
        <v>18200</v>
      </c>
      <c r="N115" s="39" t="str">
        <f t="shared" ca="1" si="19"/>
        <v>=50%*M26</v>
      </c>
    </row>
    <row r="116" spans="2:20">
      <c r="B116" s="7" t="s">
        <v>183</v>
      </c>
      <c r="F116" s="7">
        <f>2500*50%+15%*40000*50%</f>
        <v>4250</v>
      </c>
      <c r="H116" s="15"/>
      <c r="I116" s="7" t="s">
        <v>184</v>
      </c>
      <c r="M116" s="15">
        <f>K93+L94+M94</f>
        <v>5000</v>
      </c>
      <c r="N116" s="39" t="str">
        <f t="shared" ca="1" si="19"/>
        <v>=K93+L94+M94</v>
      </c>
    </row>
    <row r="117" spans="2:20">
      <c r="B117" s="7" t="s">
        <v>185</v>
      </c>
      <c r="F117" s="7">
        <v>30000</v>
      </c>
      <c r="H117" s="15"/>
      <c r="I117" s="7" t="s">
        <v>186</v>
      </c>
      <c r="M117" s="15">
        <f>50%*M38</f>
        <v>5750</v>
      </c>
      <c r="N117" s="39" t="str">
        <f t="shared" ca="1" si="19"/>
        <v>=50%*M38</v>
      </c>
    </row>
    <row r="118" spans="2:20" ht="19">
      <c r="B118" s="31" t="s">
        <v>187</v>
      </c>
      <c r="C118" s="31"/>
      <c r="D118" s="31"/>
      <c r="E118" s="31"/>
      <c r="F118" s="31">
        <v>48950</v>
      </c>
      <c r="H118" s="15"/>
      <c r="I118" s="7" t="s">
        <v>188</v>
      </c>
      <c r="M118" s="15">
        <f>F117</f>
        <v>30000</v>
      </c>
      <c r="N118" s="39" t="str">
        <f t="shared" ca="1" si="19"/>
        <v>=F117</v>
      </c>
    </row>
    <row r="119" spans="2:20" ht="19">
      <c r="B119" s="53" t="s">
        <v>189</v>
      </c>
      <c r="C119" s="4"/>
      <c r="D119" s="4"/>
      <c r="E119" s="4"/>
      <c r="F119" s="4">
        <f>SUM(F115:F118)</f>
        <v>100000</v>
      </c>
      <c r="H119" s="15"/>
      <c r="I119" s="31" t="s">
        <v>190</v>
      </c>
      <c r="J119" s="31"/>
      <c r="K119" s="31"/>
      <c r="L119" s="31"/>
      <c r="M119" s="33">
        <f>F118+N72</f>
        <v>50893.5</v>
      </c>
      <c r="N119" s="39" t="str">
        <f t="shared" ca="1" si="19"/>
        <v>=F118+N72</v>
      </c>
    </row>
    <row r="120" spans="2:20">
      <c r="H120" s="15"/>
      <c r="I120" s="53" t="s">
        <v>189</v>
      </c>
      <c r="J120" s="4"/>
      <c r="K120" s="4"/>
      <c r="L120" s="4"/>
      <c r="M120" s="21">
        <f>SUM(M115:M119)</f>
        <v>109843.5</v>
      </c>
      <c r="N120" s="39" t="str">
        <f t="shared" ca="1" si="19"/>
        <v>=SUM(M115:M119)</v>
      </c>
      <c r="T120" s="23"/>
    </row>
    <row r="121" spans="2:20">
      <c r="B121" s="23"/>
      <c r="C121" s="23"/>
      <c r="D121" s="23"/>
      <c r="E121" s="23"/>
      <c r="F121" s="23"/>
      <c r="G121" s="23"/>
      <c r="I121" s="54"/>
      <c r="J121" s="54"/>
      <c r="K121" s="54"/>
      <c r="L121" s="54"/>
      <c r="M121" s="54"/>
      <c r="N121" s="23"/>
      <c r="O121" s="23"/>
      <c r="P121" s="23"/>
      <c r="Q121" s="23"/>
      <c r="S121" s="23"/>
    </row>
    <row r="122" spans="2:20">
      <c r="R122" s="23"/>
    </row>
    <row r="123" spans="2:20" s="23" customFormat="1">
      <c r="B123" s="7"/>
      <c r="C123" s="7"/>
      <c r="D123" s="7"/>
      <c r="E123" s="7"/>
      <c r="F123" s="7"/>
      <c r="G123" s="7"/>
      <c r="I123" s="7"/>
      <c r="J123" s="7"/>
      <c r="K123" s="7"/>
      <c r="L123" s="7"/>
      <c r="M123" s="7"/>
      <c r="N123" s="7"/>
      <c r="O123" s="7"/>
      <c r="P123" s="7"/>
      <c r="Q123" s="7"/>
      <c r="R123" s="7"/>
      <c r="S123" s="7"/>
      <c r="T123" s="7"/>
    </row>
    <row r="127" spans="2:20">
      <c r="B127" s="23"/>
      <c r="C127" s="23"/>
      <c r="D127" s="23"/>
      <c r="E127" s="23"/>
      <c r="F127" s="23"/>
      <c r="G127" s="23"/>
    </row>
    <row r="129" spans="2:20" ht="16" customHeight="1"/>
    <row r="132" spans="2:20">
      <c r="I132" s="4"/>
      <c r="J132" s="4"/>
      <c r="K132" s="4"/>
      <c r="L132" s="4"/>
      <c r="M132" s="4"/>
      <c r="N132" s="4"/>
      <c r="T132" s="4"/>
    </row>
    <row r="133" spans="2:20">
      <c r="I133" s="4"/>
      <c r="J133" s="4"/>
      <c r="K133" s="4"/>
      <c r="L133" s="4"/>
      <c r="M133" s="4"/>
      <c r="N133" s="4"/>
      <c r="O133" s="4"/>
      <c r="P133" s="4"/>
      <c r="Q133" s="4"/>
      <c r="S133" s="4"/>
      <c r="T133" s="4"/>
    </row>
    <row r="134" spans="2:20">
      <c r="I134" s="4"/>
      <c r="J134" s="4"/>
      <c r="K134" s="4"/>
      <c r="L134" s="4"/>
      <c r="M134" s="4"/>
      <c r="N134" s="4"/>
      <c r="O134" s="4"/>
      <c r="P134" s="4"/>
      <c r="Q134" s="4"/>
      <c r="R134" s="4"/>
      <c r="S134" s="4"/>
      <c r="T134" s="4"/>
    </row>
    <row r="135" spans="2:20" s="26" customFormat="1">
      <c r="B135" s="7"/>
      <c r="C135" s="7"/>
      <c r="D135" s="7"/>
      <c r="E135" s="7"/>
      <c r="F135" s="7"/>
      <c r="G135" s="7"/>
      <c r="I135" s="7"/>
      <c r="J135" s="7"/>
      <c r="K135" s="7"/>
      <c r="L135" s="7"/>
      <c r="M135" s="7"/>
      <c r="N135" s="7"/>
      <c r="O135" s="4"/>
      <c r="P135" s="4"/>
      <c r="Q135" s="4"/>
      <c r="R135" s="4"/>
      <c r="S135" s="4"/>
      <c r="T135" s="7"/>
    </row>
    <row r="136" spans="2:20" s="23" customFormat="1">
      <c r="B136" s="7"/>
      <c r="C136" s="7"/>
      <c r="D136" s="7"/>
      <c r="E136" s="7"/>
      <c r="F136" s="7"/>
      <c r="G136" s="7"/>
      <c r="I136" s="7"/>
      <c r="J136" s="7"/>
      <c r="K136" s="7"/>
      <c r="L136" s="7"/>
      <c r="M136" s="7"/>
      <c r="N136" s="7"/>
      <c r="O136" s="7"/>
      <c r="P136" s="7"/>
      <c r="Q136" s="7"/>
      <c r="R136" s="4"/>
      <c r="S136" s="7"/>
      <c r="T136" s="7"/>
    </row>
    <row r="138" spans="2:20">
      <c r="B138" s="23"/>
      <c r="C138" s="23"/>
      <c r="D138" s="23"/>
      <c r="E138" s="23"/>
      <c r="F138" s="23"/>
      <c r="G138" s="23"/>
    </row>
    <row r="141" spans="2:20">
      <c r="I141" s="26"/>
      <c r="J141" s="26"/>
      <c r="K141" s="26"/>
      <c r="L141" s="26"/>
      <c r="M141" s="26"/>
      <c r="N141" s="26"/>
      <c r="T141" s="26"/>
    </row>
    <row r="142" spans="2:20">
      <c r="O142" s="26"/>
      <c r="P142" s="26"/>
      <c r="Q142" s="26"/>
      <c r="S142" s="26"/>
    </row>
    <row r="143" spans="2:20">
      <c r="R143" s="26"/>
    </row>
    <row r="148" spans="2:20" s="4" customFormat="1">
      <c r="B148" s="7"/>
      <c r="C148" s="7"/>
      <c r="D148" s="7"/>
      <c r="E148" s="7"/>
      <c r="F148" s="7"/>
      <c r="G148" s="7"/>
      <c r="I148" s="7"/>
      <c r="J148" s="7"/>
      <c r="K148" s="7"/>
      <c r="L148" s="7"/>
      <c r="M148" s="7"/>
      <c r="N148" s="7"/>
      <c r="O148" s="7"/>
      <c r="P148" s="7"/>
      <c r="Q148" s="7"/>
      <c r="R148" s="7"/>
      <c r="S148" s="7"/>
      <c r="T148" s="7"/>
    </row>
    <row r="149" spans="2:20" s="4" customFormat="1">
      <c r="B149" s="7"/>
      <c r="C149" s="7"/>
      <c r="D149" s="7"/>
      <c r="E149" s="7"/>
      <c r="F149" s="7"/>
      <c r="G149" s="7"/>
      <c r="I149" s="7"/>
      <c r="J149" s="7"/>
      <c r="K149" s="7"/>
      <c r="L149" s="7"/>
      <c r="M149" s="7"/>
      <c r="N149" s="7"/>
      <c r="O149" s="7"/>
      <c r="P149" s="7"/>
      <c r="Q149" s="7"/>
      <c r="R149" s="7"/>
      <c r="S149" s="7"/>
      <c r="T149" s="7"/>
    </row>
    <row r="150" spans="2:20" s="4" customFormat="1">
      <c r="B150" s="26"/>
      <c r="C150" s="26"/>
      <c r="D150" s="26"/>
      <c r="E150" s="26"/>
      <c r="F150" s="26"/>
      <c r="G150" s="26"/>
      <c r="I150" s="7"/>
      <c r="J150" s="7"/>
      <c r="K150" s="7"/>
      <c r="L150" s="7"/>
      <c r="M150" s="7"/>
      <c r="N150" s="7"/>
      <c r="O150" s="7"/>
      <c r="P150" s="7"/>
      <c r="Q150" s="7"/>
      <c r="R150" s="7"/>
      <c r="S150" s="7"/>
      <c r="T150" s="7"/>
    </row>
    <row r="151" spans="2:20">
      <c r="B151" s="23"/>
      <c r="C151" s="23"/>
      <c r="D151" s="23"/>
      <c r="E151" s="23"/>
      <c r="F151" s="23"/>
      <c r="G151" s="23"/>
    </row>
    <row r="153" spans="2:20" ht="20" customHeight="1">
      <c r="I153" s="12"/>
      <c r="J153" s="12"/>
      <c r="K153" s="12"/>
      <c r="L153" s="12"/>
      <c r="M153" s="12"/>
      <c r="N153" s="12"/>
      <c r="T153" s="12"/>
    </row>
    <row r="154" spans="2:20">
      <c r="O154" s="12"/>
      <c r="P154" s="12"/>
      <c r="Q154" s="12"/>
      <c r="S154" s="12"/>
    </row>
    <row r="155" spans="2:20">
      <c r="R155" s="12"/>
    </row>
    <row r="157" spans="2:20" s="26" customFormat="1">
      <c r="B157" s="7"/>
      <c r="C157" s="7"/>
      <c r="D157" s="7"/>
      <c r="E157" s="7"/>
      <c r="F157" s="7"/>
      <c r="G157" s="7"/>
      <c r="I157" s="7"/>
      <c r="J157" s="7"/>
      <c r="K157" s="7"/>
      <c r="L157" s="7"/>
      <c r="M157" s="7"/>
      <c r="N157" s="7"/>
      <c r="O157" s="7"/>
      <c r="P157" s="7"/>
      <c r="Q157" s="7"/>
      <c r="R157" s="7"/>
      <c r="S157" s="7"/>
      <c r="T157" s="7"/>
    </row>
    <row r="162" spans="2:20">
      <c r="I162" s="26"/>
      <c r="J162" s="26"/>
      <c r="K162" s="26"/>
      <c r="L162" s="26"/>
      <c r="M162" s="26"/>
      <c r="N162" s="26"/>
      <c r="T162" s="26"/>
    </row>
    <row r="163" spans="2:20">
      <c r="B163" s="4"/>
      <c r="C163" s="4"/>
      <c r="D163" s="4"/>
      <c r="E163" s="4"/>
      <c r="F163" s="4"/>
      <c r="G163" s="4"/>
      <c r="I163" s="26"/>
      <c r="J163" s="26"/>
      <c r="K163" s="26"/>
      <c r="L163" s="26"/>
      <c r="M163" s="26"/>
      <c r="N163" s="26"/>
      <c r="O163" s="26"/>
      <c r="P163" s="26"/>
      <c r="Q163" s="26"/>
      <c r="S163" s="26"/>
      <c r="T163" s="26"/>
    </row>
    <row r="164" spans="2:20">
      <c r="B164" s="4"/>
      <c r="C164" s="4"/>
      <c r="D164" s="4"/>
      <c r="E164" s="4"/>
      <c r="F164" s="4"/>
      <c r="G164" s="4"/>
      <c r="O164" s="26"/>
      <c r="P164" s="26"/>
      <c r="Q164" s="26"/>
      <c r="R164" s="26"/>
      <c r="S164" s="26"/>
    </row>
    <row r="165" spans="2:20">
      <c r="B165" s="4"/>
      <c r="C165" s="4"/>
      <c r="D165" s="4"/>
      <c r="E165" s="4"/>
      <c r="F165" s="4"/>
      <c r="G165" s="4"/>
      <c r="R165" s="26"/>
    </row>
    <row r="169" spans="2:20" s="12" customFormat="1">
      <c r="B169" s="7"/>
      <c r="C169" s="7"/>
      <c r="D169" s="7"/>
      <c r="E169" s="7"/>
      <c r="F169" s="7"/>
      <c r="G169" s="7"/>
      <c r="I169" s="7"/>
      <c r="J169" s="7"/>
      <c r="K169" s="7"/>
      <c r="L169" s="7"/>
      <c r="M169" s="7"/>
      <c r="N169" s="7"/>
      <c r="O169" s="7"/>
      <c r="P169" s="7"/>
      <c r="Q169" s="7"/>
      <c r="R169" s="7"/>
      <c r="S169" s="7"/>
      <c r="T169" s="7"/>
    </row>
    <row r="172" spans="2:20">
      <c r="B172" s="26"/>
      <c r="C172" s="26"/>
      <c r="D172" s="26"/>
      <c r="E172" s="26"/>
      <c r="F172" s="26"/>
      <c r="G172" s="26"/>
    </row>
    <row r="178" spans="2:20" s="26" customFormat="1">
      <c r="B178" s="7"/>
      <c r="C178" s="7"/>
      <c r="D178" s="7"/>
      <c r="E178" s="7"/>
      <c r="F178" s="7"/>
      <c r="G178" s="7"/>
      <c r="I178" s="7"/>
      <c r="J178" s="7"/>
      <c r="K178" s="7"/>
      <c r="L178" s="7"/>
      <c r="M178" s="7"/>
      <c r="N178" s="7"/>
      <c r="O178" s="7"/>
      <c r="P178" s="7"/>
      <c r="Q178" s="7"/>
      <c r="R178" s="7"/>
      <c r="S178" s="7"/>
      <c r="T178" s="7"/>
    </row>
    <row r="179" spans="2:20" s="26" customFormat="1">
      <c r="B179" s="7"/>
      <c r="C179" s="7"/>
      <c r="D179" s="7"/>
      <c r="E179" s="7"/>
      <c r="F179" s="7"/>
      <c r="G179" s="7"/>
      <c r="I179" s="7"/>
      <c r="J179" s="7"/>
      <c r="K179" s="7"/>
      <c r="L179" s="7"/>
      <c r="M179" s="7"/>
      <c r="N179" s="7"/>
      <c r="O179" s="7"/>
      <c r="P179" s="7"/>
      <c r="Q179" s="7"/>
      <c r="R179" s="7"/>
      <c r="S179" s="7"/>
      <c r="T179" s="7"/>
    </row>
    <row r="184" spans="2:20">
      <c r="B184" s="12"/>
      <c r="C184" s="12"/>
      <c r="D184" s="12"/>
      <c r="E184" s="12"/>
      <c r="F184" s="12"/>
      <c r="G184" s="12"/>
    </row>
    <row r="193" spans="2:7">
      <c r="B193" s="26"/>
      <c r="C193" s="26"/>
      <c r="D193" s="26"/>
      <c r="E193" s="26"/>
      <c r="F193" s="26"/>
      <c r="G193" s="26"/>
    </row>
    <row r="194" spans="2:7">
      <c r="B194" s="26"/>
      <c r="C194" s="26"/>
      <c r="D194" s="26"/>
      <c r="E194" s="26"/>
      <c r="F194" s="26"/>
      <c r="G194" s="26"/>
    </row>
  </sheetData>
  <pageMargins left="0.7" right="0.7" top="0.75" bottom="0.75" header="0.3" footer="0.3"/>
  <pageSetup scale="38" fitToHeight="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Case PDC. Budgeted FS</vt:lpstr>
      <vt:lpstr>Case Artero. Budget Simple ver</vt:lpstr>
      <vt:lpstr>Case CHC. Master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Paul Ahn</cp:lastModifiedBy>
  <cp:lastPrinted>2022-11-29T13:01:53Z</cp:lastPrinted>
  <dcterms:created xsi:type="dcterms:W3CDTF">2021-12-30T01:20:04Z</dcterms:created>
  <dcterms:modified xsi:type="dcterms:W3CDTF">2024-07-28T23:29:10Z</dcterms:modified>
</cp:coreProperties>
</file>