
<file path=[Content_Types].xml><?xml version="1.0" encoding="utf-8"?>
<Types xmlns="http://schemas.openxmlformats.org/package/2006/content-types">
  <Default Extension="bin" ContentType="application/vnd.openxmlformats-officedocument.spreadsheetml.printerSettings"/>
  <Default Extension="gif" ContentType="image/gi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13"/>
  <workbookPr codeName="ThisWorkbook" defaultThemeVersion="124226"/>
  <mc:AlternateContent xmlns:mc="http://schemas.openxmlformats.org/markup-compatibility/2006">
    <mc:Choice Requires="x15">
      <x15ac:absPath xmlns:x15ac="http://schemas.microsoft.com/office/spreadsheetml/2010/11/ac" url="/Users/artemhruzd/Development/Pivotal/axis/axis/customer_hirl/sources/tests/"/>
    </mc:Choice>
  </mc:AlternateContent>
  <xr:revisionPtr revIDLastSave="0" documentId="13_ncr:1_{9AED8479-4ACB-A34E-A245-5BBF9EECF80F}" xr6:coauthVersionLast="45" xr6:coauthVersionMax="47" xr10:uidLastSave="{00000000-0000-0000-0000-000000000000}"/>
  <workbookProtection workbookAlgorithmName="SHA-512" workbookHashValue="Mz1CQArpRtBqHi0MTG6EiTOeLyi49+QCp4yPUDlWd8geOgEgUrepcI0S92/kQ0nWeqTKvayELQqDn8O2t1uogQ==" workbookSaltValue="Ll0bdNFtZd5RRWb3tNNSIA==" workbookSpinCount="100000" lockStructure="1"/>
  <bookViews>
    <workbookView xWindow="21580" yWindow="9100" windowWidth="29380" windowHeight="17680" tabRatio="898" activeTab="10" xr2:uid="{00000000-000D-0000-FFFF-FFFF00000000}"/>
  </bookViews>
  <sheets>
    <sheet name="Start Here!" sheetId="9" r:id="rId1"/>
    <sheet name="Ch5" sheetId="1" r:id="rId2"/>
    <sheet name="Ch6" sheetId="10" r:id="rId3"/>
    <sheet name="Ch7" sheetId="11" r:id="rId4"/>
    <sheet name="Ch8" sheetId="12" r:id="rId5"/>
    <sheet name="Ch9" sheetId="13" r:id="rId6"/>
    <sheet name="Ch10" sheetId="14" r:id="rId7"/>
    <sheet name="Designer's Report" sheetId="15" r:id="rId8"/>
    <sheet name="Figures" sheetId="18" r:id="rId9"/>
    <sheet name="Scoring Analysis" sheetId="16" r:id="rId10"/>
    <sheet name="Verification Rpt" sheetId="21" r:id="rId11"/>
    <sheet name="Formulas" sheetId="8" state="hidden" r:id="rId12"/>
    <sheet name="Rough Signature" sheetId="22" r:id="rId13"/>
    <sheet name="Final Signature" sheetId="23" r:id="rId14"/>
    <sheet name="MultifamilyAddendum" sheetId="27" state="hidden" r:id="rId15"/>
    <sheet name="Ch. 7, 8, 9  Appendices" sheetId="17" r:id="rId16"/>
    <sheet name="Appendix A, B, D" sheetId="19" r:id="rId17"/>
    <sheet name="Errata" sheetId="24" r:id="rId18"/>
  </sheets>
  <definedNames>
    <definedName name="_xlnm._FilterDatabase" localSheetId="2" hidden="1">'Ch6'!$B$6:$B$210</definedName>
    <definedName name="_xlnm._FilterDatabase" localSheetId="3" hidden="1">'Ch7'!$B$7:$B$172</definedName>
    <definedName name="_xlnm._FilterDatabase" localSheetId="7" hidden="1">'Designer''s Report'!$C$10:$G$760</definedName>
    <definedName name="_xlnm._FilterDatabase" localSheetId="10" hidden="1">'Verification Rpt'!$C$11:$D$826</definedName>
    <definedName name="additionalPoints">Formulas!$A$156</definedName>
    <definedName name="Address">'Verification Rpt'!$F$4</definedName>
    <definedName name="af1001.1">'Verification Rpt'!$I$767</definedName>
    <definedName name="af1001.1_1">'Verification Rpt'!$I$768</definedName>
    <definedName name="af1001.1_10">'Verification Rpt'!$I$777</definedName>
    <definedName name="af1001.1_11">'Verification Rpt'!$I$778</definedName>
    <definedName name="af1001.1_12">'Verification Rpt'!$I$779</definedName>
    <definedName name="af1001.1_13">'Verification Rpt'!$I$780</definedName>
    <definedName name="af1001.1_14">'Verification Rpt'!$I$781</definedName>
    <definedName name="af1001.1_15">'Verification Rpt'!$I$782</definedName>
    <definedName name="af1001.1_16">'Verification Rpt'!$I$783</definedName>
    <definedName name="af1001.1_17">'Verification Rpt'!$I$784</definedName>
    <definedName name="af1001.1_18">'Verification Rpt'!$I$785</definedName>
    <definedName name="af1001.1_19">'Verification Rpt'!$I$786</definedName>
    <definedName name="af1001.1_2">'Verification Rpt'!$I$769</definedName>
    <definedName name="af1001.1_20">'Verification Rpt'!$I$787</definedName>
    <definedName name="af1001.1_21">'Verification Rpt'!$I$788</definedName>
    <definedName name="af1001.1_3">'Verification Rpt'!$I$770</definedName>
    <definedName name="af1001.1_4">'Verification Rpt'!$I$771</definedName>
    <definedName name="af1001.1_5">'Verification Rpt'!$I$772</definedName>
    <definedName name="af1001.1_6">'Verification Rpt'!$I$773</definedName>
    <definedName name="af1001.1_7">'Verification Rpt'!$I$774</definedName>
    <definedName name="af1001.1_8">'Verification Rpt'!$I$775</definedName>
    <definedName name="af1001.1_9">'Verification Rpt'!$I$776</definedName>
    <definedName name="af1002.1">'Verification Rpt'!$I$790</definedName>
    <definedName name="af1003.1">'Verification Rpt'!$I$793</definedName>
    <definedName name="af1003.1_1">'Verification Rpt'!$I$794</definedName>
    <definedName name="af1003.1_2">'Verification Rpt'!$I$795</definedName>
    <definedName name="af1003.1_3">'Verification Rpt'!$I$796</definedName>
    <definedName name="af1003.1_4">'Verification Rpt'!$I$797</definedName>
    <definedName name="af1003.1_5">'Verification Rpt'!$I$798</definedName>
    <definedName name="af1003.1_6">'Verification Rpt'!$I$799</definedName>
    <definedName name="af1003.1_7">'Verification Rpt'!$I$800</definedName>
    <definedName name="af1003.1_8">'Verification Rpt'!$I$801</definedName>
    <definedName name="af1003.2">'Verification Rpt'!$I$802</definedName>
    <definedName name="af1003.2_1">'Verification Rpt'!$I$803</definedName>
    <definedName name="af1003.2_10">'Verification Rpt'!$I$812</definedName>
    <definedName name="af1003.2_2">'Verification Rpt'!$I$804</definedName>
    <definedName name="af1003.2_3">'Verification Rpt'!$I$805</definedName>
    <definedName name="af1003.2_4">'Verification Rpt'!$I$806</definedName>
    <definedName name="af1003.2_5">'Verification Rpt'!$I$807</definedName>
    <definedName name="af1003.2_6">'Verification Rpt'!$I$808</definedName>
    <definedName name="af1003.2_7">'Verification Rpt'!$I$809</definedName>
    <definedName name="af1003.2_8">'Verification Rpt'!$I$810</definedName>
    <definedName name="af1003.2_9">'Verification Rpt'!$I$811</definedName>
    <definedName name="af1003.3">'Verification Rpt'!$I$813</definedName>
    <definedName name="af1003.3_1">'Verification Rpt'!$I$814</definedName>
    <definedName name="af1003.3_2">'Verification Rpt'!$I$815</definedName>
    <definedName name="af1003.3_3">'Verification Rpt'!$I$816</definedName>
    <definedName name="af1003.3_4">'Verification Rpt'!$I$817</definedName>
    <definedName name="af1003.3_5">'Verification Rpt'!$I$818</definedName>
    <definedName name="af1003.3_6">'Verification Rpt'!$I$819</definedName>
    <definedName name="af1003.3_7">'Verification Rpt'!$I$820</definedName>
    <definedName name="af1003.3_8">'Verification Rpt'!$I$821</definedName>
    <definedName name="af1003.3_9">'Verification Rpt'!$I$822</definedName>
    <definedName name="af501.1_1">'Verification Rpt'!$I$15</definedName>
    <definedName name="af501.1_2">'Verification Rpt'!$I$17</definedName>
    <definedName name="af501.1_3">'Verification Rpt'!$I$18</definedName>
    <definedName name="af501.1_4">'Verification Rpt'!$I$19</definedName>
    <definedName name="af501.1_5">'Verification Rpt'!$I$20</definedName>
    <definedName name="af501.2_1">'Verification Rpt'!$I$22</definedName>
    <definedName name="af501.2_2">'Verification Rpt'!$I$23</definedName>
    <definedName name="af501.2_3">'Verification Rpt'!$I$24</definedName>
    <definedName name="af501.2_4">'Verification Rpt'!$I$25</definedName>
    <definedName name="af502.1">'Verification Rpt'!$I$27</definedName>
    <definedName name="af503.1_1">'Verification Rpt'!$I$31</definedName>
    <definedName name="af503.1_2">'Verification Rpt'!$I$33</definedName>
    <definedName name="af503.1_3">'Verification Rpt'!$I$34</definedName>
    <definedName name="af503.1_4">'Verification Rpt'!$I$35</definedName>
    <definedName name="af503.1_5">'Verification Rpt'!$I$36</definedName>
    <definedName name="af503.1_6">'Verification Rpt'!$I$37</definedName>
    <definedName name="af503.1_7">'Verification Rpt'!$I$38</definedName>
    <definedName name="af503.2_1">'Verification Rpt'!$I$40</definedName>
    <definedName name="af503.2_2">'Verification Rpt'!$I$41</definedName>
    <definedName name="af503.2_3">'Verification Rpt'!$I$43</definedName>
    <definedName name="af503.2_4">'Verification Rpt'!$I$46</definedName>
    <definedName name="af503.2_5">'Verification Rpt'!$I$47</definedName>
    <definedName name="af503.3_1">'Verification Rpt'!$I$49</definedName>
    <definedName name="af503.3_2">'Verification Rpt'!$I$50</definedName>
    <definedName name="af503.3_3">'Verification Rpt'!$I$51</definedName>
    <definedName name="af503.4_1">'Verification Rpt'!$I$53</definedName>
    <definedName name="af503.4_2">'Verification Rpt'!$I$54</definedName>
    <definedName name="af503.4_3">'Verification Rpt'!$I$56</definedName>
    <definedName name="af503.4_4">'Verification Rpt'!$I$59</definedName>
    <definedName name="af503.4_5">'Verification Rpt'!$I$60</definedName>
    <definedName name="af503.4_6">'Verification Rpt'!$I$61</definedName>
    <definedName name="af503.5_1">'Verification Rpt'!$I$63</definedName>
    <definedName name="af503.5_2">'Verification Rpt'!$I$65</definedName>
    <definedName name="af503.5_3">'Verification Rpt'!$I$68</definedName>
    <definedName name="af503.5_4">'Verification Rpt'!$I$73</definedName>
    <definedName name="af503.5_5">'Verification Rpt'!$I$75</definedName>
    <definedName name="af503.5_6">'Verification Rpt'!$I$77</definedName>
    <definedName name="af503.5_7">'Verification Rpt'!$I$78</definedName>
    <definedName name="af503.5_8">'Verification Rpt'!$I$79</definedName>
    <definedName name="af503.6_1">'Verification Rpt'!$I$81</definedName>
    <definedName name="af503.6_2">'Verification Rpt'!$I$83</definedName>
    <definedName name="af503.6_3">'Verification Rpt'!$I$85</definedName>
    <definedName name="af503.6_4">'Verification Rpt'!$I$87</definedName>
    <definedName name="af503.7_1">'Verification Rpt'!$I$90</definedName>
    <definedName name="af503.7_2">'Verification Rpt'!$I$91</definedName>
    <definedName name="af504.1">'Verification Rpt'!$I$93</definedName>
    <definedName name="af504.2_1">'Verification Rpt'!$I$96</definedName>
    <definedName name="af504.2_2">'Verification Rpt'!$I$98</definedName>
    <definedName name="af504.2_3">'Verification Rpt'!$I$100</definedName>
    <definedName name="af504.3_1">'Verification Rpt'!$I$102</definedName>
    <definedName name="af504.3_2">'Verification Rpt'!$I$103</definedName>
    <definedName name="af504.3_3">'Verification Rpt'!$I$105</definedName>
    <definedName name="af504.3_4">'Verification Rpt'!$I$107</definedName>
    <definedName name="af504.3_5">'Verification Rpt'!$I$109</definedName>
    <definedName name="af504.3_6">'Verification Rpt'!$I$111</definedName>
    <definedName name="af504.3_7">'Verification Rpt'!$I$113</definedName>
    <definedName name="af504.3_8">'Verification Rpt'!$I$114</definedName>
    <definedName name="af504.3_9">'Verification Rpt'!$I$115</definedName>
    <definedName name="af505.1_1">'Verification Rpt'!$I$118</definedName>
    <definedName name="af505.1_2">'Verification Rpt'!$I$119</definedName>
    <definedName name="af505.1_3">'Verification Rpt'!$I$121</definedName>
    <definedName name="af505.2_1">'Verification Rpt'!$I$125</definedName>
    <definedName name="af505.2_2">'Verification Rpt'!$I$127</definedName>
    <definedName name="af505.3">'Verification Rpt'!$I$130</definedName>
    <definedName name="af505.4">'Verification Rpt'!$I$133</definedName>
    <definedName name="af505.5">'Verification Rpt'!$I$134</definedName>
    <definedName name="af601.1">'Verification Rpt'!$H$139</definedName>
    <definedName name="af601.2_1">'Verification Rpt'!$I$145</definedName>
    <definedName name="af601.2_2">'Verification Rpt'!$I$147</definedName>
    <definedName name="af601.2_3">'Verification Rpt'!$I$149</definedName>
    <definedName name="af601.3_1">'Verification Rpt'!$I$152</definedName>
    <definedName name="af601.3_2">'Verification Rpt'!$I$153</definedName>
    <definedName name="af601.3_3">'Verification Rpt'!$I$154</definedName>
    <definedName name="af601.3_4">'Verification Rpt'!$I$155</definedName>
    <definedName name="af601.3_5">'Verification Rpt'!$I$156</definedName>
    <definedName name="af601.4">'Verification Rpt'!$I$157</definedName>
    <definedName name="af601.5_1">'Verification Rpt'!$I$159</definedName>
    <definedName name="af601.5_2">'Verification Rpt'!$I$160</definedName>
    <definedName name="af601.5_3">'Verification Rpt'!$I$161</definedName>
    <definedName name="af601.5_4">'Verification Rpt'!$I$162</definedName>
    <definedName name="af601.5_5">'Verification Rpt'!$I$163</definedName>
    <definedName name="af601.6">'Verification Rpt'!$I$165</definedName>
    <definedName name="af601.7">'Verification Rpt'!$I$168</definedName>
    <definedName name="af601.8">'Verification Rpt'!$I$172</definedName>
    <definedName name="af601.9">'Verification Rpt'!$I$174</definedName>
    <definedName name="af602.1.1.1">'Verification Rpt'!$I$178</definedName>
    <definedName name="af602.1.1.2">'Verification Rpt'!$I$179</definedName>
    <definedName name="af602.1.10">'Verification Rpt'!$I$223</definedName>
    <definedName name="af602.1.11">'Verification Rpt'!$I$226</definedName>
    <definedName name="af602.1.12">'Verification Rpt'!$I$227</definedName>
    <definedName name="af602.1.13">'Verification Rpt'!$I$228</definedName>
    <definedName name="af602.1.14_1">'Verification Rpt'!$I$231</definedName>
    <definedName name="af602.1.14_2">'Verification Rpt'!$I$232</definedName>
    <definedName name="af602.1.14_3">'Verification Rpt'!$I$233</definedName>
    <definedName name="af602.1.2">'Verification Rpt'!$I$180</definedName>
    <definedName name="af602.1.3.1">'Verification Rpt'!$I$183</definedName>
    <definedName name="af602.1.3.2">'Verification Rpt'!$I$184</definedName>
    <definedName name="af602.1.4.1_1">'Verification Rpt'!$I$187</definedName>
    <definedName name="af602.1.4.1_2">'Verification Rpt'!$I$188</definedName>
    <definedName name="af602.1.4.2_1">'Verification Rpt'!$I$191</definedName>
    <definedName name="af602.1.4.2_2">'Verification Rpt'!$H$192</definedName>
    <definedName name="af602.1.5">'Verification Rpt'!$I$193</definedName>
    <definedName name="af602.1.6">'Verification Rpt'!$I$195</definedName>
    <definedName name="af602.1.7.1_1">'Verification Rpt'!$I$199</definedName>
    <definedName name="af602.1.7.1_2">'Verification Rpt'!$I$201</definedName>
    <definedName name="af602.1.7.1_3">'Verification Rpt'!$I$203</definedName>
    <definedName name="af602.1.7.2">'Verification Rpt'!$I$205</definedName>
    <definedName name="af602.1.8">'Verification Rpt'!$I$206</definedName>
    <definedName name="af602.1.9_1">'Verification Rpt'!$I$209</definedName>
    <definedName name="af602.1.9_2">'Verification Rpt'!$I$210</definedName>
    <definedName name="af602.1.9_3">'Verification Rpt'!$I$212</definedName>
    <definedName name="af602.1.9_4">'Verification Rpt'!$I$214</definedName>
    <definedName name="af602.1.9_5">'Verification Rpt'!$I$216</definedName>
    <definedName name="af602.1.9_6">'Verification Rpt'!$I$218</definedName>
    <definedName name="af602.1.9_7">'Verification Rpt'!$I$220</definedName>
    <definedName name="af602.2">'Verification Rpt'!$I$236</definedName>
    <definedName name="af602.3">'Verification Rpt'!$I$239</definedName>
    <definedName name="af602.4.1">'Verification Rpt'!$I$240</definedName>
    <definedName name="af602.4.2">'Verification Rpt'!$I$241</definedName>
    <definedName name="af602.4.3">'Verification Rpt'!$I$242</definedName>
    <definedName name="af603.1">'Verification Rpt'!$I$244</definedName>
    <definedName name="af603.2">'Verification Rpt'!$I$246</definedName>
    <definedName name="af603.3">'Verification Rpt'!$I$248</definedName>
    <definedName name="af604.1.1">'Verification Rpt'!$I$251</definedName>
    <definedName name="af604.1.2">'Verification Rpt'!$I$255</definedName>
    <definedName name="af605.1">'Verification Rpt'!$I$259</definedName>
    <definedName name="af605.2">'Verification Rpt'!$I$260</definedName>
    <definedName name="af605.3">'Verification Rpt'!$I$262</definedName>
    <definedName name="af606.1">'Verification Rpt'!$I$267</definedName>
    <definedName name="af606.2_1">'Verification Rpt'!$I$272</definedName>
    <definedName name="af606.2_2">'Verification Rpt'!$I$274</definedName>
    <definedName name="af606.3">'Verification Rpt'!$I$277</definedName>
    <definedName name="af607.1_1">'Verification Rpt'!$I$281</definedName>
    <definedName name="af607.1_2">'Verification Rpt'!$I$282</definedName>
    <definedName name="af607.2">'Verification Rpt'!$I$283</definedName>
    <definedName name="af608.1">'Verification Rpt'!$I$285</definedName>
    <definedName name="af609.1">'Verification Rpt'!$I$289</definedName>
    <definedName name="af610.1">'Verification Rpt'!$H$292</definedName>
    <definedName name="af610.1.1">'Verification Rpt'!$I$294</definedName>
    <definedName name="af610.1.2">'Verification Rpt'!$H$296</definedName>
    <definedName name="af610.1.2.1">'Verification Rpt'!$H$297</definedName>
    <definedName name="af610.1.2.1With4ImpactMeasures">'Verification Rpt'!$I$299</definedName>
    <definedName name="af610.1.2.1With5ImpactMeasures">'Verification Rpt'!$I$300</definedName>
    <definedName name="af610.1.2.2.walls">'Verification Rpt'!$I$302</definedName>
    <definedName name="af610.1.2.2floors">'Verification Rpt'!$I$305</definedName>
    <definedName name="af610.1.2.2intwalls">'Verification Rpt'!$I$304</definedName>
    <definedName name="af610.1.2.2roof">'Verification Rpt'!$I$303</definedName>
    <definedName name="af610.1.2.2walls">'Verification Rpt'!$I$302</definedName>
    <definedName name="af6101.2.2">'Verification Rpt'!$H$301</definedName>
    <definedName name="af611.1">'Verification Rpt'!$I$307</definedName>
    <definedName name="af611.2">'Verification Rpt'!$I$311</definedName>
    <definedName name="af611.2_1">'Verification Rpt'!$I$313</definedName>
    <definedName name="af611.2_2">'Verification Rpt'!$I$314</definedName>
    <definedName name="af611.2_3">'Verification Rpt'!$I$315</definedName>
    <definedName name="af611.2_4">'Verification Rpt'!$I$316</definedName>
    <definedName name="af611.2_5">'Verification Rpt'!$I$317</definedName>
    <definedName name="af611.2_6">'Verification Rpt'!$I$318</definedName>
    <definedName name="af611.2_7">'Verification Rpt'!$I$319</definedName>
    <definedName name="af611.3">'Verification Rpt'!$I$320</definedName>
    <definedName name="af611.3_1">'Verification Rpt'!$I$321</definedName>
    <definedName name="af611.3_2">'Verification Rpt'!$I$322</definedName>
    <definedName name="af611.3_3">'Verification Rpt'!$I$323</definedName>
    <definedName name="af611.3_4">'Verification Rpt'!$I$324</definedName>
    <definedName name="af701.1">'Verification Rpt'!$I$331</definedName>
    <definedName name="af701.1.3">'Verification Rpt'!$I$332</definedName>
    <definedName name="af701.3">'Verification Rpt'!$I$336</definedName>
    <definedName name="af701.4.1.1">'Verification Rpt'!$I$340</definedName>
    <definedName name="af701.4.1.2">'Verification Rpt'!$I$341</definedName>
    <definedName name="af701.4.2.1">'Verification Rpt'!$I$343</definedName>
    <definedName name="af701.4.2.2">'Verification Rpt'!$I$344</definedName>
    <definedName name="af701.4.2.3">'Verification Rpt'!$I$345</definedName>
    <definedName name="af701.4.3.1">'Verification Rpt'!$I$347</definedName>
    <definedName name="af701.4.3.2">'Verification Rpt'!$H$349</definedName>
    <definedName name="af701.4.3.2_1">'Verification Rpt'!$I$350</definedName>
    <definedName name="af701.4.3.2_2">'Verification Rpt'!$I$353</definedName>
    <definedName name="af701.4.3.2_3">'Verification Rpt'!$I$354</definedName>
    <definedName name="af701.4.3.2_4">'Verification Rpt'!$I$355</definedName>
    <definedName name="af701.4.4">'Verification Rpt'!$I$356</definedName>
    <definedName name="af701.4.5">'Verification Rpt'!$I$357</definedName>
    <definedName name="af702.2.1">'Verification Rpt'!$H$360</definedName>
    <definedName name="af702.2.2">'Verification Rpt'!$H$362</definedName>
    <definedName name="af703.1.3">'Verification Rpt'!$I$377</definedName>
    <definedName name="af703.1.4">'Verification Rpt'!$I$379</definedName>
    <definedName name="af703.1.5">'Verification Rpt'!$I$381</definedName>
    <definedName name="af703.1.6.1">'Verification Rpt'!$H$387</definedName>
    <definedName name="af703.1.6.2">'Verification Rpt'!$H$391</definedName>
    <definedName name="af703.2.1">'Verification Rpt'!$I$397</definedName>
    <definedName name="af703.2.2">'Verification Rpt'!$I$398</definedName>
    <definedName name="af703.2.3">'Verification Rpt'!$I$404</definedName>
    <definedName name="af703.2.4">'Verification Rpt'!$I$409</definedName>
    <definedName name="af703.2.5">'Verification Rpt'!$I$414</definedName>
    <definedName name="af703.2.6">'Verification Rpt'!$I$418</definedName>
    <definedName name="af703.2.7">'Verification Rpt'!$I$423</definedName>
    <definedName name="af703.2.8">'Verification Rpt'!$I$424</definedName>
    <definedName name="af703.2.9">'Verification Rpt'!$I$425</definedName>
    <definedName name="af703.3.1">'Verification Rpt'!$I$427</definedName>
    <definedName name="af703.3.2">'Verification Rpt'!$I$428</definedName>
    <definedName name="af703.3.4">'Verification Rpt'!$H$431</definedName>
    <definedName name="af703.4.2">'Verification Rpt'!$I$442</definedName>
    <definedName name="af703.4.3">'Verification Rpt'!$I$443</definedName>
    <definedName name="af703.4.4">'Verification Rpt'!$I$444</definedName>
    <definedName name="af703.4.5">'Verification Rpt'!$I$446</definedName>
    <definedName name="af703.5.1">'Verification Rpt'!$I$453</definedName>
    <definedName name="af703.5.2">'Verification Rpt'!$I$456</definedName>
    <definedName name="af703.5.3Dishwasher">'Verification Rpt'!$I$463</definedName>
    <definedName name="af703.5.3Refrigerator">'Verification Rpt'!$I$462</definedName>
    <definedName name="af703.5.3WashingMachine">'Verification Rpt'!$I$464</definedName>
    <definedName name="af703.5.4">'Verification Rpt'!$I$465</definedName>
    <definedName name="af703.6.1">'Verification Rpt'!$I$467</definedName>
    <definedName name="af703.6.2">'Verification Rpt'!$I$468</definedName>
    <definedName name="af703.6.3_1">'Verification Rpt'!$I$470</definedName>
    <definedName name="af703.6.3_2">'Verification Rpt'!$I$471</definedName>
    <definedName name="af703.6.3_3">'Verification Rpt'!$I$472</definedName>
    <definedName name="af703.6.3_4">'Verification Rpt'!$I$473</definedName>
    <definedName name="af703.6.3_5">'Verification Rpt'!$I$474</definedName>
    <definedName name="af703.6.3_6">'Verification Rpt'!$I$475</definedName>
    <definedName name="af703.6.4">'Verification Rpt'!$I$476</definedName>
    <definedName name="af704.2.1">'Verification Rpt'!$I$481</definedName>
    <definedName name="af704.2.2">'Verification Rpt'!$I$483</definedName>
    <definedName name="af704.2.3">'Verification Rpt'!$I$484</definedName>
    <definedName name="af704.3">'Verification Rpt'!$I$485</definedName>
    <definedName name="af704.4.1">'Verification Rpt'!$I$487</definedName>
    <definedName name="af704.4.2">'Verification Rpt'!$I$488</definedName>
    <definedName name="af704.4.3">'Verification Rpt'!$I$489</definedName>
    <definedName name="af704.5.1">'Verification Rpt'!$I$491</definedName>
    <definedName name="af704.5.2.1_1">'Verification Rpt'!$I$495</definedName>
    <definedName name="af704.5.2.1_2">'Verification Rpt'!$I$499</definedName>
    <definedName name="af704.5.2.2">'Verification Rpt'!$I$501</definedName>
    <definedName name="af704.5.3">'Verification Rpt'!$I$504</definedName>
    <definedName name="af705.1">'Verification Rpt'!$I$507</definedName>
    <definedName name="af705.2_2">'Verification Rpt'!$I$514</definedName>
    <definedName name="af705.2._1">'Verification Rpt'!$I$512</definedName>
    <definedName name="af705.3">'Verification Rpt'!$I$516</definedName>
    <definedName name="af705.3ClothesDryer">'Verification Rpt'!$I$520</definedName>
    <definedName name="af705.3ClothesWasher">'Verification Rpt'!$I$521</definedName>
    <definedName name="af705.3Dishwasher">'Verification Rpt'!$I$519</definedName>
    <definedName name="af705.3Freezer">'Verification Rpt'!$I$518</definedName>
    <definedName name="af705.3HotWaterHeating">'Verification Rpt'!$I$524</definedName>
    <definedName name="af705.3HVAC">'Verification Rpt'!$I$523</definedName>
    <definedName name="af705.3Refrigerator">'Verification Rpt'!$I$517</definedName>
    <definedName name="af705.3RoomAirConditioner">'Verification Rpt'!$I$522</definedName>
    <definedName name="af705.4.1_1">'Verification Rpt'!$I$527</definedName>
    <definedName name="af705.4.1_2">'Verification Rpt'!$I$528</definedName>
    <definedName name="af705.4.2">'Verification Rpt'!$I$529</definedName>
    <definedName name="af705.5">'Verification Rpt'!$I$530</definedName>
    <definedName name="af705.6">'Verification Rpt'!$I$535</definedName>
    <definedName name="af801.1.1_1thru4a">'Verification Rpt'!$I$542</definedName>
    <definedName name="af801.1.1_5">'Verification Rpt'!$I$547</definedName>
    <definedName name="af801.1.1_6">'Verification Rpt'!$I$548</definedName>
    <definedName name="af801.2_1">'Verification Rpt'!$I$550</definedName>
    <definedName name="af801.2_2">'Verification Rpt'!$I$551</definedName>
    <definedName name="af801.3_1">'Verification Rpt'!$I$555</definedName>
    <definedName name="af801.3_2">'Verification Rpt'!$I$560</definedName>
    <definedName name="af801.3_3">'Verification Rpt'!$I$563</definedName>
    <definedName name="af801.4.1_1">'Verification Rpt'!$I$569</definedName>
    <definedName name="af801.4.1_2">'Verification Rpt'!$I$572</definedName>
    <definedName name="af801.4.2">'Verification Rpt'!$I$574</definedName>
    <definedName name="af801.5_1">'Verification Rpt'!$I$578</definedName>
    <definedName name="af801.5_2">'Verification Rpt'!$I$580</definedName>
    <definedName name="af801.5_3">'Verification Rpt'!$I$583</definedName>
    <definedName name="af801.5_3a">'Verification Rpt'!$I$585</definedName>
    <definedName name="af801.5_3b">'Verification Rpt'!$I$588</definedName>
    <definedName name="af801.5_3c">'Verification Rpt'!$I$589</definedName>
    <definedName name="af801.6.1">'Verification Rpt'!$I$591</definedName>
    <definedName name="af801.6.2_1">'Verification Rpt'!$I$592</definedName>
    <definedName name="af801.6.2_2">'Verification Rpt'!$I$593</definedName>
    <definedName name="af801.6.3">'Verification Rpt'!$I$594</definedName>
    <definedName name="af801.6.4">'Verification Rpt'!$I$595</definedName>
    <definedName name="af801.6.5_1and2">'Verification Rpt'!$I$597</definedName>
    <definedName name="af801.6.5_3">'Verification Rpt'!$I$598</definedName>
    <definedName name="af801.7.1">'Verification Rpt'!$I$600</definedName>
    <definedName name="af801.7.2">'Verification Rpt'!$I$607</definedName>
    <definedName name="af801.8">'Verification Rpt'!$I$611</definedName>
    <definedName name="af802.1">'Verification Rpt'!$I$614</definedName>
    <definedName name="af802.2ExcessiveShutoff">'Verification Rpt'!$I$620</definedName>
    <definedName name="af802.2LeakDetection">'Verification Rpt'!$I$621</definedName>
    <definedName name="af802.3">'Verification Rpt'!$I$622</definedName>
    <definedName name="af802.4">'Verification Rpt'!$I$623</definedName>
    <definedName name="af802.5">'Verification Rpt'!$I$624</definedName>
    <definedName name="af901.1.1">'Verification Rpt'!$H$629</definedName>
    <definedName name="af901.1.2">'Verification Rpt'!$I$631</definedName>
    <definedName name="af901.1.3_1">'Verification Rpt'!$I$633</definedName>
    <definedName name="af901.1.3_2">'Verification Rpt'!$I$635</definedName>
    <definedName name="af901.1.4">'Verification Rpt'!$I$637</definedName>
    <definedName name="af901.1.5">'Verification Rpt'!$I$638</definedName>
    <definedName name="af901.1.6">'Verification Rpt'!$I$641</definedName>
    <definedName name="af901.10">'Verification Rpt'!$I$704</definedName>
    <definedName name="af901.11">'Verification Rpt'!$H$707</definedName>
    <definedName name="af901.12">'Verification Rpt'!$I$708</definedName>
    <definedName name="af901.13">'Verification Rpt'!$I$710</definedName>
    <definedName name="af901.14_1">'Verification Rpt'!$I$713</definedName>
    <definedName name="af901.14_2">'Verification Rpt'!$I$714</definedName>
    <definedName name="af901.2.1_1Step1">'Verification Rpt'!$I$645</definedName>
    <definedName name="af901.2.1_1Step2">'Verification Rpt'!$I$646</definedName>
    <definedName name="af901.2.1_2Step1">'Verification Rpt'!$I$647</definedName>
    <definedName name="af901.2.1_2Step2">'Verification Rpt'!$I$648</definedName>
    <definedName name="af901.2.1_3Step1">'Verification Rpt'!$I$649</definedName>
    <definedName name="af901.2.1_3Step2">'Verification Rpt'!$I$650</definedName>
    <definedName name="af901.2.1_4Step1">'Verification Rpt'!$I$651</definedName>
    <definedName name="af901.2.1_4Step2">'Verification Rpt'!$I$652</definedName>
    <definedName name="af901.2.1_5Step1">'Verification Rpt'!$I$653</definedName>
    <definedName name="af901.2.1_5Step2">'Verification Rpt'!$I$654</definedName>
    <definedName name="af901.2.2">'Verification Rpt'!$I$655</definedName>
    <definedName name="af901.3_1aStep1">'Verification Rpt'!$I$657</definedName>
    <definedName name="af901.3_1aStep2">'Verification Rpt'!$I$658</definedName>
    <definedName name="af901.3_1bStep1">'Verification Rpt'!$I$659</definedName>
    <definedName name="af901.3_1bStep2">'Verification Rpt'!$I$660</definedName>
    <definedName name="af901.3_1c">'Verification Rpt'!$I$661</definedName>
    <definedName name="af901.3_2">'Verification Rpt'!$I$662</definedName>
    <definedName name="af901.4_2CompositeTrim">'Verification Rpt'!$I$667</definedName>
    <definedName name="af901.4_2Countertops">'Verification Rpt'!$I$666</definedName>
    <definedName name="af901.4_2CustomWoodwork">'Verification Rpt'!$I$668</definedName>
    <definedName name="af901.4_2Shelving">'Verification Rpt'!$I$669</definedName>
    <definedName name="af901.4_2thru6">'Verification Rpt'!$I$664</definedName>
    <definedName name="af901.4_3CompositeTrim">'Verification Rpt'!$I$672</definedName>
    <definedName name="af901.4_3Countertops">'Verification Rpt'!$I$671</definedName>
    <definedName name="af901.4_3CustomWoodwork">'Verification Rpt'!$I$673</definedName>
    <definedName name="af901.4_3Shelving">'Verification Rpt'!$I$674</definedName>
    <definedName name="af901.4_4CompositeTrim">'Verification Rpt'!$I$677</definedName>
    <definedName name="af901.4_4Countertops">'Verification Rpt'!$I$676</definedName>
    <definedName name="af901.4_4CustomWoodwork">'Verification Rpt'!$I$678</definedName>
    <definedName name="af901.4_4Shelving">'Verification Rpt'!$I$679</definedName>
    <definedName name="af901.4_5CompositeTrim">'Verification Rpt'!$I$682</definedName>
    <definedName name="af901.4_5Countertops">'Verification Rpt'!$I$681</definedName>
    <definedName name="af901.4_5CustomWoodwork">'Verification Rpt'!$I$683</definedName>
    <definedName name="af901.4_5Shelving">'Verification Rpt'!$I$684</definedName>
    <definedName name="af901.5">'Verification Rpt'!$I$690</definedName>
    <definedName name="af901.5_1and2">'Verification Rpt'!$I$691</definedName>
    <definedName name="af901.6_1">'Verification Rpt'!$I$694</definedName>
    <definedName name="af901.6_2a">'Verification Rpt'!$I$695</definedName>
    <definedName name="af901.6_2b">'Verification Rpt'!$I$696</definedName>
    <definedName name="af901.7">'Verification Rpt'!$I$697</definedName>
    <definedName name="af901.8">'Verification Rpt'!$I$698</definedName>
    <definedName name="af901.9.1">'Verification Rpt'!$I$700</definedName>
    <definedName name="af901.9.2">'Verification Rpt'!$I$701</definedName>
    <definedName name="af901.9.3">'Verification Rpt'!$I$702</definedName>
    <definedName name="af902.1.1_1Step1">'Verification Rpt'!$I$719</definedName>
    <definedName name="af902.1.1_1Step2">'Verification Rpt'!$I$720</definedName>
    <definedName name="af902.1.1_2">'Verification Rpt'!$I$721</definedName>
    <definedName name="af902.1.1_3">'Verification Rpt'!$I$722</definedName>
    <definedName name="af902.1.2">'Verification Rpt'!$I$724</definedName>
    <definedName name="af902.1.3">'Verification Rpt'!$I$728</definedName>
    <definedName name="af902.1.4">'Verification Rpt'!$I$729</definedName>
    <definedName name="af902.1.4_1">'Verification Rpt'!$I$730</definedName>
    <definedName name="af902.1.4_2">'Verification Rpt'!$I$731</definedName>
    <definedName name="af902.2.1">'Verification Rpt'!$I$733</definedName>
    <definedName name="af902.2.1_1thru4">'Verification Rpt'!$I$734</definedName>
    <definedName name="af902.2.2">'Verification Rpt'!$I$738</definedName>
    <definedName name="af902.2.3">'Verification Rpt'!$I$739</definedName>
    <definedName name="af902.3_1">'Verification Rpt'!$I$741</definedName>
    <definedName name="af902.3_1a">'Verification Rpt'!$I$742</definedName>
    <definedName name="af902.3_1b">'Verification Rpt'!$I$743</definedName>
    <definedName name="af902.3_2a">'Verification Rpt'!$I$745</definedName>
    <definedName name="af902.4_2">'Verification Rpt'!$I$748</definedName>
    <definedName name="af902.5">'Verification Rpt'!$I$749</definedName>
    <definedName name="af903.1.1">'Verification Rpt'!$I$753</definedName>
    <definedName name="af903.1.2">'Verification Rpt'!$I$754</definedName>
    <definedName name="af903.2">'Verification Rpt'!$I$756</definedName>
    <definedName name="af903.3">'Verification Rpt'!$I$759</definedName>
    <definedName name="af904.1">'Verification Rpt'!$I$762</definedName>
    <definedName name="af904.2">'Verification Rpt'!$I$763</definedName>
    <definedName name="app703_1_2">'Ch. 7, 8, 9  Appendices'!$A$3</definedName>
    <definedName name="app703.6.4">'Ch. 7, 8, 9  Appendices'!$A$59</definedName>
    <definedName name="app704_3_1_1">'Ch. 7, 8, 9  Appendices'!$A$33</definedName>
    <definedName name="app801.1">'Ch. 7, 8, 9  Appendices'!$A$72</definedName>
    <definedName name="app901.10_3">'Ch. 7, 8, 9  Appendices'!$A$162</definedName>
    <definedName name="app901.9.1">'Ch. 7, 8, 9  Appendices'!$A$103</definedName>
    <definedName name="appendixA">'Appendix A, B, D'!$A$3</definedName>
    <definedName name="appendixB">'Appendix A, B, D'!$A$27</definedName>
    <definedName name="appendixD">'Appendix A, B, D'!$A$107</definedName>
    <definedName name="applCount">Formulas!$AW$83</definedName>
    <definedName name="ar501.1_1">'Verification Rpt'!$H$15</definedName>
    <definedName name="ar501.1_2">'Verification Rpt'!$H$17</definedName>
    <definedName name="ar501.1_3">'Verification Rpt'!$H$18</definedName>
    <definedName name="ar501.1_4">'Verification Rpt'!$H$19</definedName>
    <definedName name="ar501.1_5">'Verification Rpt'!$H$20</definedName>
    <definedName name="ar501.2_1">'Verification Rpt'!$H$22</definedName>
    <definedName name="ar501.2_2">'Verification Rpt'!$H$23</definedName>
    <definedName name="ar501.2_3">'Verification Rpt'!$H$24</definedName>
    <definedName name="ar501.2_4">'Verification Rpt'!$H$25</definedName>
    <definedName name="ar502.1">'Verification Rpt'!$H$27</definedName>
    <definedName name="ar503.1_1">'Verification Rpt'!$H$31</definedName>
    <definedName name="ar503.1_2">'Verification Rpt'!$H$33</definedName>
    <definedName name="ar503.1_3">'Verification Rpt'!$H$34</definedName>
    <definedName name="ar503.1_4">'Verification Rpt'!$H$35</definedName>
    <definedName name="ar503.1_5">'Verification Rpt'!$H$36</definedName>
    <definedName name="ar503.1_6">'Verification Rpt'!$H$37</definedName>
    <definedName name="ar503.1_7">'Verification Rpt'!$H$38</definedName>
    <definedName name="ar503.2_1">'Verification Rpt'!$H$40</definedName>
    <definedName name="ar503.2_2">'Verification Rpt'!$H$41</definedName>
    <definedName name="ar503.2_3">'Verification Rpt'!$H$43</definedName>
    <definedName name="ar503.2_3a">'Verification Rpt'!$H$43</definedName>
    <definedName name="ar503.2_4">'Verification Rpt'!$H$46</definedName>
    <definedName name="ar503.2_5">'Verification Rpt'!$H$47</definedName>
    <definedName name="ar503.3_1">'Verification Rpt'!$H$49</definedName>
    <definedName name="ar503.3_2">'Verification Rpt'!$H$50</definedName>
    <definedName name="ar503.3_3">'Verification Rpt'!$H$51</definedName>
    <definedName name="ar503.4">'Verification Rpt'!$H$53</definedName>
    <definedName name="ar503.4_1">'Verification Rpt'!$H$53</definedName>
    <definedName name="ar503.4_2">'Verification Rpt'!$H$54</definedName>
    <definedName name="ar503.4_3">'Verification Rpt'!$H$56</definedName>
    <definedName name="ar503.4_4">'Verification Rpt'!$H$59</definedName>
    <definedName name="ar503.4_5">'Verification Rpt'!$H$60</definedName>
    <definedName name="ar503.4_6">'Verification Rpt'!$H$61</definedName>
    <definedName name="ar503.5">'Verification Rpt'!$H$62</definedName>
    <definedName name="ar503.5_1">'Verification Rpt'!$H$63</definedName>
    <definedName name="ar503.5_2">'Verification Rpt'!$H$65</definedName>
    <definedName name="ar503.5_3">'Verification Rpt'!$H$68</definedName>
    <definedName name="ar503.5_4">'Verification Rpt'!$H$73</definedName>
    <definedName name="ar503.5_5">'Verification Rpt'!$H$75</definedName>
    <definedName name="ar503.5_6">'Verification Rpt'!$H$77</definedName>
    <definedName name="ar503.5_7">'Verification Rpt'!$H$78</definedName>
    <definedName name="ar503.5_8">'Verification Rpt'!$H$79</definedName>
    <definedName name="ar503.6_1">'Verification Rpt'!$H$81</definedName>
    <definedName name="ar503.6_2">'Verification Rpt'!$H$83</definedName>
    <definedName name="ar503.6_3">'Verification Rpt'!$H$85</definedName>
    <definedName name="ar503.6_4">'Verification Rpt'!$H$87</definedName>
    <definedName name="ar503.7_1">'Verification Rpt'!$H$90</definedName>
    <definedName name="ar503.7_2">'Verification Rpt'!$H$91</definedName>
    <definedName name="ar504.1">'Verification Rpt'!$H$93</definedName>
    <definedName name="ar504.2_1">'Verification Rpt'!$H$96</definedName>
    <definedName name="ar504.2_2">'Verification Rpt'!$H$98</definedName>
    <definedName name="ar504.2_3">'Verification Rpt'!$H$100</definedName>
    <definedName name="ar504.3_1">'Verification Rpt'!$H$102</definedName>
    <definedName name="ar504.3_2">'Verification Rpt'!$H$103</definedName>
    <definedName name="ar504.3_3">'Verification Rpt'!$H$105</definedName>
    <definedName name="ar504.3_4">'Verification Rpt'!$H$107</definedName>
    <definedName name="ar504.3_5">'Verification Rpt'!$H$109</definedName>
    <definedName name="ar504.3_6">'Verification Rpt'!$H$111</definedName>
    <definedName name="ar504.3_7">'Verification Rpt'!$H$113</definedName>
    <definedName name="ar504.3_8">'Verification Rpt'!$H$114</definedName>
    <definedName name="ar504.3_9">'Verification Rpt'!$H$115</definedName>
    <definedName name="ar505.1_1">'Verification Rpt'!$H$118</definedName>
    <definedName name="ar505.1_2">'Verification Rpt'!$H$119</definedName>
    <definedName name="ar505.1_3">'Verification Rpt'!$H$121</definedName>
    <definedName name="ar505.2_1">'Verification Rpt'!$H$125</definedName>
    <definedName name="ar505.2_2">'Verification Rpt'!$H$127</definedName>
    <definedName name="ar505.3">'Verification Rpt'!$H$130</definedName>
    <definedName name="ar505.4">'Verification Rpt'!$H$133</definedName>
    <definedName name="ar505.5">'Verification Rpt'!$H$134</definedName>
    <definedName name="ar601.1">'Verification Rpt'!$H$139</definedName>
    <definedName name="ar601.2_1">'Verification Rpt'!$H$145</definedName>
    <definedName name="ar601.2_2">'Verification Rpt'!$H$147</definedName>
    <definedName name="ar601.2_3">'Verification Rpt'!$H$149</definedName>
    <definedName name="ar601.3_1">'Verification Rpt'!$H$152</definedName>
    <definedName name="ar601.3_2">'Verification Rpt'!$H$153</definedName>
    <definedName name="ar601.3_3">'Verification Rpt'!$H$154</definedName>
    <definedName name="ar601.3_4">'Verification Rpt'!$H$155</definedName>
    <definedName name="ar601.3_5">'Verification Rpt'!$H$156</definedName>
    <definedName name="ar601.4">'Verification Rpt'!$H$157</definedName>
    <definedName name="ar601.5_1">'Verification Rpt'!$H$159</definedName>
    <definedName name="ar601.5_2">'Verification Rpt'!$H$160</definedName>
    <definedName name="ar601.5_3">'Verification Rpt'!$H$161</definedName>
    <definedName name="ar601.5_4">'Verification Rpt'!$H$162</definedName>
    <definedName name="ar601.5_5">'Verification Rpt'!$H$163</definedName>
    <definedName name="ar601.6">'Verification Rpt'!$H$165</definedName>
    <definedName name="ar601.7">'Verification Rpt'!$H$168</definedName>
    <definedName name="ar601.8">'Verification Rpt'!$H$172</definedName>
    <definedName name="ar601.9">'Verification Rpt'!$H$174</definedName>
    <definedName name="ar602.1.1.1">'Verification Rpt'!$H$178</definedName>
    <definedName name="ar602.1.1.2">'Verification Rpt'!$H$179</definedName>
    <definedName name="ar602.1.10">'Verification Rpt'!$H$223</definedName>
    <definedName name="ar602.1.11">'Verification Rpt'!$H$226</definedName>
    <definedName name="ar602.1.12">'Verification Rpt'!$H$227</definedName>
    <definedName name="ar602.1.13">'Verification Rpt'!$H$228</definedName>
    <definedName name="ar602.1.14_1">'Verification Rpt'!$H$231</definedName>
    <definedName name="ar602.1.14_2">'Verification Rpt'!$H$232</definedName>
    <definedName name="ar602.1.14_3">'Verification Rpt'!$H$233</definedName>
    <definedName name="ar602.1.2">'Verification Rpt'!$H$180</definedName>
    <definedName name="ar602.1.3.1">'Verification Rpt'!$H$183</definedName>
    <definedName name="ar602.1.3.2">'Verification Rpt'!$H$184</definedName>
    <definedName name="ar602.1.4.1_1">'Verification Rpt'!$H$187</definedName>
    <definedName name="ar602.1.4.1_2">'Verification Rpt'!$H$188</definedName>
    <definedName name="ar602.1.4.2_1">'Verification Rpt'!$H$191</definedName>
    <definedName name="ar602.1.4.2_2">'Verification Rpt'!$H$192</definedName>
    <definedName name="ar602.1.5">'Verification Rpt'!$H$193</definedName>
    <definedName name="ar602.1.6">'Verification Rpt'!$H$195</definedName>
    <definedName name="ar602.1.7.1_1">'Verification Rpt'!$H$199</definedName>
    <definedName name="ar602.1.7.1_2">'Verification Rpt'!$H$201</definedName>
    <definedName name="ar602.1.7.1_3">'Verification Rpt'!$H$203</definedName>
    <definedName name="ar602.1.7.2">'Verification Rpt'!$H$205</definedName>
    <definedName name="ar602.1.8">'Verification Rpt'!$H$206</definedName>
    <definedName name="ar602.1.9_1">'Verification Rpt'!$H$209</definedName>
    <definedName name="ar602.1.9_2">'Verification Rpt'!$H$210</definedName>
    <definedName name="ar602.1.9_3">'Verification Rpt'!$H$212</definedName>
    <definedName name="ar602.1.9_4">'Verification Rpt'!$H$214</definedName>
    <definedName name="ar602.1.9_5">'Verification Rpt'!$H$216</definedName>
    <definedName name="ar602.1.9_6">'Verification Rpt'!$H$218</definedName>
    <definedName name="ar602.1.9_7">'Verification Rpt'!$H$220</definedName>
    <definedName name="ar602.2">'Verification Rpt'!$H$236</definedName>
    <definedName name="ar602.3">'Verification Rpt'!$H$239</definedName>
    <definedName name="ar602.4.1">'Verification Rpt'!$H$240</definedName>
    <definedName name="ar602.4.2">'Verification Rpt'!$H$241</definedName>
    <definedName name="ar602.4.3">'Verification Rpt'!$H$242</definedName>
    <definedName name="ar603.1">'Verification Rpt'!$H$244</definedName>
    <definedName name="ar603.2">'Verification Rpt'!$H$246</definedName>
    <definedName name="ar603.3">'Verification Rpt'!$H$248</definedName>
    <definedName name="ar604.1.1">'Verification Rpt'!$H$251</definedName>
    <definedName name="ar604.1.2">'Verification Rpt'!$H$255</definedName>
    <definedName name="ar605.1">'Verification Rpt'!$H$259</definedName>
    <definedName name="ar605.2">'Verification Rpt'!$H$260</definedName>
    <definedName name="ar605.3">'Verification Rpt'!$H$262</definedName>
    <definedName name="ar606.1">'Verification Rpt'!$H$267</definedName>
    <definedName name="ar606.2_1">'Verification Rpt'!$H$272</definedName>
    <definedName name="ar606.2_2">'Verification Rpt'!$H$274</definedName>
    <definedName name="ar606.3">'Verification Rpt'!$H$277</definedName>
    <definedName name="ar607.1_1">'Verification Rpt'!$H$281</definedName>
    <definedName name="ar607.1_2">'Verification Rpt'!$H$282</definedName>
    <definedName name="ar607.2">'Verification Rpt'!$H$283</definedName>
    <definedName name="ar608.1">'Verification Rpt'!$H$285</definedName>
    <definedName name="ar609.1">'Verification Rpt'!$H$289</definedName>
    <definedName name="ar610.1">'Verification Rpt'!$H$292</definedName>
    <definedName name="ar610.1.1">'Verification Rpt'!$H$294</definedName>
    <definedName name="ar610.1.2">'Verification Rpt'!$H$296</definedName>
    <definedName name="ar610.1.2.1">'Verification Rpt'!$H$297</definedName>
    <definedName name="ar610.1.2.1With4ImpactMeasures">'Verification Rpt'!$H$299</definedName>
    <definedName name="ar610.1.2.1With5ImpactMeasures">'Verification Rpt'!$H$300</definedName>
    <definedName name="ar610.1.2.2">Formulas!$AF$62</definedName>
    <definedName name="ar610.1.2.2floors">'Verification Rpt'!$H$305</definedName>
    <definedName name="ar610.1.2.2intwalls">'Verification Rpt'!$H$304</definedName>
    <definedName name="ar610.1.2.2roof">'Verification Rpt'!$H$303</definedName>
    <definedName name="ar610.1.2.2walls">'Verification Rpt'!$H$302</definedName>
    <definedName name="ar6101.2.2">'Verification Rpt'!$H$301</definedName>
    <definedName name="ar611.1">'Verification Rpt'!$H$307</definedName>
    <definedName name="ar611.2">'Verification Rpt'!$H$311</definedName>
    <definedName name="ar611.2_1">'Verification Rpt'!$H$313</definedName>
    <definedName name="ar611.2_2">'Verification Rpt'!$H$314</definedName>
    <definedName name="ar611.2_3">'Verification Rpt'!$H$315</definedName>
    <definedName name="ar611.2_4">'Verification Rpt'!$H$316</definedName>
    <definedName name="ar611.2_5">'Verification Rpt'!$H$317</definedName>
    <definedName name="ar611.2_6">'Verification Rpt'!$H$318</definedName>
    <definedName name="ar611.2_7">'Verification Rpt'!$H$319</definedName>
    <definedName name="ar611.3">'Verification Rpt'!$H$320</definedName>
    <definedName name="ar611.3_1">'Verification Rpt'!$H$321</definedName>
    <definedName name="ar611.3_2">'Verification Rpt'!$H$322</definedName>
    <definedName name="ar611.3_3">'Verification Rpt'!$H$323</definedName>
    <definedName name="ar611.3_4">'Verification Rpt'!$H$324</definedName>
    <definedName name="ar701.1">'Verification Rpt'!$H$331</definedName>
    <definedName name="ar701.1.3">'Verification Rpt'!$H$332</definedName>
    <definedName name="ar701.3">'Verification Rpt'!$H$336</definedName>
    <definedName name="ar701.4.1.1">'Verification Rpt'!$H$340</definedName>
    <definedName name="ar701.4.1.2">'Verification Rpt'!$H$341</definedName>
    <definedName name="ar701.4.2.1">'Verification Rpt'!$H$343</definedName>
    <definedName name="ar701.4.2.2">'Verification Rpt'!$H$344</definedName>
    <definedName name="ar701.4.2.3">'Verification Rpt'!$H$345</definedName>
    <definedName name="ar701.4.3.1">'Verification Rpt'!$H$347</definedName>
    <definedName name="ar701.4.3.2">'Verification Rpt'!$H$349</definedName>
    <definedName name="ar701.4.3.2_1and2">'Verification Rpt'!$H$350</definedName>
    <definedName name="ar701.4.3.2_3">'Verification Rpt'!$H$354</definedName>
    <definedName name="ar701.4.3.2_4">'Verification Rpt'!$H$355</definedName>
    <definedName name="ar701.4.3.2Grade3">'Verification Rpt'!$H$348</definedName>
    <definedName name="ar701.4.4">'Verification Rpt'!$H$356</definedName>
    <definedName name="ar701.4.5">'Verification Rpt'!$H$357</definedName>
    <definedName name="ar702.2.1">'Verification Rpt'!$H$360</definedName>
    <definedName name="ar702.2.2">'Verification Rpt'!$H$362</definedName>
    <definedName name="ar703.1.1">'Verification Rpt'!$H$369</definedName>
    <definedName name="ar703.1.2">'Verification Rpt'!$H$374</definedName>
    <definedName name="ar703.1.3">'Verification Rpt'!$H$377</definedName>
    <definedName name="ar703.1.4">'Verification Rpt'!$H$379</definedName>
    <definedName name="ar703.1.5">'Verification Rpt'!$H$381</definedName>
    <definedName name="ar703.1.6.1">'Verification Rpt'!$H$387</definedName>
    <definedName name="ar703.1.6.2">'Verification Rpt'!$H$391</definedName>
    <definedName name="ar703.2.1">'Verification Rpt'!$H$397</definedName>
    <definedName name="ar703.3.1">'Verification Rpt'!$H$427</definedName>
    <definedName name="ar703.3.2">'Verification Rpt'!$H$428</definedName>
    <definedName name="ar703.3.3">'Verification Rpt'!$H$429</definedName>
    <definedName name="ar703.3.4">'Verification Rpt'!$H$431</definedName>
    <definedName name="ar703.4.1">'Verification Rpt'!$I$437</definedName>
    <definedName name="ar703.4.2">'Verification Rpt'!$H$442</definedName>
    <definedName name="ar703.4.3">'Verification Rpt'!$H$443</definedName>
    <definedName name="ar703.4.4">'Verification Rpt'!$H$444</definedName>
    <definedName name="ar703.6.1">'Verification Rpt'!$H$467</definedName>
    <definedName name="ar703.6.3_1">'Verification Rpt'!$H$470</definedName>
    <definedName name="ar703.6.3_2">'Verification Rpt'!$H$471</definedName>
    <definedName name="ar703.6.3_3">'Verification Rpt'!$H$472</definedName>
    <definedName name="ar703.6.3_4">'Verification Rpt'!$H$473</definedName>
    <definedName name="ar703.6.3_5">'Verification Rpt'!$H$474</definedName>
    <definedName name="ar703.6.3_6">'Verification Rpt'!$H$475</definedName>
    <definedName name="ar703.6.4">'Verification Rpt'!$H$476</definedName>
    <definedName name="ar704.2.2">'Verification Rpt'!$H$483</definedName>
    <definedName name="ar704.3">'Verification Rpt'!$H$485</definedName>
    <definedName name="ar704.4.1">'Verification Rpt'!$H$487</definedName>
    <definedName name="ar704.4.2">'Verification Rpt'!$H$488</definedName>
    <definedName name="ar704.4.3">'Verification Rpt'!$H$489</definedName>
    <definedName name="ar704.5.1">'Verification Rpt'!$H$491</definedName>
    <definedName name="ar704.5.3">'Verification Rpt'!$H$504</definedName>
    <definedName name="ar705.2._1">'Verification Rpt'!$H$512</definedName>
    <definedName name="ar705.3ClothesDryer">'Verification Rpt'!$H$520</definedName>
    <definedName name="ar705.3ClothesWasher">'Verification Rpt'!$H$521</definedName>
    <definedName name="ar705.3Dishwasher">'Verification Rpt'!$H$519</definedName>
    <definedName name="ar705.3Freezer">'Verification Rpt'!$H$518</definedName>
    <definedName name="ar705.3HotWaterHeating">'Verification Rpt'!$H$524</definedName>
    <definedName name="ar705.3HVAC">'Verification Rpt'!$H$523</definedName>
    <definedName name="ar705.3Refrigerator">'Verification Rpt'!$H$517</definedName>
    <definedName name="ar705.3RoomAirConditioner">'Verification Rpt'!$H$522</definedName>
    <definedName name="ar705.4.2">'Verification Rpt'!$H$529</definedName>
    <definedName name="ar801.1.1_1thru4a">'Verification Rpt'!$H$542</definedName>
    <definedName name="ar801.1.1_5">'Verification Rpt'!$H$547</definedName>
    <definedName name="ar801.1.1_6">'Verification Rpt'!$H$548</definedName>
    <definedName name="ar901.1.1">'Verification Rpt'!$H$629</definedName>
    <definedName name="ar901.1.2">'Verification Rpt'!$H$631</definedName>
    <definedName name="ar901.1.3_1">'Verification Rpt'!$H$633</definedName>
    <definedName name="ar901.1.3_2">'Verification Rpt'!$H$635</definedName>
    <definedName name="ar901.1.4">'Verification Rpt'!$H$637</definedName>
    <definedName name="ar901.1.5">'Verification Rpt'!$H$638</definedName>
    <definedName name="ar901.1.6">'Verification Rpt'!$H$641</definedName>
    <definedName name="ar901.11">'Verification Rpt'!$H$707</definedName>
    <definedName name="ar901.2.1_1">'Verification Rpt'!$H$645</definedName>
    <definedName name="ar901.2.1_2">'Verification Rpt'!$H$647</definedName>
    <definedName name="ar901.2.1_3">'Verification Rpt'!$H$649</definedName>
    <definedName name="ar901.2.1_4">'Verification Rpt'!$H$651</definedName>
    <definedName name="ar901.2.1_5">'Verification Rpt'!$H$653</definedName>
    <definedName name="ar901.2.2">'Verification Rpt'!$H$655</definedName>
    <definedName name="ar901.3_2">'Verification Rpt'!$H$662</definedName>
    <definedName name="ar901.4_1">'Verification Rpt'!$H$663</definedName>
    <definedName name="ar901.4_2thru6">'Verification Rpt'!$H$664</definedName>
    <definedName name="ar901.4_6CompositeTrim">'Verification Rpt'!$I$687</definedName>
    <definedName name="ar901.4_6Countertops">'Verification Rpt'!$I$686</definedName>
    <definedName name="ar901.4_6CustomWoodwork">'Verification Rpt'!$I$688</definedName>
    <definedName name="ar901.4_6Shelving">'Verification Rpt'!$I$689</definedName>
    <definedName name="ar901.5">'Verification Rpt'!$H$690</definedName>
    <definedName name="ar902.2.1">'Verification Rpt'!$H$733</definedName>
    <definedName name="ar902.3_1">'Verification Rpt'!$H$741</definedName>
    <definedName name="ar902.3_1a">'Verification Rpt'!$H$742</definedName>
    <definedName name="ar902.3_1b">'Verification Rpt'!$H$743</definedName>
    <definedName name="ar902.3_2a">'Verification Rpt'!$H$745</definedName>
    <definedName name="ar902.4_1">'Verification Rpt'!$H$747</definedName>
    <definedName name="ar902.5">'Verification Rpt'!$H$749</definedName>
    <definedName name="ar902.6">'Verification Rpt'!$H$750</definedName>
    <definedName name="ar903.1.1">'Verification Rpt'!$H$753</definedName>
    <definedName name="ar903.1.2">'Verification Rpt'!$H$754</definedName>
    <definedName name="ar903.2">'Verification Rpt'!$H$756</definedName>
    <definedName name="BatchProcessingFinalAddress01">'Verification Rpt'!$E$839</definedName>
    <definedName name="BatchProcessingFinalAddress02">'Verification Rpt'!$E$840</definedName>
    <definedName name="BatchProcessingFinalAddress03">'Verification Rpt'!$E$841</definedName>
    <definedName name="BatchProcessingFinalAddress04">'Verification Rpt'!$E$842</definedName>
    <definedName name="BatchProcessingFinalAddress05">'Verification Rpt'!$E$843</definedName>
    <definedName name="BatchProcessingFinalAddress06">'Verification Rpt'!$E$844</definedName>
    <definedName name="BatchProcessingFinalAddress07">'Verification Rpt'!$E$845</definedName>
    <definedName name="BatchProcessingFinalAddress08">'Verification Rpt'!$E$846</definedName>
    <definedName name="BatchProcessingFinalAddress09">'Verification Rpt'!$E$847</definedName>
    <definedName name="BatchProcessingFinalAddress10">'Verification Rpt'!$E$848</definedName>
    <definedName name="BatchProcessingFinalAddress11">'Verification Rpt'!$E$849</definedName>
    <definedName name="BatchProcessingFinalAddress12">'Verification Rpt'!$E$850</definedName>
    <definedName name="BatchProcessingFinalAddress13">'Verification Rpt'!$E$851</definedName>
    <definedName name="BatchProcessingFinalAddress14">'Verification Rpt'!$E$852</definedName>
    <definedName name="BatchProcessingFinalAddress15">'Verification Rpt'!$E$853</definedName>
    <definedName name="BatchProcessingFinalAddress16">'Verification Rpt'!$E$854</definedName>
    <definedName name="BatchProcessingFinalAddress17">'Verification Rpt'!$E$855</definedName>
    <definedName name="BatchProcessingFinalAddress18">'Verification Rpt'!$E$856</definedName>
    <definedName name="BatchProcessingFinalAddress19">'Verification Rpt'!$E$857</definedName>
    <definedName name="BatchProcessingFinalAddress20">'Verification Rpt'!$E$858</definedName>
    <definedName name="BatchProcessingFinalSignature">'Final Signature'!$A$64:$J$101</definedName>
    <definedName name="BatchProcessingInput">'Verification Rpt'!$C$835:$L$872</definedName>
    <definedName name="BatchProcessingProjectID01">'Verification Rpt'!$K$839</definedName>
    <definedName name="BatchProcessingProjectID02">'Verification Rpt'!$K$840</definedName>
    <definedName name="BatchProcessingProjectID03">'Verification Rpt'!$K$841</definedName>
    <definedName name="BatchProcessingProjectID04">'Verification Rpt'!$K$842</definedName>
    <definedName name="BatchProcessingProjectID05">'Verification Rpt'!$K$843</definedName>
    <definedName name="BatchProcessingProjectID06">'Verification Rpt'!$K$844</definedName>
    <definedName name="BatchProcessingProjectID07">'Verification Rpt'!$K$845</definedName>
    <definedName name="BatchProcessingProjectID08">'Verification Rpt'!$K$846</definedName>
    <definedName name="BatchProcessingProjectID09">'Verification Rpt'!$K$847</definedName>
    <definedName name="BatchProcessingProjectID10">'Verification Rpt'!$K$848</definedName>
    <definedName name="BatchProcessingProjectID11">'Verification Rpt'!$K$849</definedName>
    <definedName name="BatchProcessingProjectID12">'Verification Rpt'!$K$850</definedName>
    <definedName name="BatchProcessingProjectID13">'Verification Rpt'!$K$851</definedName>
    <definedName name="BatchProcessingProjectID14">'Verification Rpt'!$K$852</definedName>
    <definedName name="BatchProcessingProjectID15">'Verification Rpt'!$K$853</definedName>
    <definedName name="BatchProcessingProjectID16">'Verification Rpt'!$K$854</definedName>
    <definedName name="BatchProcessingProjectID17">'Verification Rpt'!$K$855</definedName>
    <definedName name="BatchProcessingProjectID18">'Verification Rpt'!$K$856</definedName>
    <definedName name="BatchProcessingProjectID19">'Verification Rpt'!$K$857</definedName>
    <definedName name="BatchProcessingProjectID20">'Verification Rpt'!$K$858</definedName>
    <definedName name="BatchProcessingQuestion">'Verification Rpt'!$F$833</definedName>
    <definedName name="BatchProcessingRegistrationCity">'Verification Rpt'!$G$839</definedName>
    <definedName name="BatchProcessingRegistrationState">'Verification Rpt'!$I$839</definedName>
    <definedName name="BatchProcessingRegistrationZip">'Verification Rpt'!$J$839</definedName>
    <definedName name="BatchProcessingRoughAddress01">'Verification Rpt'!$F$839</definedName>
    <definedName name="BatchProcessingRoughAddress02">'Verification Rpt'!$F$840</definedName>
    <definedName name="BatchProcessingRoughAddress03">'Verification Rpt'!$F$841</definedName>
    <definedName name="BatchProcessingRoughAddress04">'Verification Rpt'!$F$842</definedName>
    <definedName name="BatchProcessingRoughAddress05">'Verification Rpt'!$F$843</definedName>
    <definedName name="BatchProcessingRoughAddress06">'Verification Rpt'!$F$844</definedName>
    <definedName name="BatchProcessingRoughAddress07">'Verification Rpt'!$F$845</definedName>
    <definedName name="BatchProcessingRoughAddress08">'Verification Rpt'!$F$846</definedName>
    <definedName name="BatchProcessingRoughAddress09">'Verification Rpt'!$F$847</definedName>
    <definedName name="BatchProcessingRoughAddress10">'Verification Rpt'!$F$848</definedName>
    <definedName name="BatchProcessingRoughAddress11">'Verification Rpt'!$F$849</definedName>
    <definedName name="BatchProcessingRoughAddress12">'Verification Rpt'!$F$850</definedName>
    <definedName name="BatchProcessingRoughAddress13">'Verification Rpt'!$F$851</definedName>
    <definedName name="BatchProcessingRoughAddress14">'Verification Rpt'!$F$852</definedName>
    <definedName name="BatchProcessingRoughAddress15">'Verification Rpt'!$F$853</definedName>
    <definedName name="BatchProcessingRoughAddress16">'Verification Rpt'!$F$854</definedName>
    <definedName name="BatchProcessingRoughAddress17">'Verification Rpt'!$F$855</definedName>
    <definedName name="BatchProcessingRoughAddress18">'Verification Rpt'!$F$856</definedName>
    <definedName name="BatchProcessingRoughAddress19">'Verification Rpt'!$F$857</definedName>
    <definedName name="BatchProcessingRoughAddress20">'Verification Rpt'!$F$858</definedName>
    <definedName name="BatchProcessingRoughSignature">'Rough Signature'!$A$61:$J$97</definedName>
    <definedName name="BldgType">'Verification Rpt'!$K$3</definedName>
    <definedName name="bronzeMinimum">Formulas!$B$136</definedName>
    <definedName name="BuilderName">'Verification Rpt'!$F$3</definedName>
    <definedName name="BuilderNameSIg">'Final Signature'!$D$36</definedName>
    <definedName name="BuilderSignature">'Final Signature'!$A$36</definedName>
    <definedName name="CertificationLevel">Formulas!$AB$5:$AB$8</definedName>
    <definedName name="ch10BronzeMin">'Ch10'!$P$3</definedName>
    <definedName name="ch10EmeraldMin">'Ch10'!$S$3</definedName>
    <definedName name="ch10GoldMin">'Ch10'!$R$3</definedName>
    <definedName name="ch10Level">Formulas!$D$208</definedName>
    <definedName name="ch10SilverMin">'Ch10'!$Q$3</definedName>
    <definedName name="ch10TotalScore">'Ch10'!$N$3</definedName>
    <definedName name="ch5BronzeMin">'Ch5'!$P$3</definedName>
    <definedName name="ch5EmeraldMin">'Ch5'!$S$3</definedName>
    <definedName name="ch5GoldMin">'Ch5'!$R$3</definedName>
    <definedName name="ch5Level">Formulas!$D$213</definedName>
    <definedName name="ch5SilverMin">'Ch5'!$Q$3</definedName>
    <definedName name="ch5Total">'Ch5'!$N$3</definedName>
    <definedName name="ch5TotalScore">'Ch5'!$N$3</definedName>
    <definedName name="ch6BronzeMin">'Ch6'!$Q$3</definedName>
    <definedName name="ch6EmeraldMin">'Ch6'!$T$3</definedName>
    <definedName name="ch6GoldMin">'Ch6'!$S$3</definedName>
    <definedName name="ch6Level">Formulas!$D$212</definedName>
    <definedName name="ch6Mandatory">Formulas!$A$115:$A$125</definedName>
    <definedName name="ch6MandatoryCount">Formulas!$A$115:$A$118</definedName>
    <definedName name="ch6SilverMin">'Ch6'!$R$3</definedName>
    <definedName name="ch6Total">'Ch6'!$O$3</definedName>
    <definedName name="ch6TotalScore">'Ch6'!$O$3</definedName>
    <definedName name="ch7ACH50">'Ch7'!$P$42</definedName>
    <definedName name="ch7blowerdoor">'Ch7'!$P$278</definedName>
    <definedName name="ch7BronzeMin">'Ch7'!$Q$3</definedName>
    <definedName name="ch7EmeraldMin">'Ch7'!$T$3</definedName>
    <definedName name="ch7GoldMin">'Ch7'!$S$3</definedName>
    <definedName name="ch7Level">Formulas!$D$211</definedName>
    <definedName name="ch7Mandatory">Formulas!$B$115:$B$129</definedName>
    <definedName name="ch7SilverMin">'Ch7'!$R$3</definedName>
    <definedName name="ch7TotalScore">'Ch7'!$O$3</definedName>
    <definedName name="ch801.1">'Ch. 7, 8, 9  Appendices'!$I$73</definedName>
    <definedName name="ch8BronzeMin">'Ch8'!$P$3</definedName>
    <definedName name="ch8EmeraldMin">'Ch8'!$S$3</definedName>
    <definedName name="ch8GoldMin">'Ch8'!$R$3</definedName>
    <definedName name="ch8Level">Formulas!$D$210</definedName>
    <definedName name="ch8SilverMin">'Ch8'!$Q$3</definedName>
    <definedName name="ch8TotalScore">'Ch8'!$N$3</definedName>
    <definedName name="ch9BronzeMin">'Ch9'!$P$3</definedName>
    <definedName name="ch9EmeraldMin">'Ch9'!$S$3</definedName>
    <definedName name="ch9GoldMin">'Ch9'!$R$3</definedName>
    <definedName name="ch9Level">Formulas!$D$209</definedName>
    <definedName name="ch9MandatoryCount">Formulas!$D$115:$D$131</definedName>
    <definedName name="ch9SilverMin">'Ch9'!$Q$3</definedName>
    <definedName name="ch9TotalScore">'Ch9'!$N$3</definedName>
    <definedName name="choice1001.1_1">'Ch10'!$O$12</definedName>
    <definedName name="choice1001.1_10">'Ch10'!$O$21</definedName>
    <definedName name="choice1001.1_11">'Ch10'!$O$22</definedName>
    <definedName name="choice1001.1_12">'Ch10'!$O$23</definedName>
    <definedName name="choice1001.1_13">'Ch10'!$O$24</definedName>
    <definedName name="choice1001.1_14">'Ch10'!$O$25</definedName>
    <definedName name="choice1001.1_15">'Ch10'!$O$26</definedName>
    <definedName name="choice1001.1_16">'Ch10'!$O$27</definedName>
    <definedName name="choice1001.1_17">'Ch10'!$O$28</definedName>
    <definedName name="choice1001.1_18">'Ch10'!$O$29</definedName>
    <definedName name="choice1001.1_19">'Ch10'!$O$30</definedName>
    <definedName name="choice1001.1_2">'Ch10'!$O$13</definedName>
    <definedName name="choice1001.1_20">'Ch10'!$O$31</definedName>
    <definedName name="choice1001.1_21">'Ch10'!$O$32</definedName>
    <definedName name="choice1001.1_3">'Ch10'!$O$14</definedName>
    <definedName name="choice1001.1_4">'Ch10'!$O$15</definedName>
    <definedName name="choice1001.1_5">'Ch10'!$O$16</definedName>
    <definedName name="choice1001.1_6">'Ch10'!$O$17</definedName>
    <definedName name="choice1001.1_7">'Ch10'!$O$18</definedName>
    <definedName name="choice1001.1_8">'Ch10'!$O$19</definedName>
    <definedName name="choice1001.1_9">'Ch10'!$O$20</definedName>
    <definedName name="choice1003.1_1">'Ch10'!$O$40</definedName>
    <definedName name="choice1003.1_2">'Ch10'!$O$41</definedName>
    <definedName name="choice1003.1_3">'Ch10'!$O$42</definedName>
    <definedName name="choice1003.1_4">'Ch10'!$O$43</definedName>
    <definedName name="choice1003.1_5">'Ch10'!$O$44</definedName>
    <definedName name="choice1003.1_6">'Ch10'!$O$45</definedName>
    <definedName name="choice1003.1_7">'Ch10'!$O$46</definedName>
    <definedName name="choice1003.1_8">'Ch10'!$O$47</definedName>
    <definedName name="choice1003.2_1">'Ch10'!$O$51</definedName>
    <definedName name="choice1003.2_10">'Ch10'!$O$60</definedName>
    <definedName name="choice1003.2_2">'Ch10'!$O$52</definedName>
    <definedName name="choice1003.2_3">'Ch10'!$O$53</definedName>
    <definedName name="choice1003.2_4">'Ch10'!$O$54</definedName>
    <definedName name="choice1003.2_5">'Ch10'!$O$55</definedName>
    <definedName name="choice1003.2_6">'Ch10'!$O$56</definedName>
    <definedName name="choice1003.2_7">'Ch10'!$O$57</definedName>
    <definedName name="choice1003.2_8">'Ch10'!$O$58</definedName>
    <definedName name="choice1003.2_9">'Ch10'!$O$59</definedName>
    <definedName name="choice1003.3_1">'Ch10'!$O$64</definedName>
    <definedName name="choice1003.3_2">'Ch10'!$O$65</definedName>
    <definedName name="choice1003.3_3">'Ch10'!$O$66</definedName>
    <definedName name="choice1003.3_4">'Ch10'!$O$67</definedName>
    <definedName name="choice1003.3_5">'Ch10'!$O$68</definedName>
    <definedName name="choice1003.3_6">'Ch10'!$O$69</definedName>
    <definedName name="choice1003.3_7">'Ch10'!$O$70</definedName>
    <definedName name="choice1003.3_8">'Ch10'!$O$71</definedName>
    <definedName name="choice1003.3_9">'Ch10'!$O$72</definedName>
    <definedName name="choice503.2_3">'Ch5'!$O$38</definedName>
    <definedName name="choice503.4_3">'Ch5'!$O$52</definedName>
    <definedName name="choice503.5_3">'Ch5'!$O$62</definedName>
    <definedName name="choice503.5_type">'Ch5'!$O$57</definedName>
    <definedName name="choice505.1_3">'Ch5'!$O$110</definedName>
    <definedName name="choice505.3">'Ch5'!$O$117</definedName>
    <definedName name="choice601.6">'Ch6'!$P$33</definedName>
    <definedName name="choice601.7_1">'Ch6'!$P$38</definedName>
    <definedName name="choice601.7_2">'Ch6'!$P$39</definedName>
    <definedName name="choice601.7_3">'Ch6'!$P$40</definedName>
    <definedName name="choice602.1.10">'Ch6'!$P$95</definedName>
    <definedName name="choice602.1.14_3">'Ch6'!$P$113</definedName>
    <definedName name="choice602.1.2">'Ch6'!$P$52</definedName>
    <definedName name="choice602.1.6">'Ch6'!$P$71</definedName>
    <definedName name="choice602.1.7.1_2">'Ch6'!$P$78</definedName>
    <definedName name="choice602.1.9_5">'Ch6'!$P$89</definedName>
    <definedName name="choice602.2">'Ch6'!$P$115</definedName>
    <definedName name="choice603.1">'Ch6'!$P$124</definedName>
    <definedName name="choice603.2">'Ch6'!$P$132</definedName>
    <definedName name="choice604.1.1">'Ch6'!$P$137</definedName>
    <definedName name="choice604.1.2">'Ch6'!$P$139</definedName>
    <definedName name="choice605.3">'Ch6'!$P$145</definedName>
    <definedName name="choice606.3">'Ch6'!$P$158</definedName>
    <definedName name="choice608.1">'Ch6'!$P$166</definedName>
    <definedName name="choice609.1">'Ch6'!$P$169</definedName>
    <definedName name="choice610.1.2_2">'Ch6'!$P$181</definedName>
    <definedName name="choice611.1">'Ch6'!$P$196</definedName>
    <definedName name="choice701.1">'Ch7'!$P$10</definedName>
    <definedName name="choice701.4.3.2">'Ch7'!$P$41</definedName>
    <definedName name="choice702.2.2">'Ch7'!$P$70</definedName>
    <definedName name="choice703.1.1">'Ch7'!$P$75</definedName>
    <definedName name="choice703.1.2">'Ch7'!$P$88</definedName>
    <definedName name="choice703.1.3">'Ch7'!$P$91</definedName>
    <definedName name="choice703.1.5">'Ch7'!$P$99</definedName>
    <definedName name="choice703.1.6.2">'Ch7'!$P$113</definedName>
    <definedName name="choice703.2.2step1">'Ch7'!$P$130</definedName>
    <definedName name="choice703.2.2step2">'Ch7'!$P$132</definedName>
    <definedName name="choice703.2.3">'Ch7'!$P$151</definedName>
    <definedName name="choice703.2.4">'Ch7'!$P$158</definedName>
    <definedName name="choice703.2.6">'Ch7'!$P$166</definedName>
    <definedName name="choice703.3.4">'Ch7'!$P$189</definedName>
    <definedName name="choice703.4.1step1">'Ch7'!$P$197</definedName>
    <definedName name="choice703.4.1step2">'Ch7'!$P$200</definedName>
    <definedName name="choice703.4.5">'Ch7'!$P$218</definedName>
    <definedName name="choice703.5.1">'Ch7'!$P$226</definedName>
    <definedName name="choice704.2.1">'Ch7'!$P$265</definedName>
    <definedName name="choice705.2_2">'Ch7'!$P$299</definedName>
    <definedName name="choice705.3_1">'Ch7'!$P$303</definedName>
    <definedName name="choice705.3_2">'Ch7'!$P$304</definedName>
    <definedName name="choice705.3_3">'Ch7'!$P$305</definedName>
    <definedName name="choice705.3_4">'Ch7'!$P$306</definedName>
    <definedName name="choice705.3_5">'Ch7'!$P$307</definedName>
    <definedName name="choice705.3_6">'Ch7'!$P$308</definedName>
    <definedName name="choice705.3_7">'Ch7'!$P$309</definedName>
    <definedName name="choice705.3_8">'Ch7'!$P$310</definedName>
    <definedName name="choice801.1.1_1thru4a">'Ch8'!$O$12</definedName>
    <definedName name="choice801.2_2">'Ch8'!$O$24</definedName>
    <definedName name="choice801.3_1">'Ch8'!$O$27</definedName>
    <definedName name="choice801.3_2">'Ch8'!$O$29</definedName>
    <definedName name="choice801.3_3">'Ch8'!$O$31</definedName>
    <definedName name="choice801.4.1_1">'Ch8'!$O$35</definedName>
    <definedName name="choice801.4.2">'Ch8'!$O$39</definedName>
    <definedName name="choice801.5_2">'Ch8'!$O$43</definedName>
    <definedName name="choice801.5_3a">'Ch8'!$O$47</definedName>
    <definedName name="choice801.7.1">'Ch8'!$O$67</definedName>
    <definedName name="choice801.7.2">'Ch8'!$O$74</definedName>
    <definedName name="choice802.1">'Ch8'!$O$80</definedName>
    <definedName name="choice802.2">'Ch8'!$O$84</definedName>
    <definedName name="choice901.1.3_1">'Ch9'!$O$14</definedName>
    <definedName name="choice901.1.3_2">'Ch9'!$O$16</definedName>
    <definedName name="choice901.1.6">'Ch9'!$O$20</definedName>
    <definedName name="choice901.10">'Ch9'!$O$97</definedName>
    <definedName name="choice901.13">'Ch9'!$O$104</definedName>
    <definedName name="choice901.2.1_1">'Ch9'!$O$24</definedName>
    <definedName name="choice901.2.1_2">'Ch9'!$O$26</definedName>
    <definedName name="choice901.2.1_3">'Ch9'!$O$28</definedName>
    <definedName name="choice901.2.1_4">'Ch9'!$O$30</definedName>
    <definedName name="choice901.2.1_5">'Ch9'!$O$32</definedName>
    <definedName name="choice901.3_1_a">'Ch9'!$O$38</definedName>
    <definedName name="choice901.3_1_b">'Ch9'!$O$40</definedName>
    <definedName name="choice901.5">'Ch9'!$O$69</definedName>
    <definedName name="choice902.1.1_1">'Ch9'!$O$115</definedName>
    <definedName name="choice902.1.2">'Ch9'!$O$119</definedName>
    <definedName name="choice902.1.4_1">'Ch9'!$O$123</definedName>
    <definedName name="choice902.1.4_2">'Ch9'!$O$124</definedName>
    <definedName name="choice902.2.1">'Ch9'!$O$128</definedName>
    <definedName name="choice902.4">'Ch9'!$O$146</definedName>
    <definedName name="choice903.1">'Ch9'!$O$153</definedName>
    <definedName name="choice903.2">'Ch9'!$O$156</definedName>
    <definedName name="choice903.3">'Ch9'!$O$159</definedName>
    <definedName name="claim1001.1">'Ch10'!$O$9</definedName>
    <definedName name="claim1001.1_man">'Ch10'!$O$12:$O$31</definedName>
    <definedName name="claim1002.1">'Ch10'!$O$34</definedName>
    <definedName name="claim1003.1">'Ch10'!$O$37</definedName>
    <definedName name="claim1003.1_man">'Ch10'!$O$40:$O$47</definedName>
    <definedName name="claim1003.2">'Ch10'!$O$48</definedName>
    <definedName name="claim1003.2_man">'Ch10'!$O$51:$O$60</definedName>
    <definedName name="claim1003.3">'Ch10'!$O$61</definedName>
    <definedName name="claim1003.3_man">'Ch10'!$O$64:$O$72</definedName>
    <definedName name="claim501.1_1">'Ch5'!$O$11</definedName>
    <definedName name="claim501.1_2">'Ch5'!$O$12</definedName>
    <definedName name="claim501.1_3">'Ch5'!$O$13</definedName>
    <definedName name="claim501.1_4">'Ch5'!$O$14</definedName>
    <definedName name="claim501.1_5">'Ch5'!$O$15</definedName>
    <definedName name="claim501.2_1">'Ch5'!$O$17</definedName>
    <definedName name="claim501.2_2">'Ch5'!$O$18</definedName>
    <definedName name="claim501.2_3">'Ch5'!$O$19</definedName>
    <definedName name="claim501.2_4">'Ch5'!$O$21</definedName>
    <definedName name="claim502.1">'Ch5'!$O$23</definedName>
    <definedName name="claim503.1_1">'Ch5'!$O$28</definedName>
    <definedName name="claim503.1_2">'Ch5'!$O$29</definedName>
    <definedName name="claim503.1_3">'Ch5'!$O$30</definedName>
    <definedName name="claim503.1_4">'Ch5'!$O$31</definedName>
    <definedName name="claim503.1_5">'Ch5'!$O$32</definedName>
    <definedName name="claim503.1_6">'Ch5'!$O$33</definedName>
    <definedName name="claim503.1_7">'Ch5'!$O$34</definedName>
    <definedName name="claim503.2_1">'Ch5'!$O$36</definedName>
    <definedName name="claim503.2_2">'Ch5'!$O$37</definedName>
    <definedName name="claim503.2_3">'Ch5'!$O$39:$O$39</definedName>
    <definedName name="claim503.2_4">'Ch5'!$O$40</definedName>
    <definedName name="claim503.2_5">'Ch5'!$O$41</definedName>
    <definedName name="claim503.3_1">'Ch5'!$O$44</definedName>
    <definedName name="claim503.3_2">'Ch5'!$O$45</definedName>
    <definedName name="claim503.3_3">'Ch5'!$O$47</definedName>
    <definedName name="claim503.4_1">'Ch5'!$O$50</definedName>
    <definedName name="claim503.4_2">'Ch5'!$O$51</definedName>
    <definedName name="claim503.4_3">'Ch5'!$O$53:$O$53</definedName>
    <definedName name="claim503.4_4">'Ch5'!$O$54</definedName>
    <definedName name="claim503.4_5">'Ch5'!$O$55</definedName>
    <definedName name="claim503.4_6">'Ch5'!$O$56</definedName>
    <definedName name="claim503.5_1">'Ch5'!$O$58</definedName>
    <definedName name="claim503.5_2">'Ch5'!$O$60</definedName>
    <definedName name="claim503.5_3">'Ch5'!$O$63</definedName>
    <definedName name="claim503.5_4">'Ch5'!$O$68</definedName>
    <definedName name="claim503.5_5">'Ch5'!$O$70</definedName>
    <definedName name="claim503.5_6">'Ch5'!$O$72</definedName>
    <definedName name="claim503.5_7">'Ch5'!$O$74</definedName>
    <definedName name="claim503.5_8">'Ch5'!$O$75</definedName>
    <definedName name="claim503.6_1">'Ch5'!$O$78</definedName>
    <definedName name="claim503.6_2">'Ch5'!$O$79</definedName>
    <definedName name="claim503.6_3">'Ch5'!$O$80</definedName>
    <definedName name="claim503.6_4">'Ch5'!$O$81</definedName>
    <definedName name="claim503.7_1">'Ch5'!$O$83</definedName>
    <definedName name="claim503.7_2">'Ch5'!$O$84</definedName>
    <definedName name="claim504.1">'Ch5'!$O$87</definedName>
    <definedName name="claim504.2_1">'Ch5'!$O$90</definedName>
    <definedName name="claim504.2_2">'Ch5'!$O$91</definedName>
    <definedName name="claim504.2_3">'Ch5'!$O$92</definedName>
    <definedName name="claim504.3_1">'Ch5'!$O$94</definedName>
    <definedName name="claim504.3_2">'Ch5'!$O$95</definedName>
    <definedName name="claim504.3_3">'Ch5'!$O$96</definedName>
    <definedName name="claim504.3_4">'Ch5'!$O$97</definedName>
    <definedName name="claim504.3_5">'Ch5'!$O$98</definedName>
    <definedName name="claim504.3_6">'Ch5'!$O$99</definedName>
    <definedName name="claim504.3_7">'Ch5'!$O$100</definedName>
    <definedName name="claim504.3_8">'Ch5'!$O$101</definedName>
    <definedName name="claim504.3_9">'Ch5'!$O$103</definedName>
    <definedName name="claim505.1_1">'Ch5'!$O$107</definedName>
    <definedName name="claim505.1_2">'Ch5'!$O$108</definedName>
    <definedName name="claim505.1_3">'Ch5'!$O$111:$O$111</definedName>
    <definedName name="claim505.2_1">'Ch5'!$O$113</definedName>
    <definedName name="claim505.2_2">'Ch5'!$O$115</definedName>
    <definedName name="claim505.3">'Ch5'!$O$119</definedName>
    <definedName name="claim505.4">'Ch5'!$O$122</definedName>
    <definedName name="claim505.5">'Ch5'!$O$123</definedName>
    <definedName name="claim601.1">'Ch6'!$P$9</definedName>
    <definedName name="claim601.2_1">'Ch6'!$P$16</definedName>
    <definedName name="claim601.2_2">'Ch6'!$P$17</definedName>
    <definedName name="claim601.2_3">'Ch6'!$P$18</definedName>
    <definedName name="claim601.3_1">'Ch6'!$P$20</definedName>
    <definedName name="claim601.3_2">'Ch6'!$P$21</definedName>
    <definedName name="claim601.3_3">'Ch6'!$P$22</definedName>
    <definedName name="claim601.3_4">'Ch6'!$P$23</definedName>
    <definedName name="claim601.3_5">'Ch6'!$P$24</definedName>
    <definedName name="claim601.4">'Ch6'!$P$25</definedName>
    <definedName name="claim601.5_1">'Ch6'!$P$28</definedName>
    <definedName name="claim601.5_2">'Ch6'!$P$29</definedName>
    <definedName name="claim601.5_3">'Ch6'!$P$30</definedName>
    <definedName name="claim601.5_4">'Ch6'!$P$31</definedName>
    <definedName name="claim601.5_5">'Ch6'!$P$32</definedName>
    <definedName name="claim601.6">'Ch6'!$P$34</definedName>
    <definedName name="claim601.7">'Ch6'!$P$41</definedName>
    <definedName name="claim601.8">'Ch6'!$P$42</definedName>
    <definedName name="claim601.9">'Ch6'!$P$44</definedName>
    <definedName name="claim602.1.1.1">'Ch6'!$P$50</definedName>
    <definedName name="claim602.1.1.2">'Ch6'!$P$51</definedName>
    <definedName name="claim602.1.10">'Ch6'!$P$97</definedName>
    <definedName name="claim602.1.11">'Ch6'!$P$99</definedName>
    <definedName name="claim602.1.12">'Ch6'!$P$100</definedName>
    <definedName name="claim602.1.13">'Ch6'!$P$109</definedName>
    <definedName name="claim602.1.14_1">'Ch6'!$P$111</definedName>
    <definedName name="claim602.1.14_2">'Ch6'!$P$112</definedName>
    <definedName name="claim602.1.14_3">'Ch6'!$P$114</definedName>
    <definedName name="claim602.1.2">'Ch6'!$P$53</definedName>
    <definedName name="claim602.1.3.1">'Ch6'!$P$55</definedName>
    <definedName name="claim602.1.3.2">'Ch6'!$P$56</definedName>
    <definedName name="claim602.1.4.1">'Ch6'!$P$59</definedName>
    <definedName name="claim602.1.4.1_2">'Ch6'!$P$60</definedName>
    <definedName name="claim602.1.4.2_1">'Ch6'!$P$63</definedName>
    <definedName name="claim602.1.4.2_2">'Ch6'!$P$64</definedName>
    <definedName name="claim602.1.5">'Ch6'!$P$66</definedName>
    <definedName name="claim602.1.6">'Ch6'!$P$73</definedName>
    <definedName name="claim602.1.7.1_1">'Ch6'!$P$77</definedName>
    <definedName name="claim602.1.7.1_2">'Ch6'!$P$79</definedName>
    <definedName name="claim602.1.7.1_3">'Ch6'!$P$80</definedName>
    <definedName name="claim602.1.7.2">'Ch6'!$P$81</definedName>
    <definedName name="claim602.1.8">'Ch6'!$P$82</definedName>
    <definedName name="claim602.1.9_1">'Ch6'!$P$85</definedName>
    <definedName name="claim602.1.9_2">'Ch6'!$P$86</definedName>
    <definedName name="claim602.1.9_3">'Ch6'!$P$87</definedName>
    <definedName name="claim602.1.9_4">'Ch6'!$P$88</definedName>
    <definedName name="claim602.1.9_5">'Ch6'!$P$91</definedName>
    <definedName name="claim602.1.9_6">'Ch6'!$P$92</definedName>
    <definedName name="claim602.1.9_7">'Ch6'!$P$93</definedName>
    <definedName name="claim602.2">'Ch6'!$P$116</definedName>
    <definedName name="claim602.3">'Ch6'!$P$117</definedName>
    <definedName name="claim602.4.1">'Ch6'!$P$119</definedName>
    <definedName name="claim602.4.2">'Ch6'!$P$120</definedName>
    <definedName name="claim602.4.3">'Ch6'!$P$121</definedName>
    <definedName name="claim603.1">'Ch6'!$P$125</definedName>
    <definedName name="claim603.2">'Ch6'!$P$133</definedName>
    <definedName name="claim603.3">'Ch6'!$P$134</definedName>
    <definedName name="claim604.1.1">'Ch6'!$P$138</definedName>
    <definedName name="claim604.1.2">'Ch6'!$P$140</definedName>
    <definedName name="claim605.1">'Ch6'!$P$143</definedName>
    <definedName name="claim605.2">'Ch6'!$P$144</definedName>
    <definedName name="claim605.3">'Ch6'!$P$146</definedName>
    <definedName name="claim606.1">'Ch6'!$P$149</definedName>
    <definedName name="claim606.1_1">'Ch6'!$P$150</definedName>
    <definedName name="claim606.1_2">'Ch6'!$P$151</definedName>
    <definedName name="claim606.1_3">'Ch6'!$P$152</definedName>
    <definedName name="claim606.2_1">'Ch6'!$P$156</definedName>
    <definedName name="claim606.2_2">'Ch6'!$P$157</definedName>
    <definedName name="claim606.3">'Ch6'!$P$159</definedName>
    <definedName name="claim607.1_1">'Ch6'!$P$162</definedName>
    <definedName name="claim607.1_2">'Ch6'!$P$163</definedName>
    <definedName name="claim607.2">'Ch6'!$P$164</definedName>
    <definedName name="claim608.1">'Ch6'!$P$167</definedName>
    <definedName name="claim609.1">'Ch6'!$P$170</definedName>
    <definedName name="claim610.1">'Ch6'!$P$172</definedName>
    <definedName name="claim610.1.1">'Ch6'!$P$173</definedName>
    <definedName name="claim610.1.2">'Ch6'!$P$174</definedName>
    <definedName name="claim610.1.2_1">'Ch6'!$P$175</definedName>
    <definedName name="claim611.1">'Ch6'!$P$197</definedName>
    <definedName name="claim611.2">'Ch6'!$P$198</definedName>
    <definedName name="claim611.2_1">'Ch6'!$P$199</definedName>
    <definedName name="claim611.2_2">'Ch6'!$P$200</definedName>
    <definedName name="claim611.2_3">'Ch6'!$P$201</definedName>
    <definedName name="claim611.2_4">'Ch6'!$P$202</definedName>
    <definedName name="claim611.2_5">'Ch6'!$P$203</definedName>
    <definedName name="claim611.2_6">'Ch6'!$P$204</definedName>
    <definedName name="claim611.2_7">'Ch6'!$P$205</definedName>
    <definedName name="claim611.3_1">'Ch6'!$P$207</definedName>
    <definedName name="claim611.3_2">'Ch6'!$P$208</definedName>
    <definedName name="claim611.3_3">'Ch6'!$P$209</definedName>
    <definedName name="claim611.3_4">'Ch6'!$P$210</definedName>
    <definedName name="claim701.1">'Ch7'!$P$13</definedName>
    <definedName name="claim701.3">'Ch7'!$P$16</definedName>
    <definedName name="claim701.4.1.1">'Ch7'!$P$20</definedName>
    <definedName name="claim701.4.1.2">'Ch7'!$P$21</definedName>
    <definedName name="claim701.4.2.1">'Ch7'!$P$23</definedName>
    <definedName name="claim701.4.2.2">'Ch7'!$P$24</definedName>
    <definedName name="claim701.4.2.3">'Ch7'!$P$25</definedName>
    <definedName name="claim701.4.3.1">'Ch7'!$P$27</definedName>
    <definedName name="claim701.4.3.2">'Ch7'!$P$40</definedName>
    <definedName name="claim701.4.3.3">'Ch7'!$P$61</definedName>
    <definedName name="claim701.4.3.4">'Ch7'!$P$62</definedName>
    <definedName name="claim701.4.4">'Ch7'!$P$63</definedName>
    <definedName name="claim701.4.5">'Ch7'!$P$64</definedName>
    <definedName name="claim702.2.1">'Ch7'!$P$69</definedName>
    <definedName name="claim702.2.2">'Ch7'!$P$71</definedName>
    <definedName name="claim703.1.1">'Ch7'!$P$76</definedName>
    <definedName name="claim703.1.2">'Ch7'!$P$89</definedName>
    <definedName name="claim703.1.3">'Ch7'!$P$92</definedName>
    <definedName name="claim703.1.4">'Ch7'!$P$97</definedName>
    <definedName name="claim703.1.5">'Ch7'!$P$100</definedName>
    <definedName name="claim703.1.6.1">'Ch7'!$P$107</definedName>
    <definedName name="claim703.1.6.2">'Ch7'!$P$114</definedName>
    <definedName name="claim703.2.1">'Ch7'!$P$127</definedName>
    <definedName name="claim703.2.2">'Ch7'!$P$133</definedName>
    <definedName name="claim703.2.3">'Ch7'!$P$152</definedName>
    <definedName name="claim703.2.4">'Ch7'!$P$159</definedName>
    <definedName name="claim703.2.5">'Ch7'!$P$164</definedName>
    <definedName name="claim703.2.6">'Ch7'!$P$167</definedName>
    <definedName name="claim703.2.7">'Ch7'!$P$173</definedName>
    <definedName name="claim703.2.8">'Ch7'!$P$175</definedName>
    <definedName name="claim703.2.9">'Ch7'!$P$178</definedName>
    <definedName name="claim703.3.1">'Ch7'!$P$181</definedName>
    <definedName name="claim703.3.2">'Ch7'!$P$184</definedName>
    <definedName name="claim703.3.3">'Ch7'!$P$187</definedName>
    <definedName name="claim703.3.4">'Ch7'!$P$190</definedName>
    <definedName name="claim703.4.1">'Ch7'!$P$202</definedName>
    <definedName name="claim703.4.2">'Ch7'!$P$212</definedName>
    <definedName name="claim703.4.3">'Ch7'!$P$214</definedName>
    <definedName name="claim703.4.4">'Ch7'!$P$216</definedName>
    <definedName name="claim703.4.5">'Ch7'!$P$219</definedName>
    <definedName name="claim703.5.1">'Ch7'!$P$231</definedName>
    <definedName name="claim703.5.1_2">'Ch7'!$P$233</definedName>
    <definedName name="claim703.5.2">'Ch7'!$P$235</definedName>
    <definedName name="claim703.5.3_1">'Ch7'!$P$237</definedName>
    <definedName name="claim703.5.3_2">'Ch7'!$P$238</definedName>
    <definedName name="claim703.5.3_3">'Ch7'!$P$239</definedName>
    <definedName name="claim703.5.4">'Ch7'!$P$241</definedName>
    <definedName name="claim703.6.1">'Ch7'!$P$243</definedName>
    <definedName name="claim703.6.2">'Ch7'!$P$246</definedName>
    <definedName name="claim703.6.3_1">'Ch7'!$P$248</definedName>
    <definedName name="claim703.6.3_2">'Ch7'!$P$249</definedName>
    <definedName name="claim703.6.3_3">'Ch7'!$P$251</definedName>
    <definedName name="claim703.6.3_4">'Ch7'!$P$252</definedName>
    <definedName name="claim703.6.3_5">'Ch7'!$P$253</definedName>
    <definedName name="claim703.6.3_6">'Ch7'!$P$254</definedName>
    <definedName name="claim703.6.4">'Ch7'!$P$256</definedName>
    <definedName name="claim704.2.1">'Ch7'!$P$266</definedName>
    <definedName name="claim704.2.2">'Ch7'!$P$267</definedName>
    <definedName name="claim704.2.3">'Ch7'!$P$268</definedName>
    <definedName name="claim704.3">'Ch7'!$P$269</definedName>
    <definedName name="claim704.4.1">'Ch7'!$P$271</definedName>
    <definedName name="claim704.4.2">'Ch7'!$P$272</definedName>
    <definedName name="claim704.4.3">'Ch7'!$P$273</definedName>
    <definedName name="claim704.5.1">'Ch7'!$P$275</definedName>
    <definedName name="claim704.5.2.1_1">'Ch7'!$P$279</definedName>
    <definedName name="claim704.5.2.1_2">'Ch7'!$P$280</definedName>
    <definedName name="claim704.5.2.2">'Ch7'!$P$282</definedName>
    <definedName name="claim704.5.3">'Ch7'!$P$284</definedName>
    <definedName name="claim705.1">'Ch7'!$P$293</definedName>
    <definedName name="claim705.1_1">'Ch7'!$P$294</definedName>
    <definedName name="claim705.1_2">'Ch7'!$P$295</definedName>
    <definedName name="claim705.1_3">'Ch7'!$P$296</definedName>
    <definedName name="claim705.2_1">'Ch7'!$P$298</definedName>
    <definedName name="claim705.2_2">'Ch7'!$P$301</definedName>
    <definedName name="claim705.3">'Ch7'!$P$302</definedName>
    <definedName name="claim705.4.1_1">'Ch7'!$P$313</definedName>
    <definedName name="claim705.4.1_2">'Ch7'!$P$314</definedName>
    <definedName name="claim705.4.2">'Ch7'!$P$315</definedName>
    <definedName name="claim705.5">'Ch7'!$P$316</definedName>
    <definedName name="claim705.6">'Ch7'!$P$318</definedName>
    <definedName name="claim705.7">'Ch7'!$P$319</definedName>
    <definedName name="claim801.1.1_1thru4a">'Ch8'!$O$16</definedName>
    <definedName name="claim801.1.1_5">'Ch8'!$O$18</definedName>
    <definedName name="claim801.1.1_6">'Ch8'!$O$20</definedName>
    <definedName name="claim801.2_1">'Ch8'!$O$23</definedName>
    <definedName name="claim801.2_2">'Ch8'!$O$25</definedName>
    <definedName name="claim801.3_1">'Ch8'!$O$28</definedName>
    <definedName name="claim801.3_2">'Ch8'!$O$30</definedName>
    <definedName name="claim801.3_3">'Ch8'!$O$32</definedName>
    <definedName name="claim801.4.1_1">'Ch8'!$O$36</definedName>
    <definedName name="claim801.4.1_2">'Ch8'!$O$37</definedName>
    <definedName name="claim801.4.2">'Ch8'!$O$40</definedName>
    <definedName name="claim801.5_1">'Ch8'!$O$42</definedName>
    <definedName name="claim801.5_2">'Ch8'!$O$44</definedName>
    <definedName name="claim801.5_3">'Ch8'!$O$45</definedName>
    <definedName name="claim801.5_3a">'Ch8'!$O$48</definedName>
    <definedName name="claim801.5_3b">'Ch8'!$O$50</definedName>
    <definedName name="claim801.5_3c">'Ch8'!$O$52</definedName>
    <definedName name="claim801.6.1">'Ch8'!$O$55</definedName>
    <definedName name="claim801.6.2_1">'Ch8'!$O$57</definedName>
    <definedName name="claim801.6.2_2">'Ch8'!$O$58</definedName>
    <definedName name="claim801.6.3">'Ch8'!$O$59</definedName>
    <definedName name="claim801.6.4">'Ch8'!$O$60</definedName>
    <definedName name="claim801.6.5_1">'Ch8'!$O$63</definedName>
    <definedName name="claim801.6.5_3">'Ch8'!$O$64</definedName>
    <definedName name="claim801.7.1">'Ch8'!$O$73</definedName>
    <definedName name="claim801.7.2">'Ch8'!$O$76</definedName>
    <definedName name="claim801.8">'Ch8'!$O$78</definedName>
    <definedName name="claim802.1">'Ch8'!$O$82</definedName>
    <definedName name="claim802.2">'Ch8'!$O$86</definedName>
    <definedName name="claim802.3">'Ch8'!$O$87</definedName>
    <definedName name="claim802.4">'Ch8'!$O$88</definedName>
    <definedName name="claim802.5">'Ch8'!$O$89</definedName>
    <definedName name="claim901.1.1">'Ch9'!$O$10</definedName>
    <definedName name="claim901.1.2">'Ch9'!$O$12</definedName>
    <definedName name="claim901.1.3_1">'Ch9'!$O$15</definedName>
    <definedName name="claim901.1.3_2">'Ch9'!$O$17</definedName>
    <definedName name="claim901.1.4">'Ch9'!$O$18</definedName>
    <definedName name="claim901.1.5">'Ch9'!$O$19</definedName>
    <definedName name="claim901.1.6">'Ch9'!$O$21</definedName>
    <definedName name="claim901.10">'Ch9'!$O$100</definedName>
    <definedName name="claim901.11">'Ch9'!$O$101</definedName>
    <definedName name="claim901.12">'Ch9'!$O$103</definedName>
    <definedName name="claim901.13">'Ch9'!$O$105</definedName>
    <definedName name="claim901.14">'Ch9'!$O$107</definedName>
    <definedName name="claim901.14_1">'Ch9'!$O$108</definedName>
    <definedName name="claim901.14_2">'Ch9'!$O$109</definedName>
    <definedName name="claim901.2.1_1">'Ch9'!$O$25</definedName>
    <definedName name="claim901.2.1_2">'Ch9'!$O$27</definedName>
    <definedName name="claim901.2.1_3">'Ch9'!$O$29</definedName>
    <definedName name="claim901.2.1_4">'Ch9'!$O$31</definedName>
    <definedName name="claim901.2.1_5">'Ch9'!$O$33</definedName>
    <definedName name="claim901.2.2">'Ch9'!$O$34</definedName>
    <definedName name="claim901.3_1_a">'Ch9'!$O$39</definedName>
    <definedName name="claim901.3_1_b">'Ch9'!$O$41</definedName>
    <definedName name="claim901.3_1_c">'Ch9'!$O$42</definedName>
    <definedName name="claim901.3_2">'Ch9'!$O$45</definedName>
    <definedName name="claim901.4_1">'Ch9'!$O$47</definedName>
    <definedName name="claim901.4_2a">'Ch9'!$O$49</definedName>
    <definedName name="claim901.4_2b">'Ch9'!$O$50</definedName>
    <definedName name="claim901.4_2c">'Ch9'!$O$51</definedName>
    <definedName name="claim901.4_2d">'Ch9'!$O$52</definedName>
    <definedName name="claim901.4_2thru6">'Ch9'!$O$48</definedName>
    <definedName name="claim901.4_3a">'Ch9'!$O$53</definedName>
    <definedName name="claim901.4_3b">'Ch9'!$O$54</definedName>
    <definedName name="claim901.4_3c">'Ch9'!$O$55</definedName>
    <definedName name="claim901.4_3d">'Ch9'!$O$56</definedName>
    <definedName name="claim901.4_4a">'Ch9'!$O$57</definedName>
    <definedName name="claim901.4_4b">'Ch9'!$O$58</definedName>
    <definedName name="claim901.4_4c">'Ch9'!$O$59</definedName>
    <definedName name="claim901.4_4d">'Ch9'!$O$60</definedName>
    <definedName name="claim901.4_5a">'Ch9'!$O$61</definedName>
    <definedName name="claim901.4_5b">'Ch9'!$O$62</definedName>
    <definedName name="claim901.4_5c">'Ch9'!$O$63</definedName>
    <definedName name="claim901.4_5d">'Ch9'!$O$64</definedName>
    <definedName name="claim901.4_6a">'Ch9'!$O$65</definedName>
    <definedName name="claim901.4_6b">'Ch9'!$O$66</definedName>
    <definedName name="claim901.4_6c">'Ch9'!$O$67</definedName>
    <definedName name="claim901.4_6d">'Ch9'!$O$68</definedName>
    <definedName name="claim901.5">'Ch9'!$O$71</definedName>
    <definedName name="claim901.6_1">'Ch9'!$O$74</definedName>
    <definedName name="claim901.6_2_a">'Ch9'!$O$77</definedName>
    <definedName name="claim901.6_2_b">'Ch9'!$O$78</definedName>
    <definedName name="claim901.7">'Ch9'!$O$79</definedName>
    <definedName name="claim901.8">'Ch9'!$O$81</definedName>
    <definedName name="claim901.9.1">'Ch9'!$O$84</definedName>
    <definedName name="claim901.9.2">'Ch9'!$O$87</definedName>
    <definedName name="claim901.9.3">'Ch9'!$O$93</definedName>
    <definedName name="claim902.1.1_1">'Ch9'!$O$116</definedName>
    <definedName name="claim902.1.1_2">'Ch9'!$O$117</definedName>
    <definedName name="claim902.1.1_3">'Ch9'!$O$118</definedName>
    <definedName name="claim902.1.2">'Ch9'!$O$120</definedName>
    <definedName name="claim902.1.3">'Ch9'!$O$121</definedName>
    <definedName name="claim902.1.4">'Ch9'!$O$122</definedName>
    <definedName name="claim902.2.1">'Ch9'!$O$126</definedName>
    <definedName name="claim902.2.2">'Ch9'!$O$133</definedName>
    <definedName name="claim902.2.3">'Ch9'!$O$135</definedName>
    <definedName name="claim902.3">'Ch9'!$O$139</definedName>
    <definedName name="claim902.3_1">'Ch9'!$O$140</definedName>
    <definedName name="claim902.3_2">'Ch9'!$O$143</definedName>
    <definedName name="claim902.4">'Ch9'!$O$147</definedName>
    <definedName name="claim902.5">'Ch9'!$O$149</definedName>
    <definedName name="claim902.6">'Ch9'!$O$150</definedName>
    <definedName name="claim903.1">'Ch9'!$O$154</definedName>
    <definedName name="claim903.2">'Ch9'!$O$157</definedName>
    <definedName name="claim903.3">'Ch9'!$O$161</definedName>
    <definedName name="claim904.1">'Ch9'!$O$166</definedName>
    <definedName name="claim904.2">'Ch9'!$O$167</definedName>
    <definedName name="ClimateType">'Verification Rpt'!$I$6</definedName>
    <definedName name="copyright">'Start Here!'!$A$4</definedName>
    <definedName name="County">'Verification Rpt'!$F$7</definedName>
    <definedName name="CZword">Formulas!$Q$9</definedName>
    <definedName name="dd1001.1_1">Formulas!$A$98:$A$99</definedName>
    <definedName name="dd1001.1_2">Formulas!$B$98:$B$99</definedName>
    <definedName name="dd1001.1_3">Formulas!$C$98:$C$99</definedName>
    <definedName name="dd503.2_3">Formulas!$A$19:$A$21</definedName>
    <definedName name="dd503.4_3">Formulas!$B$19:$B$21</definedName>
    <definedName name="dd503.5_3">Formulas!$C$19:$C$22</definedName>
    <definedName name="dd503.5_3_opt1">Formulas!$C$19</definedName>
    <definedName name="dd503.5_3_opt2">Formulas!$C$20</definedName>
    <definedName name="dd503.5_3_opt3">Formulas!$C$21</definedName>
    <definedName name="dd503.5_3_opt4">Formulas!$C$22</definedName>
    <definedName name="dd505.1_3">Formulas!$D$19:$D$21</definedName>
    <definedName name="dd505.3">Formulas!$E$19:$E$21</definedName>
    <definedName name="dd601.1">Formulas!$A$40:$A$43</definedName>
    <definedName name="dd601.6">Formulas!$C$40:$C$42</definedName>
    <definedName name="dd602.1.1.1">Formulas!$D$40:$D$43</definedName>
    <definedName name="dd602.1.10">Formulas!$M$40:$M$42</definedName>
    <definedName name="dd602.1.11">Formulas!$N$40:$N$42</definedName>
    <definedName name="dd602.1.14">Formulas!$O$40:$O$42</definedName>
    <definedName name="dd602.1.15_3">Formulas!$P$40:$P$42</definedName>
    <definedName name="dd602.1.2">Formulas!$R$40:$R$41</definedName>
    <definedName name="dd602.1.3.1">Formulas!$E$40:$E$42</definedName>
    <definedName name="dd602.1.4.1_2">Formulas!$F$40:$F$43</definedName>
    <definedName name="dd602.1.4.2_2">Formulas!$G$40:$G$42</definedName>
    <definedName name="dd602.1.6">Formulas!$H$40:$H$42</definedName>
    <definedName name="dd602.1.7.1_2">Formulas!$I$40:$I$42</definedName>
    <definedName name="dd602.1.8">Formulas!$J$40:$J$42</definedName>
    <definedName name="dd602.1.9_1">Formulas!$K$40:$K$41</definedName>
    <definedName name="dd602.1.9_5">Formulas!$L$40:$L$41</definedName>
    <definedName name="dd602.2">Formulas!$Q$40:$Q$42</definedName>
    <definedName name="dd602.4.1">Formulas!$S$40:$S$41</definedName>
    <definedName name="dd603.1">Formulas!$T$40:$T$51</definedName>
    <definedName name="dd603.2">Formulas!$U$40:$U$48</definedName>
    <definedName name="dd604.1.1">Formulas!$V$40:$V$42</definedName>
    <definedName name="dd604.1.2">Formulas!$W$40:$W$42</definedName>
    <definedName name="dd605.3">Formulas!$X$40:$X$43</definedName>
    <definedName name="dd606.1_3">Formulas!$Y$40:$Y$41</definedName>
    <definedName name="dd606.3">Formulas!$Z$40:$Z$42</definedName>
    <definedName name="dd608.1">Formulas!$AA$40:$AA$42</definedName>
    <definedName name="dd609.1">Formulas!$AB$40:$AB$44</definedName>
    <definedName name="dd610.1.2_2">Formulas!$AF$40:$AF$41</definedName>
    <definedName name="dd611.1">Formulas!$AH$40:$AH$49</definedName>
    <definedName name="dd701.1">Formulas!$A$60:$A$62</definedName>
    <definedName name="dd701.3">Formulas!$B$60:$B$61</definedName>
    <definedName name="dd701.4.1.1">Formulas!$C$60:$C$61</definedName>
    <definedName name="dd701.4.1.2">Formulas!$D$60:$D$63</definedName>
    <definedName name="dd701.4.2.1">Formulas!$E$60:$E$62</definedName>
    <definedName name="dd701.4.2.2">Formulas!$F$60:$F$62</definedName>
    <definedName name="dd701.4.2.3">Formulas!$G$60:$G$62</definedName>
    <definedName name="dd701.4.3.1">Formulas!$H$60:$H$61</definedName>
    <definedName name="dd701.4.3.2">Formulas!$I$60:$I$61</definedName>
    <definedName name="dd701.4.3.3">Formulas!$K$60:$K$61</definedName>
    <definedName name="dd701.4.3.4">Formulas!$L$60:$L$62</definedName>
    <definedName name="dd701.4.4">Formulas!$M$60:$M$61</definedName>
    <definedName name="dd701.4.5">Formulas!$N$60:$N$62</definedName>
    <definedName name="dd702.2.1">Formulas!$O$60:$O$61</definedName>
    <definedName name="dd702.2.2">Formulas!$P$60:$P$63</definedName>
    <definedName name="dd703.1.1">Formulas!$A$71:$A$74</definedName>
    <definedName name="dd703.1.2">Formulas!$R$60:$R$61</definedName>
    <definedName name="dd703.1.3">Formulas!$B$71:$B$72</definedName>
    <definedName name="dd703.1.5">Formulas!$C$71:$C$75</definedName>
    <definedName name="dd703.1.6.1">Formulas!$S$60:$S$61</definedName>
    <definedName name="dd703.1.6.2">Formulas!$D$71:$D$73</definedName>
    <definedName name="dd703.2.2">Formulas!$F$71:$I$71</definedName>
    <definedName name="dd703.2.3">Formulas!$J$71:$J$74</definedName>
    <definedName name="dd703.2.4">Formulas!$K$71:$K$75</definedName>
    <definedName name="dd703.2.6">Formulas!$L$71:$L$75</definedName>
    <definedName name="dd703.3.4">Formulas!$M$71:$M$73</definedName>
    <definedName name="dd703.4.1">Formulas!$O$71:$S$71</definedName>
    <definedName name="dd703.4.5">Formulas!$T$71:$T$75</definedName>
    <definedName name="dd703.5.1">Formulas!$U$71:$U$72</definedName>
    <definedName name="dd704.2.1">Formulas!$T$60:$T$61</definedName>
    <definedName name="dd705.2_2">Formulas!$U$60:$U$61</definedName>
    <definedName name="dd705.3">Formulas!$V$60</definedName>
    <definedName name="dd801.1.1">Formulas!$A$87:$A$91</definedName>
    <definedName name="dd801.1.1_opt1">Formulas!$A$87</definedName>
    <definedName name="dd801.1.1_opt2">Formulas!$A$88</definedName>
    <definedName name="dd801.1.1_opt3">Formulas!$A$89</definedName>
    <definedName name="dd801.1.1_opt4">Formulas!$A$90</definedName>
    <definedName name="dd801.1.1_opt5">Formulas!$A$91</definedName>
    <definedName name="dd801.2_2">Formulas!$B$87:$B$88</definedName>
    <definedName name="dd801.3_1">Formulas!$C$87:$C$90</definedName>
    <definedName name="dd801.3_2">Formulas!$D$87:$D$88</definedName>
    <definedName name="dd801.3_3">Formulas!$E$87:$E$89</definedName>
    <definedName name="dd801.4.1_1">Formulas!$F$87:$F$89</definedName>
    <definedName name="dd801.4.2">Formulas!$G$87:$G$89</definedName>
    <definedName name="dd801.5_1">Formulas!$H$87:$H$88</definedName>
    <definedName name="dd801.5_2">Formulas!$I$87:$I$89</definedName>
    <definedName name="dd801.5_3a">Formulas!$J$87:$J$89</definedName>
    <definedName name="dd801.7.1">Formulas!$K$87:$K$91</definedName>
    <definedName name="dd801.7.2">Formulas!$L$87:$L$90</definedName>
    <definedName name="dd802.1">Formulas!$M$87:$M$91</definedName>
    <definedName name="dd802.2">Formulas!$N$87:$N$88</definedName>
    <definedName name="dd901.1.1">Formulas!$A$103:$A$104</definedName>
    <definedName name="dd901.1.3_1">Formulas!$B$103:$B$104</definedName>
    <definedName name="dd901.1.3_2">Formulas!$C$103:$C$104</definedName>
    <definedName name="dd901.1.4">Formulas!$D$103:$D$105</definedName>
    <definedName name="dd901.1.6">Formulas!$E$103:$E$104</definedName>
    <definedName name="dd901.10">Formulas!$V$103:$V$105</definedName>
    <definedName name="dd901.13">Formulas!$W$103:$W$104</definedName>
    <definedName name="dd901.2.1_1">Formulas!$F$103:$F$105</definedName>
    <definedName name="dd901.2.1_2">Formulas!$G$103:$G$105</definedName>
    <definedName name="dd901.2.1_3">Formulas!$H$103:$H$105</definedName>
    <definedName name="dd901.2.1_4">Formulas!$I$103:$I$105</definedName>
    <definedName name="dd901.2.1_5">Formulas!$J$103:$J$105</definedName>
    <definedName name="dd901.3_1_a">Formulas!$K$103:$K$105</definedName>
    <definedName name="dd901.3_1_b">Formulas!$L$103:$L$105</definedName>
    <definedName name="dd901.4_1">Formulas!$N$103:$N$105</definedName>
    <definedName name="dd901.4_2">Formulas!$O$103:$O$107</definedName>
    <definedName name="dd901.4_3">Formulas!$P$103:$P$107</definedName>
    <definedName name="dd901.4_4">Formulas!$Q$103:$Q$106</definedName>
    <definedName name="dd901.4_5">Formulas!$R$103:$R$105</definedName>
    <definedName name="dd901.4_6">Formulas!$S$103:$S$105</definedName>
    <definedName name="dd901.5">Formulas!$T$103:$T$105</definedName>
    <definedName name="dd901.6_1">Formulas!$U$103:$U$104</definedName>
    <definedName name="dd902.1.1_1">Formulas!$X$103:$X$105</definedName>
    <definedName name="dd902.1.1_2">Formulas!$Y$103:$Y$105</definedName>
    <definedName name="dd902.1.2">Formulas!$Z$103:$Z$106</definedName>
    <definedName name="dd902.1.4_1">Formulas!$AB$103:$AB$108</definedName>
    <definedName name="dd902.1.4_2">Formulas!$AC$103:$AC$106</definedName>
    <definedName name="dd902.2.1">Formulas!$AD$103:$AD$108</definedName>
    <definedName name="dd902.3">Formulas!$AF$103:$AF$105</definedName>
    <definedName name="dd902.3_1">Formulas!$AE$103:$AE$104</definedName>
    <definedName name="dd902.4">Formulas!$AG$103:$AG$104</definedName>
    <definedName name="dd902.6">Formulas!$AH$103:$AH$104</definedName>
    <definedName name="dd903.1">Formulas!$AI$103:$AI$104</definedName>
    <definedName name="dd903.2">Formulas!$AJ$103:$AJ$104</definedName>
    <definedName name="dd903.3">Formulas!$AK$103:$AK$104</definedName>
    <definedName name="ddAttachedGarage">Formulas!$J$5:$J$6</definedName>
    <definedName name="ddAtticType">Formulas!$H$5:$H$8</definedName>
    <definedName name="ddBatchProcessing">Formulas!$AA$5:$AA$6</definedName>
    <definedName name="ddClimateZone">Formulas!$Q$3:$X$3</definedName>
    <definedName name="ddCompostingToilet">Formulas!$O$5:$O$6</definedName>
    <definedName name="ddFoundationTypes">Formulas!$C$5:$C$12</definedName>
    <definedName name="ddHeatingFuel">Formulas!$E$5:$E$10</definedName>
    <definedName name="ddHVACSystems">Formulas!$D$5:$D$10</definedName>
    <definedName name="ddLandscapeTypes">Formulas!$A$33:$A$35</definedName>
    <definedName name="ddMassWalls">Formulas!$M$5:$M$6</definedName>
    <definedName name="ddMetNotMet">Formulas!$D$98:$D$99</definedName>
    <definedName name="ddPassiveSolar">Formulas!$L$5:$L$6</definedName>
    <definedName name="ddRecessedLighting">Formulas!$K$5:$K$6</definedName>
    <definedName name="ddRenewableEnergy">Formulas!$F$5:$F$10</definedName>
    <definedName name="ddSFBurningAppliance">Formulas!$I$5:$I$9</definedName>
    <definedName name="ddSingleorMulti">Formulas!$A$5:$A$6</definedName>
    <definedName name="ddTanklessWH">Formulas!$N$5:$N$6</definedName>
    <definedName name="ddTEInsulation">Formulas!$G$5:$G$13</definedName>
    <definedName name="dr1001.1">'Designer''s Report'!$E$705</definedName>
    <definedName name="dr1001.1_1">'Designer''s Report'!$E$706</definedName>
    <definedName name="dr1001.1_10">'Designer''s Report'!$E$715</definedName>
    <definedName name="dr1001.1_11">'Designer''s Report'!$E$716</definedName>
    <definedName name="dr1001.1_12">'Designer''s Report'!$E$717</definedName>
    <definedName name="dr1001.1_13">'Designer''s Report'!$E$718</definedName>
    <definedName name="dr1001.1_14">'Designer''s Report'!$E$719</definedName>
    <definedName name="dr1001.1_15">'Designer''s Report'!$E$720</definedName>
    <definedName name="dr1001.1_16">'Designer''s Report'!$E$721</definedName>
    <definedName name="dr1001.1_17">'Designer''s Report'!$E$722</definedName>
    <definedName name="dr1001.1_18">'Designer''s Report'!$E$723</definedName>
    <definedName name="dr1001.1_19">'Designer''s Report'!$E$724</definedName>
    <definedName name="dr1001.1_2">'Designer''s Report'!$E$707</definedName>
    <definedName name="dr1001.1_20">'Designer''s Report'!$E$725</definedName>
    <definedName name="dr1001.1_21">'Designer''s Report'!$E$726</definedName>
    <definedName name="dr1001.1_3">'Designer''s Report'!$E$708</definedName>
    <definedName name="dr1001.1_4">'Designer''s Report'!$E$709</definedName>
    <definedName name="dr1001.1_5">'Designer''s Report'!$E$710</definedName>
    <definedName name="dr1001.1_6">'Designer''s Report'!$E$711</definedName>
    <definedName name="dr1001.1_7">'Designer''s Report'!$E$712</definedName>
    <definedName name="dr1001.1_8">'Designer''s Report'!$E$713</definedName>
    <definedName name="dr1001.1_9">'Designer''s Report'!$E$714</definedName>
    <definedName name="dr1002.1">'Designer''s Report'!$E$728</definedName>
    <definedName name="dr1003.1">'Designer''s Report'!$E$731</definedName>
    <definedName name="dr1003.1_1">'Designer''s Report'!$E$732</definedName>
    <definedName name="dr1003.1_2">'Designer''s Report'!$E$733</definedName>
    <definedName name="dr1003.1_3">'Designer''s Report'!$E$734</definedName>
    <definedName name="dr1003.1_4">'Designer''s Report'!$E$735</definedName>
    <definedName name="dr1003.1_5">'Designer''s Report'!$E$736</definedName>
    <definedName name="dr1003.1_6">'Designer''s Report'!$E$737</definedName>
    <definedName name="dr1003.1_7">'Designer''s Report'!$E$738</definedName>
    <definedName name="dr1003.1_8">'Designer''s Report'!$E$739</definedName>
    <definedName name="dr1003.2">'Designer''s Report'!$E$740</definedName>
    <definedName name="dr1003.2_1">'Designer''s Report'!$E$741</definedName>
    <definedName name="dr1003.2_10">'Designer''s Report'!$E$750</definedName>
    <definedName name="dr1003.2_2">'Designer''s Report'!$E$742</definedName>
    <definedName name="dr1003.2_3">'Designer''s Report'!$E$743</definedName>
    <definedName name="dr1003.2_4">'Designer''s Report'!$E$744</definedName>
    <definedName name="dr1003.2_5">'Designer''s Report'!$E$745</definedName>
    <definedName name="dr1003.2_6">'Designer''s Report'!$E$746</definedName>
    <definedName name="dr1003.2_7">'Designer''s Report'!$E$747</definedName>
    <definedName name="dr1003.2_8">'Designer''s Report'!$E$748</definedName>
    <definedName name="dr1003.2_9">'Designer''s Report'!$E$749</definedName>
    <definedName name="dr1003.3">'Designer''s Report'!$E$751</definedName>
    <definedName name="dr1003.3_1">'Designer''s Report'!$E$752</definedName>
    <definedName name="dr1003.3_2">'Designer''s Report'!$E$753</definedName>
    <definedName name="dr1003.3_3">'Designer''s Report'!$E$754</definedName>
    <definedName name="dr1003.3_4">'Designer''s Report'!$E$755</definedName>
    <definedName name="dr1003.3_5">'Designer''s Report'!$E$756</definedName>
    <definedName name="dr1003.3_6">'Designer''s Report'!$E$757</definedName>
    <definedName name="dr1003.3_7">'Designer''s Report'!$E$758</definedName>
    <definedName name="dr1003.3_8">'Designer''s Report'!$E$759</definedName>
    <definedName name="dr1003.3_9">'Designer''s Report'!$E$760</definedName>
    <definedName name="dr501.1_1">'Designer''s Report'!$E$14</definedName>
    <definedName name="dr501.1_2">'Designer''s Report'!$E$15</definedName>
    <definedName name="dr501.1_3">'Designer''s Report'!$E$16</definedName>
    <definedName name="dr501.1_4">'Designer''s Report'!$E$17</definedName>
    <definedName name="dr501.1_5">'Designer''s Report'!$E$18</definedName>
    <definedName name="dr501.2_1">'Designer''s Report'!$E$20</definedName>
    <definedName name="dr501.2_2">'Designer''s Report'!$E$21</definedName>
    <definedName name="dr501.2_3">'Designer''s Report'!$E$22</definedName>
    <definedName name="dr501.2_4">'Designer''s Report'!$E$23</definedName>
    <definedName name="dr502.1">'Designer''s Report'!$E$25</definedName>
    <definedName name="dr503.1_1">'Designer''s Report'!$E$28</definedName>
    <definedName name="dr503.1_2">'Designer''s Report'!$E$29</definedName>
    <definedName name="dr503.1_3">'Designer''s Report'!$E$30</definedName>
    <definedName name="dr503.1_4">'Designer''s Report'!$E$31</definedName>
    <definedName name="dr503.1_5">'Designer''s Report'!$E$32</definedName>
    <definedName name="dr503.1_6">'Designer''s Report'!$E$33</definedName>
    <definedName name="dr503.1_7">'Designer''s Report'!$E$34</definedName>
    <definedName name="dr503.2_1">'Designer''s Report'!$E$36</definedName>
    <definedName name="dr503.2_2">'Designer''s Report'!$E$37</definedName>
    <definedName name="dr503.2_3a">'Designer''s Report'!$E$39</definedName>
    <definedName name="dr503.2_3b">'Designer''s Report'!$E$40</definedName>
    <definedName name="dr503.2_3c">'Designer''s Report'!$E$41</definedName>
    <definedName name="dr503.2_4">'Designer''s Report'!$E$42</definedName>
    <definedName name="dr503.2_5">'Designer''s Report'!$E$43</definedName>
    <definedName name="dr503.3_1">'Designer''s Report'!$E$45</definedName>
    <definedName name="dr503.3_2">'Designer''s Report'!$E$46</definedName>
    <definedName name="dr503.3_3">'Designer''s Report'!$E$47</definedName>
    <definedName name="dr503.4_1">'Designer''s Report'!$E$49</definedName>
    <definedName name="dr503.4_2">'Designer''s Report'!$E$50</definedName>
    <definedName name="dr503.4_3a">'Designer''s Report'!$E$52</definedName>
    <definedName name="dr503.4_3b">'Designer''s Report'!$E$53</definedName>
    <definedName name="dr503.4_3c">'Designer''s Report'!$E$54</definedName>
    <definedName name="dr503.4_4">'Designer''s Report'!$E$55</definedName>
    <definedName name="dr503.4_5">'Designer''s Report'!$E$56</definedName>
    <definedName name="dr503.4_6">'Designer''s Report'!$E$57</definedName>
    <definedName name="dr503.5_1">'Designer''s Report'!$E$59</definedName>
    <definedName name="dr503.5_2">'Designer''s Report'!$E$60</definedName>
    <definedName name="dr503.5_3a">'Designer''s Report'!$E$62</definedName>
    <definedName name="dr503.5_3b">'Designer''s Report'!$E$63</definedName>
    <definedName name="dr503.5_3c">'Designer''s Report'!$E$64</definedName>
    <definedName name="dr503.5_3d">'Designer''s Report'!$E$65</definedName>
    <definedName name="dr503.5_4">'Designer''s Report'!$E$66</definedName>
    <definedName name="dr503.5_5">'Designer''s Report'!$E$67</definedName>
    <definedName name="dr503.5_6">'Designer''s Report'!$E$68</definedName>
    <definedName name="dr503.5_7">'Designer''s Report'!$E$69</definedName>
    <definedName name="dr503.5_8">'Designer''s Report'!$E$70</definedName>
    <definedName name="dr503.5_type">'Designer''s Report'!$D$58</definedName>
    <definedName name="dr503.6_1">'Designer''s Report'!$E$72</definedName>
    <definedName name="dr503.6_2">'Designer''s Report'!$E$73</definedName>
    <definedName name="dr503.6_3">'Designer''s Report'!$E$74</definedName>
    <definedName name="dr503.6_4">'Designer''s Report'!$E$75</definedName>
    <definedName name="dr503.7_1">'Designer''s Report'!$E$77</definedName>
    <definedName name="dr503.7_2">'Designer''s Report'!$E$78</definedName>
    <definedName name="dr504.1">'Designer''s Report'!$E$80</definedName>
    <definedName name="dr504.2_1">'Designer''s Report'!$E$82</definedName>
    <definedName name="dr504.2_2">'Designer''s Report'!$E$83</definedName>
    <definedName name="dr504.2_3">'Designer''s Report'!$E$84</definedName>
    <definedName name="dr504.3_1">'Designer''s Report'!$E$86</definedName>
    <definedName name="dr504.3_2">'Designer''s Report'!$E$87</definedName>
    <definedName name="dr504.3_3">'Designer''s Report'!$E$88</definedName>
    <definedName name="dr504.3_4">'Designer''s Report'!$E$89</definedName>
    <definedName name="dr504.3_5">'Designer''s Report'!$E$90</definedName>
    <definedName name="dr504.3_6">'Designer''s Report'!$E$91</definedName>
    <definedName name="dr504.3_7">'Designer''s Report'!$E$92</definedName>
    <definedName name="dr504.3_8">'Designer''s Report'!$E$93</definedName>
    <definedName name="dr504.3_9">'Designer''s Report'!$E$94</definedName>
    <definedName name="dr505.1_1">'Designer''s Report'!$E$97</definedName>
    <definedName name="dr505.1_2">'Designer''s Report'!$E$98</definedName>
    <definedName name="dr505.1_3a">'Designer''s Report'!$E$100</definedName>
    <definedName name="dr505.1_3b">'Designer''s Report'!$E$101</definedName>
    <definedName name="dr505.1_3c">'Designer''s Report'!$E$102</definedName>
    <definedName name="dr505.2_1">'Designer''s Report'!$E$104</definedName>
    <definedName name="dr505.2_2">'Designer''s Report'!$E$105</definedName>
    <definedName name="dr505.3_1">'Designer''s Report'!$E$107</definedName>
    <definedName name="dr505.3_2">'Designer''s Report'!$E$108</definedName>
    <definedName name="dr505.3_3">'Designer''s Report'!$E$109</definedName>
    <definedName name="dr505.4">'Designer''s Report'!$E$110</definedName>
    <definedName name="dr505.5">'Designer''s Report'!$E$111</definedName>
    <definedName name="dr601.1_1">'Designer''s Report'!$E$116</definedName>
    <definedName name="dr601.1_2">'Designer''s Report'!$E$117</definedName>
    <definedName name="dr601.1_3">'Designer''s Report'!$E$118</definedName>
    <definedName name="dr601.1_4">'Designer''s Report'!$E$119</definedName>
    <definedName name="dr601.2_1">'Designer''s Report'!$E$122</definedName>
    <definedName name="dr601.2_2">'Designer''s Report'!$E$123</definedName>
    <definedName name="dr601.2_3">'Designer''s Report'!$E$124</definedName>
    <definedName name="dr601.3_1">'Designer''s Report'!$E$126</definedName>
    <definedName name="dr601.3_2">'Designer''s Report'!$E$127</definedName>
    <definedName name="dr601.3_3">'Designer''s Report'!$E$128</definedName>
    <definedName name="dr601.3_4">'Designer''s Report'!$E$129</definedName>
    <definedName name="dr601.3_5">'Designer''s Report'!$E$130</definedName>
    <definedName name="dr601.4">'Designer''s Report'!$E$131</definedName>
    <definedName name="dr601.5_1">'Designer''s Report'!$E$133</definedName>
    <definedName name="dr601.5_2">'Designer''s Report'!$E$134</definedName>
    <definedName name="dr601.5_3">'Designer''s Report'!$E$135</definedName>
    <definedName name="dr601.5_4">'Designer''s Report'!$E$136</definedName>
    <definedName name="dr601.5_5">'Designer''s Report'!$E$137</definedName>
    <definedName name="dr601.6_1">'Designer''s Report'!$E$139</definedName>
    <definedName name="dr601.6_2">'Designer''s Report'!$E$140</definedName>
    <definedName name="dr601.6_3">'Designer''s Report'!$E$141</definedName>
    <definedName name="dr601.7">'Designer''s Report'!$E$142</definedName>
    <definedName name="dr601.7_1">'Designer''s Report'!$E$143</definedName>
    <definedName name="dr601.7_2">'Designer''s Report'!$E$144</definedName>
    <definedName name="dr601.7_3">'Designer''s Report'!$E$145</definedName>
    <definedName name="dr601.8">'Designer''s Report'!$E$146</definedName>
    <definedName name="dr601.9">'Designer''s Report'!$E$147</definedName>
    <definedName name="dr602.1.1.1">'Designer''s Report'!$E$150</definedName>
    <definedName name="dr602.1.1.2">'Designer''s Report'!$E$151</definedName>
    <definedName name="dr602.1.10_1">'Designer''s Report'!$E$187</definedName>
    <definedName name="dr602.1.10_2">'Designer''s Report'!$E$188</definedName>
    <definedName name="dr602.1.10_3">'Designer''s Report'!$E$189</definedName>
    <definedName name="dr602.1.11">'Designer''s Report'!$E$190</definedName>
    <definedName name="dr602.1.12">'Designer''s Report'!$E$191</definedName>
    <definedName name="dr602.1.13">'Designer''s Report'!$E$192</definedName>
    <definedName name="dr602.1.14_1">'Designer''s Report'!$E$194</definedName>
    <definedName name="dr602.1.14_2">'Designer''s Report'!$E$195</definedName>
    <definedName name="dr602.1.14_3">'Designer''s Report'!$E$196</definedName>
    <definedName name="dr602.1.14_3_points">'Designer''s Report'!$E$197</definedName>
    <definedName name="dr602.1.2">'Designer''s Report'!$E$152</definedName>
    <definedName name="dr602.1.3.1">'Designer''s Report'!$E$154</definedName>
    <definedName name="dr602.1.3.2">'Designer''s Report'!$E$155</definedName>
    <definedName name="dr602.1.4.1_1">'Designer''s Report'!$E$158</definedName>
    <definedName name="dr602.1.4.1_2">'Designer''s Report'!$E$159</definedName>
    <definedName name="dr602.1.4.2_1">'Designer''s Report'!$E$161</definedName>
    <definedName name="dr602.1.4.2_2">'Designer''s Report'!$E$162</definedName>
    <definedName name="dr602.1.5">'Designer''s Report'!$E$163</definedName>
    <definedName name="dr602.1.6_1">'Designer''s Report'!$E$165</definedName>
    <definedName name="dr602.1.6_2">'Designer''s Report'!$E$166</definedName>
    <definedName name="dr602.1.6_3">'Designer''s Report'!$E$167</definedName>
    <definedName name="dr602.1.7.1_1">'Designer''s Report'!$E$170</definedName>
    <definedName name="dr602.1.7.1_2">'Designer''s Report'!$E$171</definedName>
    <definedName name="dr602.1.7.1_2_points">'Designer''s Report'!$E$172</definedName>
    <definedName name="dr602.1.7.1_3">'Designer''s Report'!$E$173</definedName>
    <definedName name="dr602.1.7.2">'Designer''s Report'!$E$174</definedName>
    <definedName name="dr602.1.8">'Designer''s Report'!$E$175</definedName>
    <definedName name="dr602.1.9_1">'Designer''s Report'!$E$177</definedName>
    <definedName name="dr602.1.9_2">'Designer''s Report'!$E$178</definedName>
    <definedName name="dr602.1.9_3">'Designer''s Report'!$E$179</definedName>
    <definedName name="dr602.1.9_4">'Designer''s Report'!$E$180</definedName>
    <definedName name="dr602.1.9_5a">'Designer''s Report'!$E$182</definedName>
    <definedName name="dr602.1.9_5b">'Designer''s Report'!$E$183</definedName>
    <definedName name="dr602.1.9_6">'Designer''s Report'!$E$184</definedName>
    <definedName name="dr602.1.9_7">'Designer''s Report'!$E$185</definedName>
    <definedName name="dr602.2_1">'Designer''s Report'!$E$199</definedName>
    <definedName name="dr602.2_2">'Designer''s Report'!$E$200</definedName>
    <definedName name="dr602.2_3">'Designer''s Report'!$E$201</definedName>
    <definedName name="dr602.3">'Designer''s Report'!$E$202</definedName>
    <definedName name="dr602.4.1">'Designer''s Report'!$E$203</definedName>
    <definedName name="dr602.4.2">'Designer''s Report'!$E$204</definedName>
    <definedName name="dr602.4.3">'Designer''s Report'!$E$205</definedName>
    <definedName name="dr603.1">'Designer''s Report'!$E$207</definedName>
    <definedName name="dr603.1_points">'Designer''s Report'!$E$208</definedName>
    <definedName name="dr603.2">'Designer''s Report'!$E$209</definedName>
    <definedName name="dr603.2_points">'Designer''s Report'!$E$210</definedName>
    <definedName name="dr603.3">'Designer''s Report'!$E$211</definedName>
    <definedName name="dr604.1.1_1">'Designer''s Report'!$E$214</definedName>
    <definedName name="dr604.1.1_2">'Designer''s Report'!$E$215</definedName>
    <definedName name="dr604.1.1_3">'Designer''s Report'!$E$216</definedName>
    <definedName name="dr604.1.2_1">'Designer''s Report'!$E$218</definedName>
    <definedName name="dr604.1.2_2">'Designer''s Report'!$E$219</definedName>
    <definedName name="dr604.1.2_3">'Designer''s Report'!$E$220</definedName>
    <definedName name="dr605.1">'Designer''s Report'!$E$222</definedName>
    <definedName name="dr605.2">'Designer''s Report'!$E$223</definedName>
    <definedName name="dr605.3_1">'Designer''s Report'!$E$225</definedName>
    <definedName name="dr605.3_2">'Designer''s Report'!$E$226</definedName>
    <definedName name="dr605.3_3">'Designer''s Report'!$E$227</definedName>
    <definedName name="dr605.3_4">'Designer''s Report'!$E$228</definedName>
    <definedName name="dr606.1">'Designer''s Report'!$E$230</definedName>
    <definedName name="dr606.1_1">'Designer''s Report'!$E$231</definedName>
    <definedName name="dr606.1_2">'Designer''s Report'!$E$232</definedName>
    <definedName name="dr606.1_3">'Designer''s Report'!$E$233</definedName>
    <definedName name="dr606.2_1">'Designer''s Report'!$E$235</definedName>
    <definedName name="dr606.2_2">'Designer''s Report'!$E$236</definedName>
    <definedName name="dr606.3_1">'Designer''s Report'!$E$238</definedName>
    <definedName name="dr606.3_2">'Designer''s Report'!$E$239</definedName>
    <definedName name="dr606.3_3">'Designer''s Report'!$E$240</definedName>
    <definedName name="dr607.1_1">'Designer''s Report'!$E$242</definedName>
    <definedName name="dr607.1_2">'Designer''s Report'!$E$243</definedName>
    <definedName name="dr607.2">'Designer''s Report'!$E$244</definedName>
    <definedName name="dr608.1">'Designer''s Report'!$F$247</definedName>
    <definedName name="dr608.1_1">'Designer''s Report'!$E$247</definedName>
    <definedName name="dr608.1_2">'Designer''s Report'!$E$248</definedName>
    <definedName name="dr608.1_3">'Designer''s Report'!$E$249</definedName>
    <definedName name="dr609.1_1">'Designer''s Report'!$E$252</definedName>
    <definedName name="dr609.1_2">'Designer''s Report'!$E$253</definedName>
    <definedName name="dr609.1_3">'Designer''s Report'!$E$254</definedName>
    <definedName name="dr609.1_4">'Designer''s Report'!$E$255</definedName>
    <definedName name="dr609.1_5">'Designer''s Report'!$E$256</definedName>
    <definedName name="dr610.1">'Designer''s Report'!$E$258</definedName>
    <definedName name="dr610.1.1">'Designer''s Report'!$E$259</definedName>
    <definedName name="dr610.1.2">'Designer''s Report'!$E$260</definedName>
    <definedName name="dr610.1.2_1">'Designer''s Report'!$E$261</definedName>
    <definedName name="dr610.1.2_1_a">'Designer''s Report'!$E$262</definedName>
    <definedName name="dr610.1.2_1_b">'Designer''s Report'!$E$263</definedName>
    <definedName name="dr610.1.2_2">'Designer''s Report'!$E$264</definedName>
    <definedName name="dr610.1.2_2_a">'Designer''s Report'!$E$265</definedName>
    <definedName name="dr610.1.2_2_b">'Designer''s Report'!$E$266</definedName>
    <definedName name="dr610.1.2_2_c">'Designer''s Report'!$E$267</definedName>
    <definedName name="dr610.1.2_2_d">'Designer''s Report'!$E$268</definedName>
    <definedName name="dr611.1_1">'Designer''s Report'!$E$271</definedName>
    <definedName name="dr611.1_10">'Designer''s Report'!$E$280</definedName>
    <definedName name="dr611.1_2">'Designer''s Report'!$E$272</definedName>
    <definedName name="dr611.1_3">'Designer''s Report'!$E$273</definedName>
    <definedName name="dr611.1_4">'Designer''s Report'!$E$274</definedName>
    <definedName name="dr611.1_5">'Designer''s Report'!$E$275</definedName>
    <definedName name="dr611.1_6">'Designer''s Report'!$E$276</definedName>
    <definedName name="dr611.1_7">'Designer''s Report'!$E$277</definedName>
    <definedName name="dr611.1_8">'Designer''s Report'!$E$278</definedName>
    <definedName name="dr611.1_9">'Designer''s Report'!$E$279</definedName>
    <definedName name="dr611.2">'Designer''s Report'!$E$281</definedName>
    <definedName name="dr611.2_1">'Designer''s Report'!$E$282</definedName>
    <definedName name="dr611.2_2">'Designer''s Report'!$E$283</definedName>
    <definedName name="dr611.2_3">'Designer''s Report'!$E$284</definedName>
    <definedName name="dr611.2_4">'Designer''s Report'!$E$285</definedName>
    <definedName name="dr611.2_5">'Designer''s Report'!$E$286</definedName>
    <definedName name="dr611.2_6">'Designer''s Report'!$E$287</definedName>
    <definedName name="dr611.2_7">'Designer''s Report'!$E$288</definedName>
    <definedName name="dr611.3">'Designer''s Report'!$E$289</definedName>
    <definedName name="dr611.3_1">'Designer''s Report'!$E$290</definedName>
    <definedName name="dr611.3_2">'Designer''s Report'!$E$291</definedName>
    <definedName name="dr611.3_3">'Designer''s Report'!$E$292</definedName>
    <definedName name="dr611.3_4">'Designer''s Report'!$E$293</definedName>
    <definedName name="dr701.1">'Designer''s Report'!$E$299</definedName>
    <definedName name="dr701.1.3">'Designer''s Report'!$E$300</definedName>
    <definedName name="dr701.3">'Designer''s Report'!$E$302</definedName>
    <definedName name="dr701.4.1.1">'Designer''s Report'!$E$305</definedName>
    <definedName name="dr701.4.1.2">'Designer''s Report'!$E$306</definedName>
    <definedName name="dr701.4.2.2">'Designer''s Report'!$E$309</definedName>
    <definedName name="dr701.4.2.3">'Designer''s Report'!$E$310</definedName>
    <definedName name="dr701.4.3.1">'Designer''s Report'!$E$312</definedName>
    <definedName name="dr701.4.3.2_1">'Designer''s Report'!$E$314</definedName>
    <definedName name="dr701.4.3.2_1_ach">'Designer''s Report'!$E$315</definedName>
    <definedName name="dr701.4.3.2_2">'Designer''s Report'!$E$316</definedName>
    <definedName name="dr701.4.3.3">'Designer''s Report'!$E$317</definedName>
    <definedName name="dr701.4.3.4">'Designer''s Report'!$E$318</definedName>
    <definedName name="dr701.4.4">'Designer''s Report'!$E$319</definedName>
    <definedName name="dr701.4.5">'Designer''s Report'!$E$320</definedName>
    <definedName name="dr702.2.1">'Designer''s Report'!$E$323</definedName>
    <definedName name="dr702.2.2_1">'Designer''s Report'!$E$325</definedName>
    <definedName name="dr702.2.2_2">'Designer''s Report'!$E$326</definedName>
    <definedName name="dr702.2.2_3">'Designer''s Report'!$E$327</definedName>
    <definedName name="dr702.2.2_4">'Designer''s Report'!$E$328</definedName>
    <definedName name="dr703.1.1_1">'Designer''s Report'!$E$332</definedName>
    <definedName name="dr703.1.1_2">'Designer''s Report'!$E$333</definedName>
    <definedName name="dr703.1.1_3">'Designer''s Report'!$E$334</definedName>
    <definedName name="dr703.1.1_4">'Designer''s Report'!$E$335</definedName>
    <definedName name="dr703.1.2_1">'Designer''s Report'!$E$337</definedName>
    <definedName name="dr703.1.2_2">'Designer''s Report'!$E$338</definedName>
    <definedName name="dr703.1.3_1">'Designer''s Report'!$E$340</definedName>
    <definedName name="dr703.1.3_2">'Designer''s Report'!$E$341</definedName>
    <definedName name="dr703.1.4">'Designer''s Report'!$E$342</definedName>
    <definedName name="dr703.1.5_1">'Designer''s Report'!$E$348</definedName>
    <definedName name="dr703.1.5_2">'Designer''s Report'!$E$347</definedName>
    <definedName name="dr703.1.5_3">'Designer''s Report'!$E$346</definedName>
    <definedName name="dr703.1.5_4">'Designer''s Report'!$E$345</definedName>
    <definedName name="dr703.1.5_5">'Designer''s Report'!$E$344</definedName>
    <definedName name="dr703.1.6.1">'Designer''s Report'!$E$350</definedName>
    <definedName name="dr703.1.6.2_a">'Designer''s Report'!$E$352</definedName>
    <definedName name="dr703.1.6.2_b">'Designer''s Report'!$E$353</definedName>
    <definedName name="dr703.1.6.2_c">'Designer''s Report'!$E$354</definedName>
    <definedName name="dr703.2.1">'Designer''s Report'!$E$356</definedName>
    <definedName name="dr703.2.2">'Designer''s Report'!$E$357</definedName>
    <definedName name="dr703.2.2_step1">'Designer''s Report'!$E$358</definedName>
    <definedName name="dr703.2.2_step2">'Designer''s Report'!$E$359</definedName>
    <definedName name="dr703.2.3_1">'Designer''s Report'!$E$361</definedName>
    <definedName name="dr703.2.3_2">'Designer''s Report'!$E$362</definedName>
    <definedName name="dr703.2.3_3">'Designer''s Report'!$E$363</definedName>
    <definedName name="dr703.2.3_4">'Designer''s Report'!$E$364</definedName>
    <definedName name="dr703.2.4_1">'Designer''s Report'!$E$366</definedName>
    <definedName name="dr703.2.4_2">'Designer''s Report'!$E$367</definedName>
    <definedName name="dr703.2.4_3">'Designer''s Report'!$E$368</definedName>
    <definedName name="dr703.2.4_4">'Designer''s Report'!$E$369</definedName>
    <definedName name="dr703.2.4_5">'Designer''s Report'!$E$370</definedName>
    <definedName name="dr703.2.5">'Designer''s Report'!$E$371</definedName>
    <definedName name="dr703.2.6_1">'Designer''s Report'!$E$373</definedName>
    <definedName name="dr703.2.6_2">'Designer''s Report'!$E$374</definedName>
    <definedName name="dr703.2.6_3">'Designer''s Report'!$E$375</definedName>
    <definedName name="dr703.2.6_4">'Designer''s Report'!$E$376</definedName>
    <definedName name="dr703.2.6_5">'Designer''s Report'!$E$377</definedName>
    <definedName name="dr703.2.7">'Designer''s Report'!$E$378</definedName>
    <definedName name="dr703.2.8">'Designer''s Report'!$E$379</definedName>
    <definedName name="dr703.2.9">'Designer''s Report'!$E$380</definedName>
    <definedName name="dr703.3.1">'Designer''s Report'!$E$382</definedName>
    <definedName name="dr703.3.2">'Designer''s Report'!$E$383</definedName>
    <definedName name="dr703.3.3">'Designer''s Report'!$E$384</definedName>
    <definedName name="dr703.3.4_1">'Designer''s Report'!$E$386</definedName>
    <definedName name="dr703.3.4_2">'Designer''s Report'!$E$387</definedName>
    <definedName name="dr703.3.4_3">'Designer''s Report'!$E$388</definedName>
    <definedName name="dr703.4.1">'Designer''s Report'!$E$390</definedName>
    <definedName name="dr703.4.1_step1">'Designer''s Report'!$E$391</definedName>
    <definedName name="dr703.4.1_step2">'Designer''s Report'!$E$392</definedName>
    <definedName name="dr703.4.3">'Designer''s Report'!$E$394</definedName>
    <definedName name="dr703.4.4">'Designer''s Report'!$E$395</definedName>
    <definedName name="dr703.4.5_1">'Designer''s Report'!$E$397</definedName>
    <definedName name="dr703.4.5_2">'Designer''s Report'!$E$398</definedName>
    <definedName name="dr703.4.5_3">'Designer''s Report'!$E$399</definedName>
    <definedName name="dr703.4.5_4">'Designer''s Report'!$E$400</definedName>
    <definedName name="dr703.4.5_5">'Designer''s Report'!$E$401</definedName>
    <definedName name="dr703.5.1_1a">'Designer''s Report'!$E$404</definedName>
    <definedName name="dr703.5.1_1b">'Designer''s Report'!$E$405</definedName>
    <definedName name="dr703.5.1_2">'Designer''s Report'!$E$406</definedName>
    <definedName name="dr703.5.2">'Designer''s Report'!$E$407</definedName>
    <definedName name="dr703.5.2_area">'Designer''s Report'!$E$409</definedName>
    <definedName name="dr703.5.2_lights">'Designer''s Report'!$E$408</definedName>
    <definedName name="dr703.5.3_1">'Designer''s Report'!$E$411</definedName>
    <definedName name="dr703.5.3_2">'Designer''s Report'!$E$412</definedName>
    <definedName name="dr703.5.3_3">'Designer''s Report'!$E$413</definedName>
    <definedName name="dr703.5.4">'Designer''s Report'!$E$414</definedName>
    <definedName name="dr703.6.1">'Designer''s Report'!$E$416</definedName>
    <definedName name="dr703.6.2">'Designer''s Report'!$E$417</definedName>
    <definedName name="dr703.6.3_1">'Designer''s Report'!$E$419</definedName>
    <definedName name="dr703.6.3_2">'Designer''s Report'!$E$420</definedName>
    <definedName name="dr703.6.3_3">'Designer''s Report'!$E$421</definedName>
    <definedName name="dr703.6.3_4">'Designer''s Report'!$E$422</definedName>
    <definedName name="dr703.6.3_5">'Designer''s Report'!$E$423</definedName>
    <definedName name="dr703.6.3_6">'Designer''s Report'!$E$424</definedName>
    <definedName name="dr703.6.4">'Designer''s Report'!$E$425</definedName>
    <definedName name="dr704.2.1_1">'Designer''s Report'!$E$429</definedName>
    <definedName name="dr704.2.1_2">'Designer''s Report'!$E$430</definedName>
    <definedName name="dr704.2.2">'Designer''s Report'!$E$431</definedName>
    <definedName name="dr704.2.3">'Designer''s Report'!$E$432</definedName>
    <definedName name="dr704.3">'Designer''s Report'!$E$433</definedName>
    <definedName name="dr704.4.1">'Designer''s Report'!$E$435</definedName>
    <definedName name="dr704.4.2">'Designer''s Report'!$E$436</definedName>
    <definedName name="dr704.4.3">'Designer''s Report'!$E$437</definedName>
    <definedName name="dr704.5.1">'Designer''s Report'!$E$439</definedName>
    <definedName name="dr704.5.2.1_1">'Designer''s Report'!$E$442</definedName>
    <definedName name="dr704.5.2.1_1_ach">'Designer''s Report'!$E$443</definedName>
    <definedName name="dr704.5.2.1_2">'Designer''s Report'!$E$444</definedName>
    <definedName name="dr704.5.2.2">'Designer''s Report'!$E$445</definedName>
    <definedName name="dr704.5.3">'Designer''s Report'!$E$446</definedName>
    <definedName name="dr705.1">'Designer''s Report'!$E$448</definedName>
    <definedName name="dr705.1_1">'Designer''s Report'!$E$449</definedName>
    <definedName name="dr705.1_2">'Designer''s Report'!$E$450</definedName>
    <definedName name="dr705.1_3">'Designer''s Report'!$E$451</definedName>
    <definedName name="dr705.2_1">'Designer''s Report'!$E$453</definedName>
    <definedName name="dr705.2_2a">'Designer''s Report'!$E$455</definedName>
    <definedName name="dr705.2_2b">'Designer''s Report'!$E$456</definedName>
    <definedName name="dr705.3">'Designer''s Report'!$E$457</definedName>
    <definedName name="dr705.3_1">'Designer''s Report'!$E$458</definedName>
    <definedName name="dr705.3_2">'Designer''s Report'!$E$459</definedName>
    <definedName name="dr705.3_3">'Designer''s Report'!$E$460</definedName>
    <definedName name="dr705.3_4">'Designer''s Report'!$E$461</definedName>
    <definedName name="dr705.3_5">'Designer''s Report'!$E$462</definedName>
    <definedName name="dr705.3_6">'Designer''s Report'!$E$463</definedName>
    <definedName name="dr705.3_7">'Designer''s Report'!$E$464</definedName>
    <definedName name="dr705.3_8">'Designer''s Report'!$E$465</definedName>
    <definedName name="dr705.4.1_1">'Designer''s Report'!$E$468</definedName>
    <definedName name="dr705.4.1_2">'Designer''s Report'!$E$469</definedName>
    <definedName name="dr705.4.2">'Designer''s Report'!$E$470</definedName>
    <definedName name="dr705.5">'Designer''s Report'!$E$471</definedName>
    <definedName name="dr705.5_area">'Designer''s Report'!$E$473</definedName>
    <definedName name="dr705.5_watts">'Designer''s Report'!$E$472</definedName>
    <definedName name="dr705.6">'Designer''s Report'!$E$474</definedName>
    <definedName name="dr801.1.1_1">'Designer''s Report'!$E$481</definedName>
    <definedName name="dr801.1.1_2">'Designer''s Report'!$E$482</definedName>
    <definedName name="dr801.1.1_3">'Designer''s Report'!$E$483</definedName>
    <definedName name="dr801.1.1_4">'Designer''s Report'!$E$484</definedName>
    <definedName name="dr801.1.1_4a">'Designer''s Report'!$E$485</definedName>
    <definedName name="dr801.1.1_5">'Designer''s Report'!$E$486</definedName>
    <definedName name="dr801.1.1_6">'Designer''s Report'!$E$487</definedName>
    <definedName name="dr801.2_1">'Designer''s Report'!$E$489</definedName>
    <definedName name="dr801.2_2a">'Designer''s Report'!$E$490</definedName>
    <definedName name="dr801.2_2b">'Designer''s Report'!$E$491</definedName>
    <definedName name="dr801.3_1a">'Designer''s Report'!$E$494</definedName>
    <definedName name="dr801.3_1b">'Designer''s Report'!$E$495</definedName>
    <definedName name="dr801.3_1c">'Designer''s Report'!$E$496</definedName>
    <definedName name="dr801.3_1d">'Designer''s Report'!$E$497</definedName>
    <definedName name="dr801.3_2a">'Designer''s Report'!$E$499</definedName>
    <definedName name="dr801.3_2b">'Designer''s Report'!$E$500</definedName>
    <definedName name="dr801.3_3a">'Designer''s Report'!$E$502</definedName>
    <definedName name="dr801.3_3b">'Designer''s Report'!$E$503</definedName>
    <definedName name="dr801.3_3c">'Designer''s Report'!$E$504</definedName>
    <definedName name="dr801.4.1_1a">'Designer''s Report'!$E$508</definedName>
    <definedName name="dr801.4.1_1b">'Designer''s Report'!$E$509</definedName>
    <definedName name="dr801.4.1_1c">'Designer''s Report'!$E$510</definedName>
    <definedName name="dr801.4.1_2">'Designer''s Report'!$E$511</definedName>
    <definedName name="dr801.4.2_1">'Designer''s Report'!$E$513</definedName>
    <definedName name="dr801.4.2_2">'Designer''s Report'!$E$514</definedName>
    <definedName name="dr801.4.2_3">'Designer''s Report'!$E$515</definedName>
    <definedName name="dr801.5_1">'Designer''s Report'!$E$517</definedName>
    <definedName name="dr801.5_2a">'Designer''s Report'!$E$519</definedName>
    <definedName name="dr801.5_2b">'Designer''s Report'!$E$520</definedName>
    <definedName name="dr801.5_2c">'Designer''s Report'!$E$521</definedName>
    <definedName name="dr801.5_3">'Designer''s Report'!$E$522</definedName>
    <definedName name="dr801.5_3a1">'Designer''s Report'!$E$524</definedName>
    <definedName name="dr801.5_3a2">'Designer''s Report'!$E$525</definedName>
    <definedName name="dr801.5_3a3">'Designer''s Report'!$E$526</definedName>
    <definedName name="dr801.5_3b">'Designer''s Report'!$E$527</definedName>
    <definedName name="dr801.5_3c">'Designer''s Report'!$E$528</definedName>
    <definedName name="dr801.6.1">'Designer''s Report'!$E$530</definedName>
    <definedName name="dr801.6.2_1">'Designer''s Report'!$E$531</definedName>
    <definedName name="dr801.6.2_2">'Designer''s Report'!$E$532</definedName>
    <definedName name="dr801.6.3">'Designer''s Report'!$E$533</definedName>
    <definedName name="dr801.6.4">'Designer''s Report'!$E$534</definedName>
    <definedName name="dr801.6.5_1">'Designer''s Report'!$E$536</definedName>
    <definedName name="dr801.6.5_3">'Designer''s Report'!$E$537</definedName>
    <definedName name="dr801.7.1_1">'Designer''s Report'!$E$539</definedName>
    <definedName name="dr801.7.1_2a">'Designer''s Report'!$E$541</definedName>
    <definedName name="dr801.7.1_2b">'Designer''s Report'!$E$542</definedName>
    <definedName name="dr801.7.1_2c">'Designer''s Report'!$E$543</definedName>
    <definedName name="dr801.7.1_2d">'Designer''s Report'!$E$544</definedName>
    <definedName name="dr801.7.2_1">'Designer''s Report'!$E$546</definedName>
    <definedName name="dr801.7.2_2">'Designer''s Report'!$E$547</definedName>
    <definedName name="dr801.7.2_3">'Designer''s Report'!$E$548</definedName>
    <definedName name="dr801.7.2_4">'Designer''s Report'!$E$549</definedName>
    <definedName name="dr801.8">'Designer''s Report'!$E$550</definedName>
    <definedName name="dr802.1_1">'Designer''s Report'!$E$553</definedName>
    <definedName name="dr802.1_2">'Designer''s Report'!$E$554</definedName>
    <definedName name="dr802.1_3">'Designer''s Report'!$E$555</definedName>
    <definedName name="dr802.1_4">'Designer''s Report'!$E$556</definedName>
    <definedName name="dr802.1_5">'Designer''s Report'!$E$557</definedName>
    <definedName name="dr802.2">'Designer''s Report'!$F$559</definedName>
    <definedName name="dr802.2_1">'Designer''s Report'!$E$559</definedName>
    <definedName name="dr802.2_2">'Designer''s Report'!$E$560</definedName>
    <definedName name="dr802.3">'Designer''s Report'!$E$561</definedName>
    <definedName name="dr802.4">'Designer''s Report'!$E$562</definedName>
    <definedName name="dr802.5">'Designer''s Report'!$E$563</definedName>
    <definedName name="dr901.1.2">'Designer''s Report'!$E$570</definedName>
    <definedName name="dr901.1.3_1_a">'Designer''s Report'!$E$572</definedName>
    <definedName name="dr901.1.3_1_b">'Designer''s Report'!$E$573</definedName>
    <definedName name="dr901.1.3_2_a">'Designer''s Report'!$E$574</definedName>
    <definedName name="dr901.1.4">'Designer''s Report'!$E$576</definedName>
    <definedName name="dr901.1.5">'Designer''s Report'!$E$577</definedName>
    <definedName name="dr901.1.6_1">'Designer''s Report'!$E$579</definedName>
    <definedName name="dr901.1.6_2">'Designer''s Report'!$E$580</definedName>
    <definedName name="dr901.10_1">'Designer''s Report'!$E$642</definedName>
    <definedName name="dr901.10_2">'Designer''s Report'!$E$643</definedName>
    <definedName name="dr901.10_3">'Designer''s Report'!$E$644</definedName>
    <definedName name="dr901.11">'Designer''s Report'!$E$645</definedName>
    <definedName name="dr901.12">'Designer''s Report'!$E$646</definedName>
    <definedName name="dr901.13_1">'Designer''s Report'!$E$648</definedName>
    <definedName name="dr901.13_2">'Designer''s Report'!$E$649</definedName>
    <definedName name="dr901.14">'Designer''s Report'!$E$652</definedName>
    <definedName name="dr901.2.2">'Designer''s Report'!$E$593</definedName>
    <definedName name="dr901.3_1_c">'Designer''s Report'!$E$599</definedName>
    <definedName name="dr901.3_2">'Designer''s Report'!$E$600</definedName>
    <definedName name="dr901.4_1">'Designer''s Report'!$E$601</definedName>
    <definedName name="dr901.4_2a">'Designer''s Report'!$E$604</definedName>
    <definedName name="dr901.4_2b">'Designer''s Report'!$E$605</definedName>
    <definedName name="dr901.4_2c">'Designer''s Report'!$E$606</definedName>
    <definedName name="dr901.4_2d">'Designer''s Report'!$E$607</definedName>
    <definedName name="dr901.4_2thru6">'Designer''s Report'!$E$602</definedName>
    <definedName name="dr901.4_3a">'Designer''s Report'!$E$609</definedName>
    <definedName name="dr901.4_3b">'Designer''s Report'!$E$610</definedName>
    <definedName name="dr901.4_3c">'Designer''s Report'!$E$611</definedName>
    <definedName name="dr901.4_3d">'Designer''s Report'!$E$612</definedName>
    <definedName name="dr901.4_4a">'Designer''s Report'!$E$614</definedName>
    <definedName name="dr901.4_4b">'Designer''s Report'!$E$615</definedName>
    <definedName name="dr901.4_4c">'Designer''s Report'!$E$616</definedName>
    <definedName name="dr901.4_4d">'Designer''s Report'!$E$617</definedName>
    <definedName name="dr901.4_5a">'Designer''s Report'!$E$619</definedName>
    <definedName name="dr901.4_5b">'Designer''s Report'!$E$620</definedName>
    <definedName name="dr901.4_5c">'Designer''s Report'!$E$621</definedName>
    <definedName name="dr901.4_5d">'Designer''s Report'!$E$622</definedName>
    <definedName name="dr901.4_6a">'Designer''s Report'!$E$624</definedName>
    <definedName name="dr901.4_6b">'Designer''s Report'!$E$625</definedName>
    <definedName name="dr901.4_6c">'Designer''s Report'!$E$626</definedName>
    <definedName name="dr901.4_6d">'Designer''s Report'!$E$627</definedName>
    <definedName name="dr901.6_1">'Designer''s Report'!$E$632</definedName>
    <definedName name="dr901.6_2_a">'Designer''s Report'!$E$633</definedName>
    <definedName name="dr901.6_2_b">'Designer''s Report'!$E$634</definedName>
    <definedName name="dr901.7">'Designer''s Report'!$E$635</definedName>
    <definedName name="dr901.8">'Designer''s Report'!$E$636</definedName>
    <definedName name="dr901.9.1">'Designer''s Report'!$E$638</definedName>
    <definedName name="dr901.9.2">'Designer''s Report'!$E$639</definedName>
    <definedName name="dr901.9.3">'Designer''s Report'!$E$640</definedName>
    <definedName name="dr902.1.1_2">'Designer''s Report'!$E$659</definedName>
    <definedName name="dr902.1.1_3">'Designer''s Report'!$E$660</definedName>
    <definedName name="dr902.1.2_1">'Designer''s Report'!$E$662</definedName>
    <definedName name="dr902.1.2_2">'Designer''s Report'!$E$663</definedName>
    <definedName name="dr902.1.2_3">'Designer''s Report'!$E$664</definedName>
    <definedName name="dr902.1.2_4">'Designer''s Report'!$E$665</definedName>
    <definedName name="dr902.1.3">'Designer''s Report'!$E$666</definedName>
    <definedName name="dr902.1.4_1">'Designer''s Report'!$E$668</definedName>
    <definedName name="dr902.1.4_2">'Designer''s Report'!$E$669</definedName>
    <definedName name="dr902.2.1">'Designer''s Report'!$E$671</definedName>
    <definedName name="dr902.2.1_1">'Designer''s Report'!$E$672</definedName>
    <definedName name="dr902.2.1_2">'Designer''s Report'!$E$673</definedName>
    <definedName name="dr902.2.1_3">'Designer''s Report'!$E$674</definedName>
    <definedName name="dr902.2.1_4">'Designer''s Report'!$E$675</definedName>
    <definedName name="dr902.2.2">'Designer''s Report'!$E$676</definedName>
    <definedName name="dr902.2.3">'Designer''s Report'!$E$677</definedName>
    <definedName name="dr902.3_1">'Designer''s Report'!$E$679</definedName>
    <definedName name="dr902.3_1_a">'Designer''s Report'!$E$680</definedName>
    <definedName name="dr902.3_1_b">'Designer''s Report'!$E$681</definedName>
    <definedName name="dr902.3_2_a">'Designer''s Report'!$E$683</definedName>
    <definedName name="dr902.4_1">'Designer''s Report'!$E$685</definedName>
    <definedName name="dr902.4_2">'Designer''s Report'!$E$686</definedName>
    <definedName name="dr902.5">'Designer''s Report'!$E$687</definedName>
    <definedName name="dr902.6">'Designer''s Report'!$E$688</definedName>
    <definedName name="dr903.1.1">'Designer''s Report'!$E$691</definedName>
    <definedName name="dr903.1.2">'Designer''s Report'!$E$692</definedName>
    <definedName name="dr903.2_1">'Designer''s Report'!$E$694</definedName>
    <definedName name="dr903.2_2">'Designer''s Report'!$E$695</definedName>
    <definedName name="dr903.3_1">'Designer''s Report'!$E$697</definedName>
    <definedName name="dr903.3_2">'Designer''s Report'!$E$698</definedName>
    <definedName name="dr904.1">'Designer''s Report'!$E$700</definedName>
    <definedName name="dr904.2">'Designer''s Report'!$E$701</definedName>
    <definedName name="drchoice901.1.1">'Designer''s Report'!$E$569</definedName>
    <definedName name="drchoice901.2.1_1">'Designer''s Report'!$E$583</definedName>
    <definedName name="drchoice901.2.1_2">'Designer''s Report'!$E$585</definedName>
    <definedName name="drchoice901.2.1_3">'Designer''s Report'!$E$587</definedName>
    <definedName name="drchoice901.2.1_4">'Designer''s Report'!$E$589</definedName>
    <definedName name="drchoice901.2.1_5">'Designer''s Report'!$E$591</definedName>
    <definedName name="drchoice901.3_1_a">'Designer''s Report'!$E$595</definedName>
    <definedName name="drchoice901.3_1_b">'Designer''s Report'!$E$597</definedName>
    <definedName name="drchoice901.5">'Designer''s Report'!$E$628</definedName>
    <definedName name="drchoice902.1.1_1">'Designer''s Report'!$E$657</definedName>
    <definedName name="drclaim901.1.1">'Designer''s Report'!$E$568</definedName>
    <definedName name="drclaim901.2.1_1">'Designer''s Report'!$E$584</definedName>
    <definedName name="drclaim901.2.1_2">'Designer''s Report'!$E$586</definedName>
    <definedName name="drclaim901.2.1_3">'Designer''s Report'!$E$588</definedName>
    <definedName name="drclaim901.2.1_4">'Designer''s Report'!$E$590</definedName>
    <definedName name="drclaim901.2.1_5">'Designer''s Report'!$E$592</definedName>
    <definedName name="drclaim901.3_1_a">'Designer''s Report'!$E$596</definedName>
    <definedName name="drclaim901.3_1_b">'Designer''s Report'!$E$598</definedName>
    <definedName name="drclaim901.5_1">'Designer''s Report'!$E$629</definedName>
    <definedName name="drclaim901.5_2">'Designer''s Report'!$E$630</definedName>
    <definedName name="drclaim902.1.1_1">'Designer''s Report'!$E$658</definedName>
    <definedName name="drclaim902.1.4">'Designer''s Report'!$E$667</definedName>
    <definedName name="Eight">Formulas!$X$5</definedName>
    <definedName name="Electric">Formulas!$Q$72</definedName>
    <definedName name="emeraldMinimum">Formulas!$E$136</definedName>
    <definedName name="energypath">Formulas!$A$160</definedName>
    <definedName name="enter610.1.2_1_4meas">'Ch6'!$P$176</definedName>
    <definedName name="enter610.1.2_1_5meas">'Ch6'!$P$177</definedName>
    <definedName name="enter610.1.2_2_floors">'Ch6'!$P$192</definedName>
    <definedName name="enter610.1.2_2_interior">'Ch6'!$P$189</definedName>
    <definedName name="enter610.1.2_2_roof">'Ch6'!$P$186</definedName>
    <definedName name="enter610.1.2_2_walls">'Ch6'!$P$183</definedName>
    <definedName name="enter705.5">'Ch7'!$P$317</definedName>
    <definedName name="enter802_1_1">'Ch8'!$M$81</definedName>
    <definedName name="enterRecessedLights">'Ch7'!$P$234</definedName>
    <definedName name="ExpectedLevel">'Final Signature'!$J$45</definedName>
    <definedName name="figure6_1">Figures!$A$3</definedName>
    <definedName name="figure6_2">Figures!$A$46</definedName>
    <definedName name="figure6_3">Figures!$A$92</definedName>
    <definedName name="figure9_1">Figures!$A$130</definedName>
    <definedName name="FinalBDate">'Final Signature'!$I$36</definedName>
    <definedName name="FinalEndTime">'Final Signature'!$J$48</definedName>
    <definedName name="finalLevelReached">Formulas!$A$139</definedName>
    <definedName name="FinalStartTime">'Final Signature'!$J$47</definedName>
    <definedName name="FinalVDate">'Final Signature'!$J$49</definedName>
    <definedName name="Five">Formulas!$U$5:$U$6</definedName>
    <definedName name="foundation1">Formulas!$C$5</definedName>
    <definedName name="foundation2">Formulas!$C$6</definedName>
    <definedName name="foundation3">Formulas!$C$7</definedName>
    <definedName name="foundation4">Formulas!$C$8</definedName>
    <definedName name="foundation5">Formulas!$C$9</definedName>
    <definedName name="foundation6">Formulas!$C$10</definedName>
    <definedName name="foundation7">Formulas!$C$11</definedName>
    <definedName name="foundation8">Formulas!$C$12</definedName>
    <definedName name="foundation9">Formulas!$C$13</definedName>
    <definedName name="Four">Formulas!$T$5:$T$7</definedName>
    <definedName name="Furnace">Formulas!$D$5:$D$12</definedName>
    <definedName name="gap1001.1">'Ch10'!$S$9</definedName>
    <definedName name="gap1002.1">'Ch10'!$S$34</definedName>
    <definedName name="gap1003.1">'Ch10'!$S$37</definedName>
    <definedName name="gap1003.2">'Ch10'!$S$48</definedName>
    <definedName name="gap1003.3">'Ch10'!$S$61</definedName>
    <definedName name="gap501.1_1">'Ch5'!$S$11</definedName>
    <definedName name="gap501.1_2">'Ch5'!$S$12</definedName>
    <definedName name="gap501.1_3">'Ch5'!$S$13</definedName>
    <definedName name="gap501.1_4">'Ch5'!$S$14</definedName>
    <definedName name="gap501.1_5">'Ch5'!$S$15</definedName>
    <definedName name="gap501.2_2">'Ch5'!$S$18</definedName>
    <definedName name="gap501.2_3">'Ch5'!$S$19</definedName>
    <definedName name="gap501.2_4">'Ch5'!$S$21</definedName>
    <definedName name="gap502.1">'Ch5'!$S$23</definedName>
    <definedName name="gap503.1_1">'Ch5'!$S$28</definedName>
    <definedName name="gap503.1_2">'Ch5'!$S$29</definedName>
    <definedName name="gap503.1_3">'Ch5'!$S$30</definedName>
    <definedName name="gap503.1_4">'Ch5'!$S$31</definedName>
    <definedName name="gap503.1_5">'Ch5'!$S$32</definedName>
    <definedName name="gap503.1_6">'Ch5'!$S$33</definedName>
    <definedName name="gap503.1_7">'Ch5'!$S$34</definedName>
    <definedName name="gap503.2_1">'Ch5'!$S$36</definedName>
    <definedName name="gap503.2_2">'Ch5'!$S$37</definedName>
    <definedName name="gap503.2_3">'Ch5'!$S$38</definedName>
    <definedName name="gap503.2_4">'Ch5'!$S$40</definedName>
    <definedName name="gap503.2_5">'Ch5'!$S$41</definedName>
    <definedName name="gap503.3_1">'Ch5'!$S$44</definedName>
    <definedName name="gap503.3_2">'Ch5'!$S$45</definedName>
    <definedName name="gap503.3_3">'Ch5'!$S$47</definedName>
    <definedName name="gap503.4_1">'Ch5'!$S$50</definedName>
    <definedName name="gap503.4_3">'Ch5'!$S$52</definedName>
    <definedName name="gap503.4_4">'Ch5'!$S$54</definedName>
    <definedName name="gap503.4_5">'Ch5'!$S$55</definedName>
    <definedName name="gap503.4_6">'Ch5'!$S$56</definedName>
    <definedName name="gap503.5_1">'Ch5'!$S$58</definedName>
    <definedName name="gap503.5_2">'Ch5'!$S$60</definedName>
    <definedName name="gap503.5_3">'Ch5'!$S$62</definedName>
    <definedName name="gap503.5_4">'Ch5'!$S$68</definedName>
    <definedName name="gap503.5_5">'Ch5'!$S$70</definedName>
    <definedName name="gap503.5_6">'Ch5'!$S$72</definedName>
    <definedName name="gap503.5_7">'Ch5'!$S$74</definedName>
    <definedName name="gap503.5_8">'Ch5'!$S$75</definedName>
    <definedName name="gap503.6_1">'Ch5'!$S$78</definedName>
    <definedName name="gap503.6_2">'Ch5'!$S$79</definedName>
    <definedName name="gap503.6_3">'Ch5'!$S$80</definedName>
    <definedName name="gap503.6_4">'Ch5'!$S$81</definedName>
    <definedName name="gap503.7_1">'Ch5'!$S$83</definedName>
    <definedName name="gap503.7_2">'Ch5'!$S$84</definedName>
    <definedName name="gap504.1">'Ch5'!$S$87</definedName>
    <definedName name="gap504.2_1">'Ch5'!$S$90</definedName>
    <definedName name="gap504.2_2">'Ch5'!$S$91</definedName>
    <definedName name="gap504.2_3">'Ch5'!$S$92</definedName>
    <definedName name="gap504.3_1">'Ch5'!$S$94</definedName>
    <definedName name="gap504.3_2">'Ch5'!$S$95</definedName>
    <definedName name="gap504.3_3">'Ch5'!$S$96</definedName>
    <definedName name="gap504.3_4">'Ch5'!$S$97</definedName>
    <definedName name="gap504.3_5">'Ch5'!$S$98</definedName>
    <definedName name="gap504.3_6">'Ch5'!$S$99</definedName>
    <definedName name="gap504.3_7">'Ch5'!$S$100</definedName>
    <definedName name="gap504.3_8">'Ch5'!$S$101</definedName>
    <definedName name="gap504.3_9">'Ch5'!$S$103</definedName>
    <definedName name="gap505.1_1">'Ch5'!$S$107</definedName>
    <definedName name="gap505.1_2">'Ch5'!$S$108</definedName>
    <definedName name="gap505.1_3">'Ch5'!$S$110</definedName>
    <definedName name="gap505.2_1">'Ch5'!$S$113</definedName>
    <definedName name="gap505.2_2">'Ch5'!$S$115</definedName>
    <definedName name="gap505.3">'Ch5'!$S$117</definedName>
    <definedName name="gap505.4">'Ch5'!$S$122</definedName>
    <definedName name="gap505.5">'Ch5'!$S$123</definedName>
    <definedName name="gap601.1">'Ch6'!$T$9</definedName>
    <definedName name="gap601.2_1">'Ch6'!$T$16</definedName>
    <definedName name="gap601.2_2">'Ch6'!$T$17</definedName>
    <definedName name="gap601.2_3">'Ch6'!$T$18</definedName>
    <definedName name="gap601.3_1">'Ch6'!$T$20</definedName>
    <definedName name="gap601.3_2">'Ch6'!$T$21</definedName>
    <definedName name="gap601.3_3">'Ch6'!$T$22</definedName>
    <definedName name="gap601.3_4">'Ch6'!$T$23</definedName>
    <definedName name="gap601.3_5">'Ch6'!$T$24</definedName>
    <definedName name="gap601.4">'Ch6'!$T$25</definedName>
    <definedName name="gap601.5_1thru3">'Ch6'!$T$28</definedName>
    <definedName name="gap601.5_4">'Ch6'!$T$31</definedName>
    <definedName name="gap601.5_5">'Ch6'!$T$32</definedName>
    <definedName name="gap601.6">'Ch6'!$T$33</definedName>
    <definedName name="gap601.7">'Ch6'!$T$38</definedName>
    <definedName name="gap601.8">'Ch6'!$T$42</definedName>
    <definedName name="gap601.9">'Ch6'!$T$44</definedName>
    <definedName name="gap602.1.1.1">'Ch6'!$T$50</definedName>
    <definedName name="gap602.1.1.2">'Ch6'!$T$51</definedName>
    <definedName name="gap602.1.10">'Ch6'!$T$95</definedName>
    <definedName name="gap602.1.11">'Ch6'!$T$99</definedName>
    <definedName name="gap602.1.12">'Ch6'!$T$100</definedName>
    <definedName name="gap602.1.14">'Ch6'!$T$109</definedName>
    <definedName name="gap602.1.15_1">'Ch6'!$T$111</definedName>
    <definedName name="gap602.1.15_2">'Ch6'!$T$112</definedName>
    <definedName name="gap602.1.15_3">'Ch6'!$T$113</definedName>
    <definedName name="gap602.1.2">'Ch6'!$T$52</definedName>
    <definedName name="gap602.1.3.1">'Ch6'!$T$55</definedName>
    <definedName name="gap602.1.3.2">'Ch6'!$T$56</definedName>
    <definedName name="gap602.1.4.1_1">'Ch6'!$T$59</definedName>
    <definedName name="gap602.1.4.1_2">'Ch6'!$T$60</definedName>
    <definedName name="gap602.1.4.2">'Ch6'!$T$63</definedName>
    <definedName name="gap602.1.5">'Ch6'!$T$66</definedName>
    <definedName name="gap602.1.6">'Ch6'!$T$71</definedName>
    <definedName name="gap602.1.7.1_2">'Ch6'!$T$78</definedName>
    <definedName name="gap602.1.7.1_3">'Ch6'!$T$80</definedName>
    <definedName name="gap602.1.7.2">'Ch6'!$T$81</definedName>
    <definedName name="gap602.1.8">'Ch6'!$T$82</definedName>
    <definedName name="gap602.1.9_1">'Ch6'!$T$85</definedName>
    <definedName name="gap602.1.9_2">'Ch6'!$T$86</definedName>
    <definedName name="gap602.1.9_3">'Ch6'!$T$87</definedName>
    <definedName name="gap602.1.9_4">'Ch6'!$T$88</definedName>
    <definedName name="gap602.1.9_5">'Ch6'!$T$89</definedName>
    <definedName name="gap602.1.9_6">'Ch6'!$T$92</definedName>
    <definedName name="gap602.1.9_7">'Ch6'!$T$93</definedName>
    <definedName name="gap602.2">'Ch6'!$T$115</definedName>
    <definedName name="gap602.3">'Ch6'!$T$117</definedName>
    <definedName name="gap602.4.1">'Ch6'!$T$119</definedName>
    <definedName name="gap602.4.2">'Ch6'!$T$120</definedName>
    <definedName name="gap602.4.3">'Ch6'!$T$121</definedName>
    <definedName name="gap603.1">'Ch6'!$T$124</definedName>
    <definedName name="gap603.2">'Ch6'!$T$132</definedName>
    <definedName name="gap603.3">'Ch6'!$T$134</definedName>
    <definedName name="gap604.1.1">'Ch6'!$T$137</definedName>
    <definedName name="gap604.1.2">'Ch6'!$T$139</definedName>
    <definedName name="gap605.1">'Ch6'!$T$143</definedName>
    <definedName name="gap605.2">'Ch6'!$T$144</definedName>
    <definedName name="gap605.3">'Ch6'!$T$145</definedName>
    <definedName name="gap606.1">'Ch6'!$T$149</definedName>
    <definedName name="gap606.2_1">'Ch6'!$T$156</definedName>
    <definedName name="gap606.2_2">'Ch6'!$T$157</definedName>
    <definedName name="gap606.3">'Ch6'!$T$158</definedName>
    <definedName name="gap607.1_1">'Ch6'!$T$162</definedName>
    <definedName name="gap607.1_2">'Ch6'!$T$163</definedName>
    <definedName name="gap607.2">'Ch6'!$T$164</definedName>
    <definedName name="gap608.1">'Ch6'!$T$166</definedName>
    <definedName name="gap609.1">'Ch6'!$T$169</definedName>
    <definedName name="gap610.1.1">'Ch6'!$T$173</definedName>
    <definedName name="gap610.1.2_1">'Ch6'!$T$176</definedName>
    <definedName name="gap610.1.2_2">'Ch6'!$T$181</definedName>
    <definedName name="gap611.1">'Ch6'!$T$196</definedName>
    <definedName name="gap611.2_1">'Ch6'!$T$199</definedName>
    <definedName name="gap611.2_2">'Ch6'!$T$200</definedName>
    <definedName name="gap611.2_3">'Ch6'!$T$201</definedName>
    <definedName name="gap611.2_4">'Ch6'!$T$202</definedName>
    <definedName name="gap611.2_5">'Ch6'!$T$203</definedName>
    <definedName name="gap611.2_6">'Ch6'!$T$204</definedName>
    <definedName name="gap611.2_7">'Ch6'!$T$205</definedName>
    <definedName name="gap611.3_1">'Ch6'!$T$207</definedName>
    <definedName name="gap611.3_2">'Ch6'!$T$208</definedName>
    <definedName name="gap611.3_3">'Ch6'!$T$209</definedName>
    <definedName name="gap611.3_4">'Ch6'!$T$210</definedName>
    <definedName name="gap701.1.3">'Ch7'!$T$10</definedName>
    <definedName name="gap701.3">'Ch7'!$T$16</definedName>
    <definedName name="gap701.4.1.1">'Ch7'!$T$20</definedName>
    <definedName name="gap701.4.1.2">'Ch7'!$T$21</definedName>
    <definedName name="gap701.4.2.1">'Ch7'!$T$23</definedName>
    <definedName name="gap701.4.2.2">'Ch7'!$T$24</definedName>
    <definedName name="gap701.4.2.3">'Ch7'!$T$25</definedName>
    <definedName name="gap701.4.3.1">'Ch7'!$T$27</definedName>
    <definedName name="gap701.4.3.2_1">'Ch7'!$T$41</definedName>
    <definedName name="gap701.4.3.2_2">'Ch7'!$T$43</definedName>
    <definedName name="gap701.4.3.3">'Ch7'!$T$61</definedName>
    <definedName name="gap701.4.3.4">'Ch7'!$T$62</definedName>
    <definedName name="gap701.4.4">'Ch7'!$T$63</definedName>
    <definedName name="gap701.4.5">'Ch7'!$T$64</definedName>
    <definedName name="gap702.2.1">'Ch7'!$T$69</definedName>
    <definedName name="gap702.2.2">'Ch7'!$T$70</definedName>
    <definedName name="gap703.1.1">'Ch7'!$T$75</definedName>
    <definedName name="gap703.1.2">'Ch7'!$T$88</definedName>
    <definedName name="gap703.1.3">'Ch7'!$T$91</definedName>
    <definedName name="gap703.1.4">'Ch7'!$T$97</definedName>
    <definedName name="gap703.1.5">'Ch7'!$T$99</definedName>
    <definedName name="gap703.1.6.1">'Ch7'!$T$107</definedName>
    <definedName name="gap703.1.6.2">'Ch7'!$T$113</definedName>
    <definedName name="gap703.2.1">'Ch7'!$T$127</definedName>
    <definedName name="gap703.2.2">'Ch7'!$T$130</definedName>
    <definedName name="gap703.2.3">'Ch7'!$T$151</definedName>
    <definedName name="gap703.2.4">'Ch7'!$T$158</definedName>
    <definedName name="gap703.2.5">'Ch7'!$T$164</definedName>
    <definedName name="gap703.2.6">'Ch7'!$T$166</definedName>
    <definedName name="gap703.2.7">'Ch7'!$T$173</definedName>
    <definedName name="gap703.2.8">'Ch7'!$T$175</definedName>
    <definedName name="gap703.2.9">'Ch7'!$T$178</definedName>
    <definedName name="gap703.3.1">'Ch7'!$T$181</definedName>
    <definedName name="gap703.3.2">'Ch7'!$T$184</definedName>
    <definedName name="gap703.3.3">'Ch7'!$T$187</definedName>
    <definedName name="gap703.3.4">'Ch7'!$T$189</definedName>
    <definedName name="gap703.4.1">'Ch7'!$T$197</definedName>
    <definedName name="gap703.4.2">'Ch7'!$T$212</definedName>
    <definedName name="gap703.4.3">'Ch7'!$T$214</definedName>
    <definedName name="gap703.4.4">'Ch7'!$T$216</definedName>
    <definedName name="gap703.4.5">'Ch7'!$T$218</definedName>
    <definedName name="gap703.5.1">'Ch7'!$T$226</definedName>
    <definedName name="gap703.5.2">'Ch7'!$T$234</definedName>
    <definedName name="gap703.5.3_1">'Ch7'!$T$237</definedName>
    <definedName name="gap703.5.3_2">'Ch7'!$T$238</definedName>
    <definedName name="gap703.5.3_3">'Ch7'!$T$239</definedName>
    <definedName name="gap703.5.4">'Ch7'!$T$241</definedName>
    <definedName name="gap703.6.1">'Ch7'!$T$243</definedName>
    <definedName name="gap703.6.2">'Ch7'!$T$246</definedName>
    <definedName name="gap703.6.3">'Ch7'!$T$248</definedName>
    <definedName name="gap703.6.4">'Ch7'!$T$256</definedName>
    <definedName name="gap704.2.1">'Ch7'!$T$265</definedName>
    <definedName name="gap704.2.2">'Ch7'!$T$267</definedName>
    <definedName name="gap704.2.3">'Ch7'!$T$268</definedName>
    <definedName name="gap704.3">'Ch7'!$T$269</definedName>
    <definedName name="gap704.4.1">'Ch7'!$T$271</definedName>
    <definedName name="gap704.4.2">'Ch7'!$T$272</definedName>
    <definedName name="gap704.4.3">'Ch7'!$T$273</definedName>
    <definedName name="gap704.5.1">'Ch7'!$T$275</definedName>
    <definedName name="gap704.5.2.1">'Ch7'!$T$278</definedName>
    <definedName name="gap704.5.2.2">'Ch7'!$T$282</definedName>
    <definedName name="gap704.5.3">'Ch7'!$T$284</definedName>
    <definedName name="gap705.1">'Ch7'!$T$293</definedName>
    <definedName name="gap705.2">'Ch7'!$T$298</definedName>
    <definedName name="gap705.3">'Ch7'!$T$302</definedName>
    <definedName name="gap705.4.1">'Ch7'!$T$312</definedName>
    <definedName name="gap705.4.2">'Ch7'!$T$315</definedName>
    <definedName name="gap705.5">'Ch7'!$T$316</definedName>
    <definedName name="gap705.6">'Ch7'!$T$318</definedName>
    <definedName name="gap705.7">'Ch7'!$T$319</definedName>
    <definedName name="gap801.1.1">'Ch8'!$S$12</definedName>
    <definedName name="gap801.1.1_1thru4a">'Ch8'!$S$12</definedName>
    <definedName name="gap801.1.1_5">'Ch8'!$S$18</definedName>
    <definedName name="gap801.1.1_6">'Ch8'!$S$20</definedName>
    <definedName name="gap801.2_1">'Ch8'!$S$23</definedName>
    <definedName name="gap801.2_2">'Ch8'!$S$24</definedName>
    <definedName name="gap801.3_1">'Ch8'!$S$27</definedName>
    <definedName name="gap801.3_2">'Ch8'!$S$29</definedName>
    <definedName name="gap801.3_3">'Ch8'!$S$31</definedName>
    <definedName name="gap801.4.1_1">'Ch8'!$S$35</definedName>
    <definedName name="gap801.4.1_2">'Ch8'!$S$37</definedName>
    <definedName name="gap801.4.2">'Ch8'!$S$39</definedName>
    <definedName name="gap801.5_1">'Ch8'!$S$42</definedName>
    <definedName name="gap801.5_2">'Ch8'!$S$43</definedName>
    <definedName name="gap801.5_3">'Ch8'!$S$45</definedName>
    <definedName name="gap801.5_3a">'Ch8'!$S$47</definedName>
    <definedName name="gap801.5_3b">'Ch8'!$S$50</definedName>
    <definedName name="gap801.5_3c">'Ch8'!$S$52</definedName>
    <definedName name="gap801.6.1">'Ch8'!$S$55</definedName>
    <definedName name="gap801.6.2">'Ch8'!$S$56</definedName>
    <definedName name="gap801.6.3">'Ch8'!$S$59</definedName>
    <definedName name="gap801.6.4">'Ch8'!$S$60</definedName>
    <definedName name="gap801.6.5">'Ch8'!$S$63</definedName>
    <definedName name="gap801.7.1">'Ch8'!$S$67</definedName>
    <definedName name="gap801.7.2">'Ch8'!$S$74</definedName>
    <definedName name="gap801.8">'Ch8'!$S$78</definedName>
    <definedName name="gap802.1">'Ch8'!$S$80</definedName>
    <definedName name="gap802.2">'Ch8'!$S$84</definedName>
    <definedName name="gap802.3">'Ch8'!$S$87</definedName>
    <definedName name="gap802.4">'Ch8'!$S$88</definedName>
    <definedName name="gap802.5">'Ch8'!$S$89</definedName>
    <definedName name="gap901.1.1">'Ch9'!$S$10</definedName>
    <definedName name="gap901.1.2">'Ch9'!$S$12</definedName>
    <definedName name="gap901.1.3_1">'Ch9'!$S$14</definedName>
    <definedName name="gap901.1.3_2">'Ch9'!$S$16</definedName>
    <definedName name="gap901.1.4">'Ch9'!$S$18</definedName>
    <definedName name="gap901.1.5">'Ch9'!$S$19</definedName>
    <definedName name="gap901.1.6">'Ch9'!$S$20</definedName>
    <definedName name="gap901.10">'Ch9'!$S$97</definedName>
    <definedName name="gap901.11">'Ch9'!$S$101</definedName>
    <definedName name="gap901.12">'Ch9'!$S$103</definedName>
    <definedName name="gap901.13">'Ch9'!$S$104</definedName>
    <definedName name="gap901.14">'Ch9'!$S$107</definedName>
    <definedName name="gap901.2.1_1">'Ch9'!$S$24</definedName>
    <definedName name="gap901.2.1_2">'Ch9'!$S$26</definedName>
    <definedName name="gap901.2.1_3">'Ch9'!$S$28</definedName>
    <definedName name="gap901.2.1_4">'Ch9'!$S$30</definedName>
    <definedName name="gap901.2.1_5">'Ch9'!$S$32</definedName>
    <definedName name="gap901.2.2">'Ch9'!$S$34</definedName>
    <definedName name="gap901.3_1_a">'Ch9'!$S$38</definedName>
    <definedName name="gap901.3_1_b">'Ch9'!$S$40</definedName>
    <definedName name="gap901.3_1_c">'Ch9'!$S$42</definedName>
    <definedName name="gap901.3_2">'Ch9'!$S$45</definedName>
    <definedName name="gap901.4_1">'Ch9'!$S$47</definedName>
    <definedName name="gap901.4_2thru6">'Ch9'!$S$49</definedName>
    <definedName name="gap901.5">'Ch9'!$S$69</definedName>
    <definedName name="gap901.6_1">'Ch9'!$S$74</definedName>
    <definedName name="gap901.6_2">'Ch9'!$S$77</definedName>
    <definedName name="gap901.7">'Ch9'!$S$79</definedName>
    <definedName name="gap901.8">'Ch9'!$S$81</definedName>
    <definedName name="gap901.9">'Ch9'!$S$84</definedName>
    <definedName name="gap902.1.1_1">'Ch9'!$S$115</definedName>
    <definedName name="gap902.1.1_2">'Ch9'!$S$117</definedName>
    <definedName name="gap902.1.1_3">'Ch9'!$S$118</definedName>
    <definedName name="gap902.1.2">'Ch9'!$S$119</definedName>
    <definedName name="gap902.1.3">'Ch9'!$S$121</definedName>
    <definedName name="gap902.2.1">'Ch9'!$S$128</definedName>
    <definedName name="gap902.2.2">'Ch9'!$S$133</definedName>
    <definedName name="gap902.2.3">'Ch9'!$S$135</definedName>
    <definedName name="gap902.3_2">'Ch9'!$S$143</definedName>
    <definedName name="gap902.4">'Ch9'!$S$147</definedName>
    <definedName name="gap902.5">'Ch9'!$S$149</definedName>
    <definedName name="gap902.6">'Ch9'!$S$150</definedName>
    <definedName name="gap903.1.1">'Ch9'!$S$154</definedName>
    <definedName name="gap903.1.2">'Ch9'!$S$155</definedName>
    <definedName name="gap903.2_1">'Ch9'!$S$157</definedName>
    <definedName name="gap903.2_2">'Ch9'!$S$158</definedName>
    <definedName name="gap903.3">'Ch9'!$S$161</definedName>
    <definedName name="gap904.1">'Ch9'!$S$166</definedName>
    <definedName name="gap904.2">'Ch9'!$S$167</definedName>
    <definedName name="GasBoiler">Formulas!$H$72:$H$75</definedName>
    <definedName name="GasHeaters">Formulas!$F$72:$F$76</definedName>
    <definedName name="GasTableA">Formulas!$O$72:$O$73</definedName>
    <definedName name="GasTableB">Formulas!$P$72</definedName>
    <definedName name="goldMinimum">Formulas!$D$136</definedName>
    <definedName name="HeatPump">Formulas!$S$72:$S$74</definedName>
    <definedName name="HERS">'Verification Rpt'!$K$7</definedName>
    <definedName name="HEToilets">Formulas!$F$148</definedName>
    <definedName name="HVAC">Formulas!$F$71:$I$71</definedName>
    <definedName name="levelStatement">Formulas!$A$136</definedName>
    <definedName name="link602.1.12">'Ch6'!$F$101</definedName>
    <definedName name="link602.1.5">'Ch6'!$F$67</definedName>
    <definedName name="link602.1.6">'Ch6'!$F$70</definedName>
    <definedName name="link703.1.1">'Ch7'!$F$85</definedName>
    <definedName name="link703.1.2">'Ch7'!$F$89</definedName>
    <definedName name="link703.6.1">'Ch7'!$F$244</definedName>
    <definedName name="link703.6.4">'Ch7'!$F$257</definedName>
    <definedName name="link901.10">'Ch9'!$E$98</definedName>
    <definedName name="link901.11">'Ch9'!$E$102</definedName>
    <definedName name="link901.3">'Ch9'!$E$43</definedName>
    <definedName name="link901.5">'Ch9'!$E$72</definedName>
    <definedName name="link901.6">'Ch9'!$E$76</definedName>
    <definedName name="link901.7">'Ch9'!$E$80</definedName>
    <definedName name="link901.8">'Ch9'!$E$82</definedName>
    <definedName name="link901.9.1">'Ch9'!$E$85</definedName>
    <definedName name="link901.9.3">'Ch9'!$E$94</definedName>
    <definedName name="link902.2.1">'Ch9'!$E$127</definedName>
    <definedName name="link902.3">'Ch9'!$E$138</definedName>
    <definedName name="link903.3">'Ch9'!$E$160</definedName>
    <definedName name="LotNo">'Verification Rpt'!$F$5</definedName>
    <definedName name="mandatoryStatus">Formulas!$F$147</definedName>
    <definedName name="note1001.1_1">'Ch10'!$P$12</definedName>
    <definedName name="note1001.1_10">'Ch10'!$P$21</definedName>
    <definedName name="note1001.1_11">'Ch10'!$P$22</definedName>
    <definedName name="note1001.1_12">'Ch10'!$P$23</definedName>
    <definedName name="note1001.1_13">'Ch10'!$P$24</definedName>
    <definedName name="note1001.1_14">'Ch10'!$P$25</definedName>
    <definedName name="note1001.1_15">'Ch10'!$P$26</definedName>
    <definedName name="note1001.1_16">'Ch10'!$P$27</definedName>
    <definedName name="note1001.1_17">'Ch10'!$P$28</definedName>
    <definedName name="note1001.1_18">'Ch10'!$P$29</definedName>
    <definedName name="note1001.1_19">'Ch10'!$P$30</definedName>
    <definedName name="note1001.1_2">'Ch10'!$P$13</definedName>
    <definedName name="note1001.1_20">'Ch10'!$P$31</definedName>
    <definedName name="note1001.1_21">'Ch10'!$P$32</definedName>
    <definedName name="note1001.1_3">'Ch10'!$P$14</definedName>
    <definedName name="note1001.1_4">'Ch10'!$P$15</definedName>
    <definedName name="note1001.1_5">'Ch10'!$P$16</definedName>
    <definedName name="note1001.1_6">'Ch10'!$P$17</definedName>
    <definedName name="note1001.1_7">'Ch10'!$P$18</definedName>
    <definedName name="note1001.1_8">'Ch10'!$P$19</definedName>
    <definedName name="note1001.1_9">'Ch10'!$P$20</definedName>
    <definedName name="note1002.1">'Ch10'!$P$34</definedName>
    <definedName name="note1003.1_1">'Ch10'!$P$40</definedName>
    <definedName name="note1003.1_2">'Ch10'!$P$41</definedName>
    <definedName name="note1003.1_3">'Ch10'!$P$42</definedName>
    <definedName name="note1003.1_4">'Ch10'!$P$43</definedName>
    <definedName name="note1003.1_5">'Ch10'!$P$44</definedName>
    <definedName name="note1003.1_6">'Ch10'!$P$45</definedName>
    <definedName name="note1003.1_7">'Ch10'!$P$46</definedName>
    <definedName name="note1003.1_8">'Ch10'!$P$47</definedName>
    <definedName name="note1003.2_1">'Ch10'!$P$51</definedName>
    <definedName name="note1003.2_10">'Ch10'!$P$60</definedName>
    <definedName name="note1003.2_2">'Ch10'!$P$52</definedName>
    <definedName name="note1003.2_3">'Ch10'!$P$53</definedName>
    <definedName name="note1003.2_4">'Ch10'!$P$54</definedName>
    <definedName name="note1003.2_5">'Ch10'!$P$55</definedName>
    <definedName name="note1003.2_6">'Ch10'!$P$56</definedName>
    <definedName name="note1003.2_7">'Ch10'!$P$57</definedName>
    <definedName name="note1003.2_8">'Ch10'!$P$58</definedName>
    <definedName name="note1003.2_9">'Ch10'!$P$59</definedName>
    <definedName name="note1003.3_1">'Ch10'!$P$64</definedName>
    <definedName name="note1003.3_2">'Ch10'!$P$65</definedName>
    <definedName name="note1003.3_3">'Ch10'!$P$66</definedName>
    <definedName name="note1003.3_4">'Ch10'!$P$67</definedName>
    <definedName name="note1003.3_5">'Ch10'!$P$68</definedName>
    <definedName name="note1003.3_6">'Ch10'!$P$69</definedName>
    <definedName name="note1003.3_7">'Ch10'!$P$70</definedName>
    <definedName name="note1003.3_8">'Ch10'!$P$71</definedName>
    <definedName name="note1003.3_9">'Ch10'!$P$72</definedName>
    <definedName name="note501.1_1">'Ch5'!$P$11</definedName>
    <definedName name="note501.1_2">'Ch5'!$P$12</definedName>
    <definedName name="note501.1_3">'Ch5'!$P$13</definedName>
    <definedName name="note501.1_4">'Ch5'!$P$14</definedName>
    <definedName name="note501.1_5">'Ch5'!$P$15</definedName>
    <definedName name="note501.2_1">'Ch5'!$P$17</definedName>
    <definedName name="note501.2_2">'Ch5'!$P$18</definedName>
    <definedName name="note501.2_3">'Ch5'!$P$19</definedName>
    <definedName name="note501.2_4">'Ch5'!$P$21</definedName>
    <definedName name="note502.1">'Ch5'!$P$23</definedName>
    <definedName name="note503.1_1">'Ch5'!$P$28</definedName>
    <definedName name="note503.1_2">'Ch5'!$P$29</definedName>
    <definedName name="note503.1_3">'Ch5'!$P$30</definedName>
    <definedName name="note503.1_4">'Ch5'!$P$31</definedName>
    <definedName name="note503.1_5">'Ch5'!$P$32</definedName>
    <definedName name="note503.1_6">'Ch5'!$P$33</definedName>
    <definedName name="note503.1_7">'Ch5'!$P$34</definedName>
    <definedName name="note503.2_1">'Ch5'!$P$36</definedName>
    <definedName name="note503.2_2">'Ch5'!$P$37</definedName>
    <definedName name="note503.2_3">'Ch5'!$P$38</definedName>
    <definedName name="note503.2_4">'Ch5'!$P$40</definedName>
    <definedName name="note503.2_5">'Ch5'!$P$41</definedName>
    <definedName name="note503.3_1">'Ch5'!$P$44</definedName>
    <definedName name="note503.3_2">'Ch5'!$P$45</definedName>
    <definedName name="note503.3_3">'Ch5'!$P$47</definedName>
    <definedName name="note503.4_1">'Ch5'!$P$50</definedName>
    <definedName name="note503.4_2">'Ch5'!$P$51</definedName>
    <definedName name="note503.4_3">'Ch5'!$P$52</definedName>
    <definedName name="note503.4_4">'Ch5'!$P$54</definedName>
    <definedName name="note503.4_5">'Ch5'!$P$55</definedName>
    <definedName name="note503.4_6">'Ch5'!$P$56</definedName>
    <definedName name="note503.5_1">'Ch5'!$P$58</definedName>
    <definedName name="note503.5_2">'Ch5'!$P$60</definedName>
    <definedName name="note503.5_3">'Ch5'!$P$62</definedName>
    <definedName name="note503.5_4">'Ch5'!$P$68</definedName>
    <definedName name="note503.5_5">'Ch5'!$P$70</definedName>
    <definedName name="note503.5_6">'Ch5'!$P$72</definedName>
    <definedName name="note503.5_7">'Ch5'!$P$74</definedName>
    <definedName name="note503.5_8">'Ch5'!$P$75</definedName>
    <definedName name="note503.6_1">'Ch5'!$P$78</definedName>
    <definedName name="note503.6_2">'Ch5'!$P$79</definedName>
    <definedName name="note503.6_3">'Ch5'!$P$80</definedName>
    <definedName name="note503.6_4">'Ch5'!$P$81</definedName>
    <definedName name="note503.7_1">'Ch5'!$P$83</definedName>
    <definedName name="note503.7_2">'Ch5'!$P$84</definedName>
    <definedName name="note504.1">'Ch5'!$P$87</definedName>
    <definedName name="note504.2_1">'Ch5'!$P$90</definedName>
    <definedName name="note504.2_2">'Ch5'!$P$91</definedName>
    <definedName name="note504.2_3">'Ch5'!$P$92</definedName>
    <definedName name="note504.3_1">'Ch5'!$P$94</definedName>
    <definedName name="note504.3_2">'Ch5'!$P$95</definedName>
    <definedName name="note504.3_3">'Ch5'!$P$96</definedName>
    <definedName name="note504.3_4">'Ch5'!$P$97</definedName>
    <definedName name="note504.3_5">'Ch5'!$P$98</definedName>
    <definedName name="note504.3_6">'Ch5'!$P$99</definedName>
    <definedName name="note504.3_7">'Ch5'!$P$100</definedName>
    <definedName name="note504.3_8">'Ch5'!$P$101</definedName>
    <definedName name="note504.3_9">'Ch5'!$P$103</definedName>
    <definedName name="note505.1_1">'Ch5'!$P$107</definedName>
    <definedName name="note505.1_2">'Ch5'!$P$108</definedName>
    <definedName name="note505.1_3">'Ch5'!$P$110</definedName>
    <definedName name="note505.2_1">'Ch5'!$P$113</definedName>
    <definedName name="note505.2_2">'Ch5'!$P$115</definedName>
    <definedName name="note505.3">'Ch5'!$P$117</definedName>
    <definedName name="note505.4">'Ch5'!$P$122</definedName>
    <definedName name="note505.5">'Ch5'!$P$123</definedName>
    <definedName name="note601.1">'Ch6'!$Q$9</definedName>
    <definedName name="note601.2_1">'Ch6'!$Q$16</definedName>
    <definedName name="note601.2_2">'Ch6'!$Q$17</definedName>
    <definedName name="note601.2_3">'Ch6'!$Q$18</definedName>
    <definedName name="note601.3_1">'Ch6'!$Q$20</definedName>
    <definedName name="note601.3_2">'Ch6'!$Q$21</definedName>
    <definedName name="note601.3_3">'Ch6'!$Q$22</definedName>
    <definedName name="note601.3_4">'Ch6'!$Q$23</definedName>
    <definedName name="note601.3_5">'Ch6'!$Q$24</definedName>
    <definedName name="note601.4">'Ch6'!$Q$25</definedName>
    <definedName name="note601.5_1">'Ch6'!$Q$28</definedName>
    <definedName name="note601.5_2">'Ch6'!$Q$29</definedName>
    <definedName name="note601.5_3">'Ch6'!$Q$30</definedName>
    <definedName name="note601.5_4">'Ch6'!$Q$31</definedName>
    <definedName name="note601.5_5">'Ch6'!$Q$32</definedName>
    <definedName name="note601.6">'Ch6'!$Q$33</definedName>
    <definedName name="note601.7">'Ch6'!$Q$38</definedName>
    <definedName name="note601.8">'Ch6'!$Q$42</definedName>
    <definedName name="note601.9">'Ch6'!$Q$44</definedName>
    <definedName name="note602.1.1.1">'Ch6'!$Q$50</definedName>
    <definedName name="note602.1.1.2">'Ch6'!$Q$51</definedName>
    <definedName name="note602.1.10">'Ch6'!$Q$95</definedName>
    <definedName name="note602.1.11">'Ch6'!$Q$99</definedName>
    <definedName name="note602.1.12">'Ch6'!$Q$100</definedName>
    <definedName name="note602.1.13">'Ch6'!$Q$109</definedName>
    <definedName name="note602.1.14_1">'Ch6'!$Q$111</definedName>
    <definedName name="note602.1.14_2">'Ch6'!$Q$112</definedName>
    <definedName name="note602.1.14_3">'Ch6'!$Q$113</definedName>
    <definedName name="note602.1.2">'Ch6'!$Q$52</definedName>
    <definedName name="note602.1.3.1">'Ch6'!$Q$55</definedName>
    <definedName name="note602.1.3.2">'Ch6'!$Q$56</definedName>
    <definedName name="note602.1.4.1_1">'Ch6'!$Q$59</definedName>
    <definedName name="note602.1.4.1_2">'Ch6'!$Q$60</definedName>
    <definedName name="note602.1.4.2_1">'Ch6'!$Q$63</definedName>
    <definedName name="note602.1.4.2_2">'Ch6'!$Q$64</definedName>
    <definedName name="note602.1.5">'Ch6'!$Q$66</definedName>
    <definedName name="note602.1.6">'Ch6'!$Q$71</definedName>
    <definedName name="note602.1.7.1_1">'Ch6'!$Q$77</definedName>
    <definedName name="note602.1.7.1_2">'Ch6'!$Q$78</definedName>
    <definedName name="note602.1.7.1_3">'Ch6'!$Q$80</definedName>
    <definedName name="note602.1.7.2">'Ch6'!$Q$81</definedName>
    <definedName name="note602.1.8">'Ch6'!$Q$82</definedName>
    <definedName name="note602.1.9_1">'Ch6'!$Q$85</definedName>
    <definedName name="note602.1.9_2">'Ch6'!$Q$86</definedName>
    <definedName name="note602.1.9_3">'Ch6'!$Q$87</definedName>
    <definedName name="note602.1.9_4">'Ch6'!$Q$88</definedName>
    <definedName name="note602.1.9_5">'Ch6'!$Q$89</definedName>
    <definedName name="note602.1.9_6">'Ch6'!$Q$92</definedName>
    <definedName name="note602.1.9_7">'Ch6'!$Q$93</definedName>
    <definedName name="note602.2">'Ch6'!$Q$115</definedName>
    <definedName name="note602.3">'Ch6'!$Q$117</definedName>
    <definedName name="note602.4.1">'Ch6'!$Q$119</definedName>
    <definedName name="note602.4.2">'Ch6'!$Q$120</definedName>
    <definedName name="note602.4.3">'Ch6'!$Q$121</definedName>
    <definedName name="note603.1">'Ch6'!$Q$124</definedName>
    <definedName name="note603.2">'Ch6'!$Q$132</definedName>
    <definedName name="note603.3">'Ch6'!$Q$134</definedName>
    <definedName name="note604.1.1">'Ch6'!$Q$137</definedName>
    <definedName name="note604.1.2">'Ch6'!$Q$139</definedName>
    <definedName name="note605.1">'Ch6'!$Q$143</definedName>
    <definedName name="note605.2">'Ch6'!$Q$144</definedName>
    <definedName name="note605.3">'Ch6'!$Q$145</definedName>
    <definedName name="note606.1">'Ch6'!$Q$149</definedName>
    <definedName name="note606.2">'Ch6'!$Q$156</definedName>
    <definedName name="note606.3">'Ch6'!$Q$158</definedName>
    <definedName name="note607.1_1">'Ch6'!$Q$162</definedName>
    <definedName name="note607.1_2">'Ch6'!$Q$163</definedName>
    <definedName name="note607.2">'Ch6'!$Q$164</definedName>
    <definedName name="note608.1">'Ch6'!$Q$166</definedName>
    <definedName name="note609.1">'Ch6'!$Q$169</definedName>
    <definedName name="note610.1">'Ch6'!$Q$172</definedName>
    <definedName name="note610.1.1">'Ch6'!$Q$173</definedName>
    <definedName name="note610.1.2_1">'Ch6'!$Q$174</definedName>
    <definedName name="note610.1.2_2">'Ch6'!$Q$181</definedName>
    <definedName name="note611.1">'Ch6'!$Q$196</definedName>
    <definedName name="note611.2_1">'Ch6'!$Q$199</definedName>
    <definedName name="note611.2_2">'Ch6'!$Q$200</definedName>
    <definedName name="note611.2_3">'Ch6'!$Q$201</definedName>
    <definedName name="note611.2_4">'Ch6'!$Q$202</definedName>
    <definedName name="note611.2_5">'Ch6'!$Q$203</definedName>
    <definedName name="note611.2_6">'Ch6'!$Q$204</definedName>
    <definedName name="note611.2_7">'Ch6'!$Q$205</definedName>
    <definedName name="note611.3_1">'Ch6'!$Q$207</definedName>
    <definedName name="note611.3_2">'Ch6'!$Q$208</definedName>
    <definedName name="note611.3_3">'Ch6'!$Q$209</definedName>
    <definedName name="note611.3_4">'Ch6'!$Q$210</definedName>
    <definedName name="note701.1">'Ch7'!$T$9</definedName>
    <definedName name="note701.1.1">'Ch7'!$Q$10</definedName>
    <definedName name="note701.1.2">'Ch7'!$Q$11</definedName>
    <definedName name="note701.1.3">'Ch7'!$Q$12</definedName>
    <definedName name="note701.2">'Ch7'!$T$14</definedName>
    <definedName name="note701.3">'Ch7'!$Q$16</definedName>
    <definedName name="note701.4.1.1">'Ch7'!$Q$20</definedName>
    <definedName name="note701.4.1.2">'Ch7'!$Q$21</definedName>
    <definedName name="note701.4.2.1">'Ch7'!$Q$23</definedName>
    <definedName name="note701.4.2.2">'Ch7'!$Q$24</definedName>
    <definedName name="note701.4.2.3">'Ch7'!$Q$25</definedName>
    <definedName name="note701.4.3.1">'Ch7'!$Q$27</definedName>
    <definedName name="note701.4.3.2_1">'Ch7'!$Q$41</definedName>
    <definedName name="note701.4.3.2_2">'Ch7'!$Q$43</definedName>
    <definedName name="note701.4.3.3">'Ch7'!$Q$61</definedName>
    <definedName name="note701.4.3.4">'Ch7'!$Q$62</definedName>
    <definedName name="note701.4.4">'Ch7'!$Q$63</definedName>
    <definedName name="note701.4.5">'Ch7'!$Q$64</definedName>
    <definedName name="note702.2.1">'Ch7'!$Q$69</definedName>
    <definedName name="note702.2.2">'Ch7'!$Q$70</definedName>
    <definedName name="note703.1.1">'Ch7'!$Q$75</definedName>
    <definedName name="note703.1.2">'Ch7'!$Q$88</definedName>
    <definedName name="note703.1.3">'Ch7'!$Q$91</definedName>
    <definedName name="note703.1.4">'Ch7'!$Q$97</definedName>
    <definedName name="note703.1.5">'Ch7'!$Q$99</definedName>
    <definedName name="note703.1.6.1">'Ch7'!$Q$107</definedName>
    <definedName name="note703.1.6.2">'Ch7'!$Q$113</definedName>
    <definedName name="note703.2.1">'Ch7'!$Q$127</definedName>
    <definedName name="note703.2.2">'Ch7'!$Q$130</definedName>
    <definedName name="note703.2.3">'Ch7'!$Q$151</definedName>
    <definedName name="note703.2.4">'Ch7'!$Q$158</definedName>
    <definedName name="note703.2.5">'Ch7'!$Q$164</definedName>
    <definedName name="note703.2.6">'Ch7'!$Q$166</definedName>
    <definedName name="note703.2.7">'Ch7'!$Q$173</definedName>
    <definedName name="note703.2.8">'Ch7'!$Q$175</definedName>
    <definedName name="note703.2.9">'Ch7'!$Q$178</definedName>
    <definedName name="note703.3.1">'Ch7'!$Q$181</definedName>
    <definedName name="note703.3.2">'Ch7'!$Q$184</definedName>
    <definedName name="note703.3.3">'Ch7'!$Q$187</definedName>
    <definedName name="note703.3.4">'Ch7'!$Q$189</definedName>
    <definedName name="note703.4.1">'Ch7'!$Q$197</definedName>
    <definedName name="note703.4.2">'Ch7'!$Q$212</definedName>
    <definedName name="note703.4.3">'Ch7'!$Q$214</definedName>
    <definedName name="note703.4.4">'Ch7'!$Q$216</definedName>
    <definedName name="note703.4.5">'Ch7'!$Q$218</definedName>
    <definedName name="note703.5.1">'Ch7'!$Q$226</definedName>
    <definedName name="note703.5.1_2">'Ch7'!$Q$233</definedName>
    <definedName name="note703.5.2">'Ch7'!$Q$234</definedName>
    <definedName name="note703.5.3_1">'Ch7'!$Q$237</definedName>
    <definedName name="note703.5.3_2">'Ch7'!$Q$238</definedName>
    <definedName name="note703.5.3_3">'Ch7'!$Q$239</definedName>
    <definedName name="note703.5.4">'Ch7'!$Q$241</definedName>
    <definedName name="note703.6.1">'Ch7'!$Q$243</definedName>
    <definedName name="note703.6.2">'Ch7'!$Q$246</definedName>
    <definedName name="note703.6.3">'Ch7'!$Q$248</definedName>
    <definedName name="note703.6.4">'Ch7'!$Q$256</definedName>
    <definedName name="note704.2.1">'Ch7'!$Q$265</definedName>
    <definedName name="note704.2.2">'Ch7'!$Q$267</definedName>
    <definedName name="note704.2.3">'Ch7'!$Q$268</definedName>
    <definedName name="note704.3">'Ch7'!$Q$269</definedName>
    <definedName name="note704.4.1">'Ch7'!$Q$271</definedName>
    <definedName name="note704.4.2">'Ch7'!$Q$272</definedName>
    <definedName name="note704.4.3">'Ch7'!$Q$273</definedName>
    <definedName name="note704.5.1">'Ch7'!$Q$275</definedName>
    <definedName name="note704.5.2.1_1">'Ch7'!$Q$278</definedName>
    <definedName name="note704.5.2.1_2">'Ch7'!$Q$280</definedName>
    <definedName name="note704.5.2.2">'Ch7'!$Q$282</definedName>
    <definedName name="note704.5.3">'Ch7'!$Q$284</definedName>
    <definedName name="note705.1">'Ch7'!$Q$293</definedName>
    <definedName name="note705.2_1">'Ch7'!$Q$298</definedName>
    <definedName name="note705.2_2">'Ch7'!$Q$299</definedName>
    <definedName name="note705.3">'Ch7'!$Q$302</definedName>
    <definedName name="note705.4.1">'Ch7'!$Q$312</definedName>
    <definedName name="note705.4.2">'Ch7'!$Q$315</definedName>
    <definedName name="note705.5">'Ch7'!$Q$316</definedName>
    <definedName name="note705.6">'Ch7'!$Q$318</definedName>
    <definedName name="note705.7">'Ch7'!$Q$319</definedName>
    <definedName name="note801.1.1_1thru4a">'Ch8'!$P$12</definedName>
    <definedName name="note801.1.1_5">'Ch8'!$P$18</definedName>
    <definedName name="note801.1.1_6">'Ch8'!$P$20</definedName>
    <definedName name="note801.2_1">'Ch8'!$P$23</definedName>
    <definedName name="note801.2_2">'Ch8'!$P$24</definedName>
    <definedName name="note801.3_1">'Ch8'!$P$27</definedName>
    <definedName name="note801.3_2">'Ch8'!$P$29</definedName>
    <definedName name="note801.3_3">'Ch8'!$P$31</definedName>
    <definedName name="note801.4.1_1">'Ch8'!$P$35</definedName>
    <definedName name="note801.4.1_2">'Ch8'!$P$37</definedName>
    <definedName name="note801.4.2">'Ch8'!$P$39</definedName>
    <definedName name="note801.5_1">'Ch8'!$P$42</definedName>
    <definedName name="note801.5_2">'Ch8'!$P$43</definedName>
    <definedName name="note801.5_3">'Ch8'!$P$45</definedName>
    <definedName name="note801.5_3a">'Ch8'!$P$47</definedName>
    <definedName name="note801.5_3b">'Ch8'!$P$50</definedName>
    <definedName name="note801.5_3c">'Ch8'!$P$52</definedName>
    <definedName name="note801.6.1">'Ch8'!$P$55</definedName>
    <definedName name="note801.6.2">'Ch8'!$P$56</definedName>
    <definedName name="note801.6.2_1">'Ch8'!$P$57</definedName>
    <definedName name="note801.6.2_2">'Ch8'!$P$58</definedName>
    <definedName name="note801.6.3">'Ch8'!$P$59</definedName>
    <definedName name="note801.6.4">'Ch8'!$P$60</definedName>
    <definedName name="note801.6.5_1">'Ch8'!$P$63</definedName>
    <definedName name="note801.6.5_3">'Ch8'!$P$64</definedName>
    <definedName name="note801.7.1">'Ch8'!$P$67</definedName>
    <definedName name="note801.7.2">'Ch8'!$P$74</definedName>
    <definedName name="note801.8">'Ch8'!$P$78</definedName>
    <definedName name="note802.1">'Ch8'!$P$80</definedName>
    <definedName name="note802.2">'Ch8'!$P$84</definedName>
    <definedName name="note802.3">'Ch8'!$P$87</definedName>
    <definedName name="note802.4">'Ch8'!$P$88</definedName>
    <definedName name="note802.5">'Ch8'!$P$89</definedName>
    <definedName name="note901.1.1">'Ch9'!$P$10</definedName>
    <definedName name="note901.1.2">'Ch9'!$P$12</definedName>
    <definedName name="note901.1.3_1">'Ch9'!$P$14</definedName>
    <definedName name="note901.1.3_2">'Ch9'!$P$16</definedName>
    <definedName name="note901.1.4">'Ch9'!$P$18</definedName>
    <definedName name="note901.1.5">'Ch9'!$P$19</definedName>
    <definedName name="note901.1.6">'Ch9'!$P$20</definedName>
    <definedName name="note901.10">'Ch9'!$P$97</definedName>
    <definedName name="note901.10_2">'Ch9'!$S$70</definedName>
    <definedName name="note901.11">'Ch9'!$P$101</definedName>
    <definedName name="note901.11_1">'Ch9'!$S$102</definedName>
    <definedName name="note901.12">'Ch9'!$P$103</definedName>
    <definedName name="note901.13">'Ch9'!$P$104</definedName>
    <definedName name="note901.14">'Ch9'!$P$107</definedName>
    <definedName name="note901.2.1_1">'Ch9'!$P$24</definedName>
    <definedName name="note901.2.1_2">'Ch9'!$P$26</definedName>
    <definedName name="note901.2.1_3">'Ch9'!$P$28</definedName>
    <definedName name="note901.2.1_4">'Ch9'!$P$30</definedName>
    <definedName name="note901.2.1_5">'Ch9'!$P$32</definedName>
    <definedName name="note901.2.2">'Ch9'!$P$34</definedName>
    <definedName name="note901.3_1_a">'Ch9'!$P$38</definedName>
    <definedName name="note901.3_1_b">'Ch9'!$P$40</definedName>
    <definedName name="note901.3_1_c">'Ch9'!$P$42</definedName>
    <definedName name="note901.3_2">'Ch9'!$P$45</definedName>
    <definedName name="note901.4_1">'Ch9'!$P$47</definedName>
    <definedName name="note901.4_2">'Ch9'!$P$49</definedName>
    <definedName name="note901.4_3">'Ch9'!$P$53</definedName>
    <definedName name="note901.4_4">'Ch9'!$P$57</definedName>
    <definedName name="note901.4_5">'Ch9'!$P$61</definedName>
    <definedName name="note901.4_6">'Ch9'!$P$65</definedName>
    <definedName name="note901.5">'Ch9'!$P$69</definedName>
    <definedName name="note901.6_1">'Ch9'!$P$74</definedName>
    <definedName name="note901.6_2">'Ch9'!$P$77</definedName>
    <definedName name="note901.7">'Ch9'!$P$79</definedName>
    <definedName name="note901.8">'Ch9'!$P$81</definedName>
    <definedName name="note901.9.1">'Ch9'!$P$84</definedName>
    <definedName name="note901.9.2">'Ch9'!$P$87</definedName>
    <definedName name="note901.9.3">'Ch9'!$P$93</definedName>
    <definedName name="note902.1.1_1">'Ch9'!$P$115</definedName>
    <definedName name="note902.1.1_2">'Ch9'!$P$117</definedName>
    <definedName name="note902.1.1_3">'Ch9'!$P$118</definedName>
    <definedName name="note902.1.2">'Ch9'!$P$119</definedName>
    <definedName name="note902.1.3">'Ch9'!$P$121</definedName>
    <definedName name="note902.1.4">'Ch9'!$P$122</definedName>
    <definedName name="note902.2.1">'Ch9'!$P$128</definedName>
    <definedName name="note902.2.2">'Ch9'!$P$133</definedName>
    <definedName name="note902.2.3">'Ch9'!$P$135</definedName>
    <definedName name="note902.3_1">'Ch9'!$P$139</definedName>
    <definedName name="note902.3_2">'Ch9'!$P$143</definedName>
    <definedName name="note902.4_1">'Ch9'!$P$147</definedName>
    <definedName name="note902.4_2">'Ch9'!$P$148</definedName>
    <definedName name="note902.5">'Ch9'!$P$149</definedName>
    <definedName name="note902.6">'Ch9'!$P$150</definedName>
    <definedName name="note903.1.1">'Ch9'!$P$154</definedName>
    <definedName name="note903.1.2">'Ch9'!$P$155</definedName>
    <definedName name="note903.2_1">'Ch9'!$P$157</definedName>
    <definedName name="note903.2_2">'Ch9'!$P$158</definedName>
    <definedName name="note903.3_1">'Ch9'!$P$161</definedName>
    <definedName name="note903.3_2">'Ch9'!$P$162</definedName>
    <definedName name="note904.1">'Ch9'!$P$166</definedName>
    <definedName name="note904.2">'Ch9'!$P$167</definedName>
    <definedName name="nt1001.1_1">'Designer''s Report'!$F$706</definedName>
    <definedName name="nt1001.1_10">'Designer''s Report'!$F$715</definedName>
    <definedName name="nt1001.1_11">'Designer''s Report'!$F$716</definedName>
    <definedName name="nt1001.1_12">'Designer''s Report'!$F$717</definedName>
    <definedName name="nt1001.1_13">'Designer''s Report'!$F$718</definedName>
    <definedName name="nt1001.1_14">'Designer''s Report'!$F$719</definedName>
    <definedName name="nt1001.1_15">'Designer''s Report'!$F$720</definedName>
    <definedName name="nt1001.1_16">'Designer''s Report'!$F$721</definedName>
    <definedName name="nt1001.1_17">'Designer''s Report'!$F$722</definedName>
    <definedName name="nt1001.1_18">'Designer''s Report'!$F$723</definedName>
    <definedName name="nt1001.1_19">'Designer''s Report'!$F$724</definedName>
    <definedName name="nt1001.1_2">'Designer''s Report'!$F$707</definedName>
    <definedName name="nt1001.1_20">'Designer''s Report'!$F$725</definedName>
    <definedName name="nt1001.1_21">'Designer''s Report'!$F$726</definedName>
    <definedName name="nt1001.1_3">'Designer''s Report'!$F$708</definedName>
    <definedName name="nt1001.1_4">'Designer''s Report'!$F$709</definedName>
    <definedName name="nt1001.1_5">'Designer''s Report'!$F$710</definedName>
    <definedName name="nt1001.1_6">'Designer''s Report'!$F$711</definedName>
    <definedName name="nt1001.1_7">'Designer''s Report'!$F$712</definedName>
    <definedName name="nt1001.1_8">'Designer''s Report'!$F$713</definedName>
    <definedName name="nt1001.1_9">'Designer''s Report'!$F$714</definedName>
    <definedName name="nt1002.1">'Designer''s Report'!$F$728</definedName>
    <definedName name="nt1003.1_1">'Designer''s Report'!$F$732</definedName>
    <definedName name="nt1003.1_2">'Designer''s Report'!$F$733</definedName>
    <definedName name="nt1003.1_3">'Designer''s Report'!$F$734</definedName>
    <definedName name="nt1003.1_4">'Designer''s Report'!$F$735</definedName>
    <definedName name="nt1003.1_5">'Designer''s Report'!$F$736</definedName>
    <definedName name="nt1003.1_6">'Designer''s Report'!$F$737</definedName>
    <definedName name="nt1003.1_7">'Designer''s Report'!$F$738</definedName>
    <definedName name="nt1003.1_8">'Designer''s Report'!$F$739</definedName>
    <definedName name="nt1003.2_1">'Designer''s Report'!$F$741</definedName>
    <definedName name="nt1003.2_10">'Designer''s Report'!$F$750</definedName>
    <definedName name="nt1003.2_2">'Designer''s Report'!$F$742</definedName>
    <definedName name="nt1003.2_3">'Designer''s Report'!$F$743</definedName>
    <definedName name="nt1003.2_4">'Designer''s Report'!$F$744</definedName>
    <definedName name="nt1003.2_5">'Designer''s Report'!$F$745</definedName>
    <definedName name="nt1003.2_6">'Designer''s Report'!$F$746</definedName>
    <definedName name="nt1003.2_7">'Designer''s Report'!$F$747</definedName>
    <definedName name="nt1003.2_8">'Designer''s Report'!$F$748</definedName>
    <definedName name="nt1003.2_9">'Designer''s Report'!$F$749</definedName>
    <definedName name="nt1003.3_1">'Designer''s Report'!$F$752</definedName>
    <definedName name="nt1003.3_2">'Designer''s Report'!$F$753</definedName>
    <definedName name="nt1003.3_3">'Designer''s Report'!$F$754</definedName>
    <definedName name="nt1003.3_4">'Designer''s Report'!$F$755</definedName>
    <definedName name="nt1003.3_5">'Designer''s Report'!$F$756</definedName>
    <definedName name="nt1003.3_6">'Designer''s Report'!$F$757</definedName>
    <definedName name="nt1003.3_7">'Designer''s Report'!$F$758</definedName>
    <definedName name="nt1003.3_8">'Designer''s Report'!$F$759</definedName>
    <definedName name="nt1003.3_9">'Designer''s Report'!$F$760</definedName>
    <definedName name="nt501.1_1">'Designer''s Report'!$F$14</definedName>
    <definedName name="nt501.1_2">'Designer''s Report'!$F$15</definedName>
    <definedName name="nt501.1_3">'Designer''s Report'!$F$16</definedName>
    <definedName name="nt501.1_4">'Designer''s Report'!$F$17</definedName>
    <definedName name="nt501.1_5">'Designer''s Report'!$F$18</definedName>
    <definedName name="nt501.2_1">'Designer''s Report'!$F$20</definedName>
    <definedName name="nt501.2_2">'Designer''s Report'!$F$21</definedName>
    <definedName name="nt501.2_3">'Designer''s Report'!$F$22</definedName>
    <definedName name="nt501.2_4">'Designer''s Report'!$F$23</definedName>
    <definedName name="nt502.1">'Designer''s Report'!$F$25</definedName>
    <definedName name="nt503.1_1">'Designer''s Report'!$F$28</definedName>
    <definedName name="nt503.1_2">'Designer''s Report'!$F$29</definedName>
    <definedName name="nt503.1_3">'Designer''s Report'!$F$30</definedName>
    <definedName name="nt503.1_4">'Designer''s Report'!$F$31</definedName>
    <definedName name="nt503.1_5">'Designer''s Report'!$F$32</definedName>
    <definedName name="nt503.1_6">'Designer''s Report'!$F$33</definedName>
    <definedName name="nt503.1_7">'Designer''s Report'!$F$34</definedName>
    <definedName name="nt503.2_1">'Designer''s Report'!$F$36</definedName>
    <definedName name="nt503.2_2">'Designer''s Report'!$F$37</definedName>
    <definedName name="nt503.2_3">'Designer''s Report'!$F$39</definedName>
    <definedName name="nt503.2_4">'Designer''s Report'!$F$42</definedName>
    <definedName name="nt503.2_5">'Designer''s Report'!$F$43</definedName>
    <definedName name="nt503.3_1">'Designer''s Report'!$F$45</definedName>
    <definedName name="nt503.3_2">'Designer''s Report'!$F$46</definedName>
    <definedName name="nt503.3_3">'Designer''s Report'!$F$47</definedName>
    <definedName name="nt503.4_1">'Designer''s Report'!$F$49</definedName>
    <definedName name="nt503.4_2">'Designer''s Report'!$F$50</definedName>
    <definedName name="nt503.4_3">'Designer''s Report'!$F$52</definedName>
    <definedName name="nt503.4_4">'Designer''s Report'!$F$55</definedName>
    <definedName name="nt503.4_5">'Designer''s Report'!$F$56</definedName>
    <definedName name="nt503.4_6">'Designer''s Report'!$F$57</definedName>
    <definedName name="nt503.5_1">'Designer''s Report'!$F$59</definedName>
    <definedName name="nt503.5_2">'Designer''s Report'!$F$60</definedName>
    <definedName name="nt503.5_3">'Designer''s Report'!$F$62</definedName>
    <definedName name="nt503.5_4">'Designer''s Report'!$F$66</definedName>
    <definedName name="nt503.5_5">'Designer''s Report'!$F$67</definedName>
    <definedName name="nt503.5_6">'Designer''s Report'!$F$68</definedName>
    <definedName name="nt503.5_7">'Designer''s Report'!$F$69</definedName>
    <definedName name="nt503.5_8">'Designer''s Report'!$F$70</definedName>
    <definedName name="nt503.6_1">'Designer''s Report'!$F$72</definedName>
    <definedName name="nt503.6_2">'Designer''s Report'!$F$73</definedName>
    <definedName name="nt503.6_3">'Designer''s Report'!$F$74</definedName>
    <definedName name="nt503.6_4">'Designer''s Report'!$F$75</definedName>
    <definedName name="nt503.7_1">'Designer''s Report'!$F$77</definedName>
    <definedName name="nt503.7_2">'Designer''s Report'!$F$78</definedName>
    <definedName name="nt504.1">'Designer''s Report'!$F$80</definedName>
    <definedName name="nt504.2_1">'Designer''s Report'!$F$82</definedName>
    <definedName name="nt504.2_2">'Designer''s Report'!$F$83</definedName>
    <definedName name="nt504.2_3">'Designer''s Report'!$F$84</definedName>
    <definedName name="nt504.3_1">'Designer''s Report'!$F$86</definedName>
    <definedName name="nt504.3_2">'Designer''s Report'!$F$87</definedName>
    <definedName name="nt504.3_3">'Designer''s Report'!$F$88</definedName>
    <definedName name="nt504.3_4">'Designer''s Report'!$F$89</definedName>
    <definedName name="nt504.3_5">'Designer''s Report'!$F$90</definedName>
    <definedName name="nt504.3_6">'Designer''s Report'!$F$91</definedName>
    <definedName name="nt504.3_7">'Designer''s Report'!$F$92</definedName>
    <definedName name="nt504.3_8">'Designer''s Report'!$F$93</definedName>
    <definedName name="nt504.3_9">'Designer''s Report'!$F$94</definedName>
    <definedName name="nt505.1_1">'Designer''s Report'!$F$97</definedName>
    <definedName name="nt505.1_2">'Designer''s Report'!$F$98</definedName>
    <definedName name="nt505.1_3">'Designer''s Report'!$F$100</definedName>
    <definedName name="nt505.2_1">'Designer''s Report'!$F$104</definedName>
    <definedName name="nt505.2_2">'Designer''s Report'!$F$105</definedName>
    <definedName name="nt505.3">'Designer''s Report'!$F$107</definedName>
    <definedName name="nt505.4">'Designer''s Report'!$F$110</definedName>
    <definedName name="nt505.5">'Designer''s Report'!$F$111</definedName>
    <definedName name="nt601.1">'Designer''s Report'!$F$116</definedName>
    <definedName name="nt601.2_2">'Designer''s Report'!$F$123</definedName>
    <definedName name="nt601.2_3">'Designer''s Report'!$F$124</definedName>
    <definedName name="nt601.3_1">'Designer''s Report'!$F$126</definedName>
    <definedName name="nt601.3_2">'Designer''s Report'!$F$127</definedName>
    <definedName name="nt601.3_3">'Designer''s Report'!$F$128</definedName>
    <definedName name="nt601.3_4">'Designer''s Report'!$F$129</definedName>
    <definedName name="nt601.3_5">'Designer''s Report'!$F$130</definedName>
    <definedName name="nt601.4">'Designer''s Report'!$F$131</definedName>
    <definedName name="nt601.5_1">'Designer''s Report'!$F$133</definedName>
    <definedName name="nt601.5_2">'Designer''s Report'!$F$134</definedName>
    <definedName name="nt601.5_3">'Designer''s Report'!$F$135</definedName>
    <definedName name="nt601.5_4">'Designer''s Report'!$F$136</definedName>
    <definedName name="nt601.5_5">'Designer''s Report'!$F$137</definedName>
    <definedName name="nt601.6">'Designer''s Report'!$F$139</definedName>
    <definedName name="nt601.7">'Designer''s Report'!$F$143</definedName>
    <definedName name="nt601.8">'Designer''s Report'!$F$146</definedName>
    <definedName name="nt601.9">'Designer''s Report'!$F$147</definedName>
    <definedName name="nt602.1.1.1">'Designer''s Report'!$F$150</definedName>
    <definedName name="nt602.1.1.2">'Designer''s Report'!$F$151</definedName>
    <definedName name="nt602.1.10">'Designer''s Report'!$F$187</definedName>
    <definedName name="nt602.1.11">'Designer''s Report'!$F$190</definedName>
    <definedName name="nt602.1.12">'Designer''s Report'!$F$191</definedName>
    <definedName name="nt602.1.13">'Designer''s Report'!$F$192</definedName>
    <definedName name="nt602.1.14_1">'Designer''s Report'!$F$194</definedName>
    <definedName name="nt602.1.14_2">'Designer''s Report'!$F$195</definedName>
    <definedName name="nt602.1.14_3">'Designer''s Report'!$F$196</definedName>
    <definedName name="nt602.1.2">'Designer''s Report'!$F$152</definedName>
    <definedName name="nt602.1.3.1">'Designer''s Report'!$F$154</definedName>
    <definedName name="nt602.1.3.2">'Designer''s Report'!$F$155</definedName>
    <definedName name="nt602.1.4.1_1">'Designer''s Report'!$F$158</definedName>
    <definedName name="nt602.1.4.1_2">'Designer''s Report'!$F$159</definedName>
    <definedName name="nt602.1.4.2_1">'Designer''s Report'!$F$161</definedName>
    <definedName name="nt602.1.4.2_2">'Designer''s Report'!$F$162</definedName>
    <definedName name="nt602.1.5">'Designer''s Report'!$F$163</definedName>
    <definedName name="nt602.1.6">'Designer''s Report'!$F$165</definedName>
    <definedName name="nt602.1.7.1_1">'Designer''s Report'!$F$170</definedName>
    <definedName name="nt602.1.7.1_2">'Designer''s Report'!$F$171</definedName>
    <definedName name="nt602.1.7.1_3">'Designer''s Report'!$F$173</definedName>
    <definedName name="nt602.1.7.2">'Designer''s Report'!$F$174</definedName>
    <definedName name="nt602.1.8">'Designer''s Report'!$F$175</definedName>
    <definedName name="nt602.1.9_1">'Designer''s Report'!$F$177</definedName>
    <definedName name="nt602.1.9_2">'Designer''s Report'!$F$178</definedName>
    <definedName name="nt602.1.9_3">'Designer''s Report'!$F$179</definedName>
    <definedName name="nt602.1.9_4">'Designer''s Report'!$F$180</definedName>
    <definedName name="nt602.1.9_5">'Designer''s Report'!$F$182</definedName>
    <definedName name="nt602.1.9_6">'Designer''s Report'!$F$184</definedName>
    <definedName name="nt602.1.9_7">'Designer''s Report'!$F$185</definedName>
    <definedName name="nt602.2">'Designer''s Report'!$F$199</definedName>
    <definedName name="nt602.3">'Designer''s Report'!$F$202</definedName>
    <definedName name="nt602.4.1">'Designer''s Report'!$F$203</definedName>
    <definedName name="nt602.4.2">'Designer''s Report'!$F$204</definedName>
    <definedName name="nt602.4.3">'Designer''s Report'!$F$205</definedName>
    <definedName name="nt603.1">'Designer''s Report'!$F$207</definedName>
    <definedName name="nt603.2">'Designer''s Report'!$F$209</definedName>
    <definedName name="nt603.3">'Designer''s Report'!$F$211</definedName>
    <definedName name="nt604.1.1">'Designer''s Report'!$F$214</definedName>
    <definedName name="nt604.1.2">'Designer''s Report'!$F$218</definedName>
    <definedName name="nt605.1">'Designer''s Report'!$F$222</definedName>
    <definedName name="nt605.2">'Designer''s Report'!$F$223</definedName>
    <definedName name="nt605.3">'Designer''s Report'!$F$225</definedName>
    <definedName name="nt606.1">'Designer''s Report'!$F$230</definedName>
    <definedName name="nt606.2">'Designer''s Report'!$F$235</definedName>
    <definedName name="nt606.3">'Designer''s Report'!$F$238</definedName>
    <definedName name="nt607.2">'Designer''s Report'!$F$244</definedName>
    <definedName name="nt609.1">'Designer''s Report'!$F$252</definedName>
    <definedName name="nt610.1">'Designer''s Report'!$F$258</definedName>
    <definedName name="nt610.1.1">'Designer''s Report'!$F$259</definedName>
    <definedName name="nt610.1.2_1">'Designer''s Report'!$F$261</definedName>
    <definedName name="nt610.1.2_2">'Designer''s Report'!$F$264</definedName>
    <definedName name="nt611.1">'Designer''s Report'!$F$271</definedName>
    <definedName name="nt611.2_1">'Designer''s Report'!$F$282</definedName>
    <definedName name="nt611.2_2">'Designer''s Report'!$F$283</definedName>
    <definedName name="nt611.2_3">'Designer''s Report'!$F$284</definedName>
    <definedName name="nt611.2_4">'Designer''s Report'!$F$285</definedName>
    <definedName name="nt611.2_5">'Designer''s Report'!$F$286</definedName>
    <definedName name="nt611.2_6">'Designer''s Report'!$F$287</definedName>
    <definedName name="nt611.2_7">'Designer''s Report'!$F$288</definedName>
    <definedName name="nt611.3_1">'Designer''s Report'!$F$290</definedName>
    <definedName name="nt611.3_2">'Designer''s Report'!$F$291</definedName>
    <definedName name="nt611.3_3">'Designer''s Report'!$F$292</definedName>
    <definedName name="nt611.3_4">'Designer''s Report'!$F$293</definedName>
    <definedName name="nt701.1">'Designer''s Report'!$F$299</definedName>
    <definedName name="nt701.1.3">'Designer''s Report'!$F$300</definedName>
    <definedName name="nt701.3">'Designer''s Report'!$F$302</definedName>
    <definedName name="nt701.4.1.1">'Designer''s Report'!$F$305</definedName>
    <definedName name="nt701.4.1.2">'Designer''s Report'!$F$306</definedName>
    <definedName name="nt701.4.2.1">'Designer''s Report'!$F$308</definedName>
    <definedName name="nt701.4.2.2">'Designer''s Report'!$F$309</definedName>
    <definedName name="nt701.4.2.3">'Designer''s Report'!$F$310</definedName>
    <definedName name="nt701.4.3.1">'Designer''s Report'!$F$312</definedName>
    <definedName name="nt701.4.3.2_1">'Designer''s Report'!$F$314</definedName>
    <definedName name="nt701.4.3.2_2">'Designer''s Report'!$F$316</definedName>
    <definedName name="nt701.4.3.3">'Designer''s Report'!$F$317</definedName>
    <definedName name="nt701.4.3.4">'Designer''s Report'!$F$318</definedName>
    <definedName name="nt701.4.4">'Designer''s Report'!$F$319</definedName>
    <definedName name="nt701.4.5">'Designer''s Report'!$F$320</definedName>
    <definedName name="nt702.2.1">'Designer''s Report'!$F$323</definedName>
    <definedName name="nt702.2.2">'Designer''s Report'!$F$325</definedName>
    <definedName name="nt703.1.1">'Designer''s Report'!$F$332</definedName>
    <definedName name="nt703.1.2">'Designer''s Report'!$F$337</definedName>
    <definedName name="nt703.1.3">'Designer''s Report'!$F$340</definedName>
    <definedName name="nt703.1.4">'Designer''s Report'!$F$342</definedName>
    <definedName name="nt703.1.5">'Designer''s Report'!$F$344</definedName>
    <definedName name="nt703.1.6.1">'Designer''s Report'!$F$350</definedName>
    <definedName name="nt703.1.6.2">'Designer''s Report'!$F$352</definedName>
    <definedName name="nt703.2.1">'Designer''s Report'!$F$356</definedName>
    <definedName name="nt703.2.2">'Designer''s Report'!$F$357</definedName>
    <definedName name="nt703.2.3">'Designer''s Report'!$F$361</definedName>
    <definedName name="nt703.2.4">'Designer''s Report'!$F$366</definedName>
    <definedName name="nt703.2.5">'Designer''s Report'!$F$371</definedName>
    <definedName name="nt703.2.6">'Designer''s Report'!$F$373</definedName>
    <definedName name="nt703.2.7">'Designer''s Report'!$F$378</definedName>
    <definedName name="nt703.2.8">'Designer''s Report'!$F$379</definedName>
    <definedName name="nt703.2.9">'Designer''s Report'!$F$380</definedName>
    <definedName name="nt703.3.1">'Designer''s Report'!$F$382</definedName>
    <definedName name="nt703.3.2">'Designer''s Report'!$F$383</definedName>
    <definedName name="nt703.3.3">'Designer''s Report'!$F$384</definedName>
    <definedName name="nt703.3.4">'Designer''s Report'!$F$386</definedName>
    <definedName name="nt703.4.1">'Designer''s Report'!$F$390</definedName>
    <definedName name="nt703.4.2">'Designer''s Report'!$F$393</definedName>
    <definedName name="nt703.4.3">'Designer''s Report'!$F$394</definedName>
    <definedName name="nt703.4.4">'Designer''s Report'!$F$395</definedName>
    <definedName name="nt703.4.5">'Designer''s Report'!$F$397</definedName>
    <definedName name="nt703.5.1_1">'Designer''s Report'!$F$404</definedName>
    <definedName name="nt703.5.1_2">'Designer''s Report'!$F$406</definedName>
    <definedName name="nt703.5.2">'Designer''s Report'!$F$407</definedName>
    <definedName name="nt703.5.3_1">'Designer''s Report'!$F$411</definedName>
    <definedName name="nt703.5.3_2">'Designer''s Report'!$F$412</definedName>
    <definedName name="nt703.5.3_3">'Designer''s Report'!$F$413</definedName>
    <definedName name="nt703.5.4">'Designer''s Report'!$F$414</definedName>
    <definedName name="nt703.6.1">'Designer''s Report'!$F$416</definedName>
    <definedName name="nt703.6.2">'Designer''s Report'!$F$417</definedName>
    <definedName name="nt703.6.3">'Designer''s Report'!$F$419</definedName>
    <definedName name="nt703.6.4">'Designer''s Report'!$F$425</definedName>
    <definedName name="nt704.2.1">'Designer''s Report'!$F$429</definedName>
    <definedName name="nt704.2.2">'Designer''s Report'!$F$431</definedName>
    <definedName name="nt704.2.3">'Designer''s Report'!$F$432</definedName>
    <definedName name="nt704.3">'Designer''s Report'!$F$433</definedName>
    <definedName name="nt704.4.1">'Designer''s Report'!$F$435</definedName>
    <definedName name="nt704.4.2">'Designer''s Report'!$F$436</definedName>
    <definedName name="nt704.4.3">'Designer''s Report'!$F$437</definedName>
    <definedName name="nt704.5.1">'Designer''s Report'!$F$439</definedName>
    <definedName name="nt704.5.2.1_1">'Designer''s Report'!$F$442</definedName>
    <definedName name="nt704.5.2.1_2">'Designer''s Report'!$F$444</definedName>
    <definedName name="nt704.5.2.2">'Designer''s Report'!$F$445</definedName>
    <definedName name="nt704.5.3">'Designer''s Report'!$F$446</definedName>
    <definedName name="nt705.1">'Designer''s Report'!$F$448</definedName>
    <definedName name="nt705.1_1">'Designer''s Report'!$F$453</definedName>
    <definedName name="nt705.2_2">'Designer''s Report'!$F$455</definedName>
    <definedName name="nt705.3">'Designer''s Report'!$F$457</definedName>
    <definedName name="nt705.4.1">'Designer''s Report'!$F$468</definedName>
    <definedName name="nt705.4.2">'Designer''s Report'!$F$470</definedName>
    <definedName name="nt705.5">'Designer''s Report'!$F$471</definedName>
    <definedName name="nt705.6">'Designer''s Report'!$F$474</definedName>
    <definedName name="nt705.7">'Designer''s Report'!$F$475</definedName>
    <definedName name="nt801.1.1_1thru4a">'Designer''s Report'!$F$481</definedName>
    <definedName name="nt801.1.1_5">'Designer''s Report'!$F$486</definedName>
    <definedName name="nt801.1.1_6">'Designer''s Report'!$F$487</definedName>
    <definedName name="nt801.2_1">'Designer''s Report'!$F$489</definedName>
    <definedName name="nt801.2_2">'Designer''s Report'!$F$490</definedName>
    <definedName name="nt801.3_1">'Designer''s Report'!$F$494</definedName>
    <definedName name="nt801.3_2">'Designer''s Report'!$F$499</definedName>
    <definedName name="nt801.3_3">'Designer''s Report'!$F$502</definedName>
    <definedName name="nt801.4.1_1">'Designer''s Report'!$F$508</definedName>
    <definedName name="nt801.4.1_2">'Designer''s Report'!$F$511</definedName>
    <definedName name="nt801.4.2">'Designer''s Report'!$F$513</definedName>
    <definedName name="nt801.5_1">'Designer''s Report'!$F$517</definedName>
    <definedName name="nt801.5_2">'Designer''s Report'!$F$519</definedName>
    <definedName name="nt801.5_3">'Designer''s Report'!$F$522</definedName>
    <definedName name="nt801.5_3a">'Designer''s Report'!$F$524</definedName>
    <definedName name="nt801.5_3b">'Designer''s Report'!$F$527</definedName>
    <definedName name="nt801.5_3c">'Designer''s Report'!$F$528</definedName>
    <definedName name="nt801.6.1">'Designer''s Report'!$F$530</definedName>
    <definedName name="nt801.6.2_1">'Designer''s Report'!$F$531</definedName>
    <definedName name="nt801.6.2_2">'Designer''s Report'!$F$532</definedName>
    <definedName name="nt801.6.3">'Designer''s Report'!$F$533</definedName>
    <definedName name="nt801.6.4">'Designer''s Report'!$F$534</definedName>
    <definedName name="nt801.6.5_1">'Designer''s Report'!$F$536</definedName>
    <definedName name="nt801.6.5_3">'Designer''s Report'!$F$537</definedName>
    <definedName name="nt801.7.1">'Designer''s Report'!$F$539</definedName>
    <definedName name="nt801.7.2">'Designer''s Report'!$F$546</definedName>
    <definedName name="nt801.8">'Designer''s Report'!$F$550</definedName>
    <definedName name="nt802.1">'Designer''s Report'!$F$553</definedName>
    <definedName name="nt802.3">'Designer''s Report'!$F$561</definedName>
    <definedName name="nt802.4">'Designer''s Report'!$F$562</definedName>
    <definedName name="nt802.5">'Designer''s Report'!$F$563</definedName>
    <definedName name="nt901.1.1">'Designer''s Report'!$F$568</definedName>
    <definedName name="nt901.1.2">'Designer''s Report'!$F$570</definedName>
    <definedName name="nt901.1.3_1">'Designer''s Report'!$F$572</definedName>
    <definedName name="nt901.1.3_2">'Designer''s Report'!$F$574</definedName>
    <definedName name="nt901.1.4">'Designer''s Report'!$F$576</definedName>
    <definedName name="nt901.1.5">'Designer''s Report'!$F$577</definedName>
    <definedName name="nt901.1.6">'Designer''s Report'!$F$579</definedName>
    <definedName name="nt901.10">'Designer''s Report'!$F$642</definedName>
    <definedName name="nt901.11">'Designer''s Report'!$F$645</definedName>
    <definedName name="nt901.12">'Designer''s Report'!$F$646</definedName>
    <definedName name="nt901.13">'Designer''s Report'!$F$648</definedName>
    <definedName name="nt901.14">'Designer''s Report'!$F$652</definedName>
    <definedName name="nt901.2.1_1">'Designer''s Report'!$F$583</definedName>
    <definedName name="nt901.2.1_2">'Designer''s Report'!$F$585</definedName>
    <definedName name="nt901.2.1_3">'Designer''s Report'!$F$587</definedName>
    <definedName name="nt901.2.1_4">'Designer''s Report'!$F$589</definedName>
    <definedName name="nt901.2.1_5">'Designer''s Report'!$F$591</definedName>
    <definedName name="nt901.2.2">'Designer''s Report'!$F$593</definedName>
    <definedName name="nt901.3_1_a">'Designer''s Report'!$F$595</definedName>
    <definedName name="nt901.3_1_b">'Designer''s Report'!$F$597</definedName>
    <definedName name="nt901.3_1_c">'Designer''s Report'!$F$599</definedName>
    <definedName name="nt901.3_2">'Designer''s Report'!$F$600</definedName>
    <definedName name="nt901.4_1">'Designer''s Report'!$F$601</definedName>
    <definedName name="nt901.4_2">'Designer''s Report'!$F$604</definedName>
    <definedName name="nt901.4_3">'Designer''s Report'!$F$609</definedName>
    <definedName name="nt901.4_4">'Designer''s Report'!$F$614</definedName>
    <definedName name="nt901.4_5">'Designer''s Report'!$F$619</definedName>
    <definedName name="nt901.4_6">'Designer''s Report'!$F$624</definedName>
    <definedName name="nt901.5">'Designer''s Report'!$F$629</definedName>
    <definedName name="nt901.6_1">'Designer''s Report'!$F$632</definedName>
    <definedName name="nt901.6_2">'Designer''s Report'!$F$633</definedName>
    <definedName name="nt901.7">'Designer''s Report'!$F$635</definedName>
    <definedName name="nt901.8">'Designer''s Report'!$F$636</definedName>
    <definedName name="nt901.9.1">'Designer''s Report'!$F$638</definedName>
    <definedName name="nt901.9.2">'Designer''s Report'!$F$639</definedName>
    <definedName name="nt901.9.3">'Designer''s Report'!$F$640</definedName>
    <definedName name="nt902.1.1_1">'Designer''s Report'!$F$657</definedName>
    <definedName name="nt902.1.1_2">'Designer''s Report'!$F$659</definedName>
    <definedName name="nt902.1.1_3">'Designer''s Report'!$F$660</definedName>
    <definedName name="nt902.1.2">'Designer''s Report'!$F$662</definedName>
    <definedName name="nt902.1.3">'Designer''s Report'!$F$666</definedName>
    <definedName name="nt902.1.4">'Designer''s Report'!$F$667</definedName>
    <definedName name="nt902.2.1">'Designer''s Report'!$F$672</definedName>
    <definedName name="nt902.2.2">'Designer''s Report'!$F$676</definedName>
    <definedName name="nt902.2.3">'Designer''s Report'!$F$677</definedName>
    <definedName name="nt902.3_1">'Designer''s Report'!$F$679</definedName>
    <definedName name="nt902.3_2">'Designer''s Report'!$F$683</definedName>
    <definedName name="nt902.4_1">'Designer''s Report'!$F$685</definedName>
    <definedName name="nt902.4_2">'Designer''s Report'!$F$686</definedName>
    <definedName name="nt902.5">'Designer''s Report'!$F$687</definedName>
    <definedName name="nt902.6">'Designer''s Report'!$F$688</definedName>
    <definedName name="nt903.1.1">'Designer''s Report'!$F$691</definedName>
    <definedName name="nt903.1.2">'Designer''s Report'!$F$692</definedName>
    <definedName name="nt903.2_1">'Designer''s Report'!$F$694</definedName>
    <definedName name="nt903.2_2">'Designer''s Report'!$F$695</definedName>
    <definedName name="nt903.3_1">'Designer''s Report'!$F$697</definedName>
    <definedName name="nt903.3_2">'Designer''s Report'!$F$698</definedName>
    <definedName name="nt904.1">'Designer''s Report'!$F$700</definedName>
    <definedName name="nt904.2">'Designer''s Report'!$F$701</definedName>
    <definedName name="NumUnits">'Verification Rpt'!$K$4</definedName>
    <definedName name="Oil">Formulas!$R$72:$R$73</definedName>
    <definedName name="OilBoiler">Formulas!$I$72:$I$73</definedName>
    <definedName name="OilFurnace">Formulas!$G$72:$G$73</definedName>
    <definedName name="One">Formulas!$Q$5</definedName>
    <definedName name="OtherServices">'Final Signature'!$D$46</definedName>
    <definedName name="points503.5_1">'Ch5'!$N$58</definedName>
    <definedName name="points503.5_2">'Ch5'!$N$60</definedName>
    <definedName name="points503.5_3a">'Ch5'!$L$64</definedName>
    <definedName name="points503.5_3b">'Ch5'!$L$65</definedName>
    <definedName name="points503.5_3c">'Ch5'!$L$66</definedName>
    <definedName name="points503.5_3d">'Ch5'!$L$67</definedName>
    <definedName name="points503.5_4">'Ch5'!$N$68</definedName>
    <definedName name="points503.5_5">'Ch5'!$N$70</definedName>
    <definedName name="points503.5_6">'Ch5'!$N$72</definedName>
    <definedName name="points703.1.3_1">'Ch7'!$H$94</definedName>
    <definedName name="points703.1.3_2">'Ch7'!$H$95</definedName>
    <definedName name="points703.1.4">'Ch7'!$O$97</definedName>
    <definedName name="points703.1.5_1">'Ch7'!$K$103</definedName>
    <definedName name="points703.1.5_2">'Ch7'!$J$103</definedName>
    <definedName name="points703.1.5_3">'Ch7'!$I$103</definedName>
    <definedName name="points703.1.5_4">'Ch7'!$H$103</definedName>
    <definedName name="points703.1.5_5">'Ch7'!$G$103</definedName>
    <definedName name="points703.1.6.2_a">'Ch7'!$N$116</definedName>
    <definedName name="points703.1.6.2_b">'Ch7'!$N$120</definedName>
    <definedName name="points703.1.6.2_c">'Ch7'!$N$124</definedName>
    <definedName name="points703.2.3_1">'Ch7'!$G$155</definedName>
    <definedName name="points703.2.3_2">'Ch7'!$H$155</definedName>
    <definedName name="points703.2.3_3">'Ch7'!$I$155</definedName>
    <definedName name="points703.2.3_4">'Ch7'!$J$155</definedName>
    <definedName name="points703.2.4_1">'Ch7'!$G$162</definedName>
    <definedName name="points703.2.4_2">'Ch7'!$H$162</definedName>
    <definedName name="points703.2.4_3">'Ch7'!$I$162</definedName>
    <definedName name="points703.2.4_4">'Ch7'!$J$162</definedName>
    <definedName name="points703.2.4_5">'Ch7'!$K$162</definedName>
    <definedName name="points703.2.5">'Ch7'!$O$164</definedName>
    <definedName name="points703.2.6_1">'Ch7'!$G$170</definedName>
    <definedName name="points703.2.6_2">'Ch7'!$H$170</definedName>
    <definedName name="points703.2.6_3">'Ch7'!$I$170</definedName>
    <definedName name="points703.2.6_4">'Ch7'!$J$170</definedName>
    <definedName name="points703.2.6_5">'Ch7'!$K$170</definedName>
    <definedName name="points703.2.8">'Ch7'!$O$175</definedName>
    <definedName name="points703.3.1">'Ch7'!$O$181</definedName>
    <definedName name="points703.3.2">'Ch7'!$O$184</definedName>
    <definedName name="points703.3.3">'Ch7'!$O$187</definedName>
    <definedName name="points703.3.4_1">'Ch7'!$G$193</definedName>
    <definedName name="points703.3.4_2">'Ch7'!$I$193</definedName>
    <definedName name="points703.3.4_3">'Ch7'!$K$193</definedName>
    <definedName name="points703.4.2">'Ch7'!$O$212</definedName>
    <definedName name="points703.4.5_1">'Ch7'!$G$222</definedName>
    <definedName name="points703.4.5_2">'Ch7'!$H$222</definedName>
    <definedName name="points703.4.5_3">'Ch7'!$I$222</definedName>
    <definedName name="points703.4.5_4">'Ch7'!$J$222</definedName>
    <definedName name="points703.4.5_5">'Ch7'!$K$222</definedName>
    <definedName name="points703.5.1_1">'Ch7'!$J$230</definedName>
    <definedName name="points703.5.1_2">'Ch7'!$K$230</definedName>
    <definedName name="points703.5.3_1">'Ch7'!$O$237</definedName>
    <definedName name="points703.6.1">'Ch7'!$O$243</definedName>
    <definedName name="points703.6.4">'Ch7'!$O$256</definedName>
    <definedName name="_xlnm.Print_Area" localSheetId="8">Figures!$A$1:$I$184</definedName>
    <definedName name="_xlnm.Print_Area" localSheetId="14">MultifamilyAddendum!$A$1:$J$51</definedName>
    <definedName name="_xlnm.Print_Area" localSheetId="9">'Scoring Analysis'!$A$1:$F$95</definedName>
    <definedName name="_xlnm.Print_Area" localSheetId="10">'Verification Rpt'!$E$1:$M$826</definedName>
    <definedName name="_xlnm.Print_Titles" localSheetId="8">Figures!$1:$1</definedName>
    <definedName name="_xlnm.Print_Titles" localSheetId="9">'Scoring Analysis'!$1:$2</definedName>
    <definedName name="ProjectDescription">'Verification Rpt'!$K$6</definedName>
    <definedName name="ProjectID">'Verification Rpt'!$F$8</definedName>
    <definedName name="projectLevel">Formulas!$D$214</definedName>
    <definedName name="projectMandatoryCount">Formulas!$E$115:$E$118</definedName>
    <definedName name="projectTotal">Formulas!$A$151</definedName>
    <definedName name="projectValue">Formulas!$E$214</definedName>
    <definedName name="pts703.1.3_1">Formulas!$F$279</definedName>
    <definedName name="pts703.1.3_2">Formulas!$F$280</definedName>
    <definedName name="pts703.2.8">Formulas!$AU$79</definedName>
    <definedName name="pts703.3.1">Formulas!$AU$83</definedName>
    <definedName name="pts703.3.2">Formulas!$AU$87</definedName>
    <definedName name="pts703.3.3">Formulas!$AU$91</definedName>
    <definedName name="pts703.3.4">Formulas!$AU$94</definedName>
    <definedName name="pts703.4.1">Formulas!$BF$36</definedName>
    <definedName name="pts703.4.2">Formulas!$BF$50</definedName>
    <definedName name="pts703.4.5">Formulas!$BF$54</definedName>
    <definedName name="pts703.5.1">Formulas!$BF$64</definedName>
    <definedName name="pts703.5.3">Formulas!$BF$71</definedName>
    <definedName name="ReadyToSubmitStatus">'Verification Rpt'!$K$8</definedName>
    <definedName name="reportage">Formulas!$B$1</definedName>
    <definedName name="ReportType">'Verification Rpt'!$I$8</definedName>
    <definedName name="score503.2_3">Formulas!$A$22</definedName>
    <definedName name="score503.4_3">Formulas!$B$22</definedName>
    <definedName name="score503.5_3">Formulas!$C$33</definedName>
    <definedName name="score505.1_3">Formulas!$D$22</definedName>
    <definedName name="score505.3">Formulas!$E$22</definedName>
    <definedName name="score601.1">Formulas!$A$56</definedName>
    <definedName name="score601.6">Formulas!$C$56</definedName>
    <definedName name="score602.1.10">Formulas!$M$56</definedName>
    <definedName name="score602.1.15_3">Formulas!$P$56</definedName>
    <definedName name="score602.1.2">Formulas!$R$56</definedName>
    <definedName name="score602.1.6">Formulas!$H$56</definedName>
    <definedName name="score602.1.7.1_2">Formulas!$I$56</definedName>
    <definedName name="score602.1.9_5">Formulas!$L$56</definedName>
    <definedName name="score602.2">Formulas!$Q$56</definedName>
    <definedName name="score603.1">Formulas!$T$56</definedName>
    <definedName name="score603.2">Formulas!$U$56</definedName>
    <definedName name="score604.1.1">Formulas!$V$56</definedName>
    <definedName name="score604.1.2">Formulas!$W$56</definedName>
    <definedName name="score605.3">Formulas!$X$56</definedName>
    <definedName name="score606.3">Formulas!$Z$56</definedName>
    <definedName name="score608.1">Formulas!$AA$56</definedName>
    <definedName name="score609.1">Formulas!$AB$56</definedName>
    <definedName name="score610.1">Formulas!$AC$56</definedName>
    <definedName name="score610.1.1">Formulas!$AD$56</definedName>
    <definedName name="score610.1.2">Formulas!$AG$56</definedName>
    <definedName name="score610.1.2_1">Formulas!$AE$56</definedName>
    <definedName name="score610.1.2_2">Formulas!$AF$56</definedName>
    <definedName name="score611.1">Formulas!$AH$56</definedName>
    <definedName name="score611.2">Formulas!$AI$56</definedName>
    <definedName name="score701.4.3.2">Formulas!$I$63</definedName>
    <definedName name="score702.2.2">Formulas!$P$67</definedName>
    <definedName name="score703.1.1Zone1">Formulas!$A$76</definedName>
    <definedName name="score703.1.1Zone2">Formulas!$A$77</definedName>
    <definedName name="score703.1.1Zone3">Formulas!$A$78</definedName>
    <definedName name="score703.1.1Zone4">Formulas!$A$79</definedName>
    <definedName name="score703.1.1Zone5">Formulas!$A$80</definedName>
    <definedName name="score703.1.1Zone6">Formulas!$A$81</definedName>
    <definedName name="score703.1.1Zone7">Formulas!$A$82</definedName>
    <definedName name="score703.1.1Zone8">Formulas!$A$83</definedName>
    <definedName name="score703.1.2">Formulas!$R$67</definedName>
    <definedName name="score703.1.3Zone1_4">Formulas!$B$76</definedName>
    <definedName name="score703.1.3Zone5">Formulas!$B$77</definedName>
    <definedName name="score703.1.3Zone6">Formulas!$B$78</definedName>
    <definedName name="score703.1.5Zone1">Formulas!$C$76</definedName>
    <definedName name="score703.1.5Zone2">Formulas!$C$77</definedName>
    <definedName name="score703.1.5Zone3">Formulas!$C$78</definedName>
    <definedName name="score703.1.5Zone4">Formulas!$C$79</definedName>
    <definedName name="score703.1.5Zone5">Formulas!$C$80</definedName>
    <definedName name="score703.1.5Zone6">Formulas!$C$81</definedName>
    <definedName name="score703.1.5Zone7">Formulas!$C$82</definedName>
    <definedName name="score703.1.5Zone8">Formulas!$C$83</definedName>
    <definedName name="score703.1.6.2">Formulas!$D$76</definedName>
    <definedName name="score703.2.2_1Zone1">Formulas!$F$77</definedName>
    <definedName name="score703.2.2_1Zone2">Formulas!$F$78</definedName>
    <definedName name="score703.2.2_1Zone3">Formulas!$F$79</definedName>
    <definedName name="score703.2.2_1Zone4">Formulas!$F$80</definedName>
    <definedName name="score703.2.2_1Zone5">Formulas!$F$81</definedName>
    <definedName name="score703.2.2_1Zone6">Formulas!$F$82</definedName>
    <definedName name="score703.2.2_1Zone7">Formulas!$F$83</definedName>
    <definedName name="score703.2.2_1Zone8">Formulas!$F$84</definedName>
    <definedName name="score703.2.2_2Zone1">Formulas!$G$77</definedName>
    <definedName name="score703.2.2_2Zone2">Formulas!$G$78</definedName>
    <definedName name="score703.2.2_2Zone3">Formulas!$G$79</definedName>
    <definedName name="score703.2.2_2Zone4">Formulas!$G$80</definedName>
    <definedName name="score703.2.2_2Zone5">Formulas!$G$81</definedName>
    <definedName name="score703.2.2_2Zone6">Formulas!$G$82</definedName>
    <definedName name="score703.2.2_2Zone7">Formulas!$G$83</definedName>
    <definedName name="score703.2.2_2Zone8">Formulas!$G$84</definedName>
    <definedName name="score703.2.2_3Zone1">Formulas!$H$77</definedName>
    <definedName name="score703.2.2_3Zone2">Formulas!$H$78</definedName>
    <definedName name="score703.2.2_3Zone3">Formulas!$H$79</definedName>
    <definedName name="score703.2.2_3Zone4">Formulas!$H$80</definedName>
    <definedName name="score703.2.2_3Zone5">Formulas!$H$81</definedName>
    <definedName name="score703.2.2_3Zone6">Formulas!$H$82</definedName>
    <definedName name="score703.2.2_3Zone7">Formulas!$H$83</definedName>
    <definedName name="score703.2.2_3Zone8">Formulas!$H$84</definedName>
    <definedName name="score703.2.2_4Zone1">Formulas!$I$77</definedName>
    <definedName name="score703.2.2_4Zone2">Formulas!$I$78</definedName>
    <definedName name="score703.2.2_4Zone3">Formulas!$I$79</definedName>
    <definedName name="score703.2.2_4Zone4">Formulas!$I$80</definedName>
    <definedName name="score703.2.2_4Zone5">Formulas!$I$81</definedName>
    <definedName name="score703.2.2_4Zone6">Formulas!$I$82</definedName>
    <definedName name="score703.2.2_4Zone7">Formulas!$I$83</definedName>
    <definedName name="score703.2.2_4Zone8">Formulas!$I$84</definedName>
    <definedName name="score703.2.2Zone1">Formulas!$E$77</definedName>
    <definedName name="score703.2.2Zone2">Formulas!$E$78</definedName>
    <definedName name="score703.2.2Zone3">Formulas!$E$79</definedName>
    <definedName name="score703.2.2Zone4">Formulas!$E$80</definedName>
    <definedName name="score703.2.2Zone5">Formulas!$E$81</definedName>
    <definedName name="score703.2.2Zone6">Formulas!$E$82</definedName>
    <definedName name="score703.2.2Zone7">Formulas!$E$83</definedName>
    <definedName name="score703.2.2Zone8">Formulas!$E$84</definedName>
    <definedName name="score703.2.3Zone1">Formulas!$J$77</definedName>
    <definedName name="score703.2.3Zone2">Formulas!$J$78</definedName>
    <definedName name="score703.2.3Zone3">Formulas!$J$79</definedName>
    <definedName name="score703.2.3Zone4">Formulas!$J$80</definedName>
    <definedName name="score703.2.3Zone5">Formulas!$J$81</definedName>
    <definedName name="score703.2.3Zone6">Formulas!$J$82</definedName>
    <definedName name="score703.2.3Zone7">Formulas!$J$83</definedName>
    <definedName name="score703.2.3Zone8">Formulas!$J$84</definedName>
    <definedName name="score703.2.4Zone1">Formulas!$K$77</definedName>
    <definedName name="score703.2.4Zone2">Formulas!$K$78</definedName>
    <definedName name="score703.2.4Zone3">Formulas!$K$79</definedName>
    <definedName name="score703.2.4Zone4">Formulas!$K$80</definedName>
    <definedName name="score703.2.4Zone5">Formulas!$K$81</definedName>
    <definedName name="score703.2.4Zone6">Formulas!$K$82</definedName>
    <definedName name="score703.2.4Zone7">Formulas!$K$83</definedName>
    <definedName name="score703.2.4Zone8">Formulas!$K$84</definedName>
    <definedName name="score703.2.6Zone1">Formulas!$L$77</definedName>
    <definedName name="score703.2.6Zone2">Formulas!$L$78</definedName>
    <definedName name="score703.2.6Zone3">Formulas!$L$79</definedName>
    <definedName name="score703.2.6Zone4">Formulas!$L$80</definedName>
    <definedName name="score703.2.6Zone5">Formulas!$L$81</definedName>
    <definedName name="score703.2.6Zone6">Formulas!$L$82</definedName>
    <definedName name="score703.2.6Zone7">Formulas!$L$83</definedName>
    <definedName name="score703.2.6Zone8">Formulas!$L$84</definedName>
    <definedName name="score703.3.4Zone1">Formulas!$M$77</definedName>
    <definedName name="score703.3.4Zone2">Formulas!$M$78</definedName>
    <definedName name="score703.3.4Zone3">Formulas!$M$79</definedName>
    <definedName name="score703.3.4Zone4">Formulas!$M$80</definedName>
    <definedName name="score703.3.4Zone5">Formulas!$M$81</definedName>
    <definedName name="score703.3.4Zone6">Formulas!$M$82</definedName>
    <definedName name="score703.3.4Zone7">Formulas!$M$83</definedName>
    <definedName name="score703.3.4Zone8">Formulas!$M$84</definedName>
    <definedName name="score703.4.1_1aZone1">Formulas!$O$77</definedName>
    <definedName name="score703.4.1_1aZone2">Formulas!$O$78</definedName>
    <definedName name="score703.4.1_1aZone3">Formulas!$O$79</definedName>
    <definedName name="score703.4.1_1aZone4">Formulas!$O$80</definedName>
    <definedName name="score703.4.1_1aZone5">Formulas!$O$81</definedName>
    <definedName name="score703.4.1_1aZone6">Formulas!$O$82</definedName>
    <definedName name="score703.4.1_1aZone7">Formulas!$O$83</definedName>
    <definedName name="score703.4.1_1aZone8">Formulas!$O$84</definedName>
    <definedName name="score703.4.1_1bZone1">Formulas!$P$77</definedName>
    <definedName name="score703.4.1_1bZone2">Formulas!$P$78</definedName>
    <definedName name="score703.4.1_1bZone3">Formulas!$P$79</definedName>
    <definedName name="score703.4.1_1bZone4">Formulas!$P$80</definedName>
    <definedName name="score703.4.1_1bZone5">Formulas!$P$81</definedName>
    <definedName name="score703.4.1_1bZone6">Formulas!$P$82</definedName>
    <definedName name="score703.4.1_1bZone7">Formulas!$P$83</definedName>
    <definedName name="score703.4.1_1bZone8">Formulas!$P$84</definedName>
    <definedName name="score703.4.1_2Zone1">Formulas!$Q$77</definedName>
    <definedName name="score703.4.1_2Zone2">Formulas!$Q$78</definedName>
    <definedName name="score703.4.1_2Zone3">Formulas!$Q$79</definedName>
    <definedName name="score703.4.1_2Zone4">Formulas!$Q$80</definedName>
    <definedName name="score703.4.1_2Zone5">Formulas!$Q$81</definedName>
    <definedName name="score703.4.1_2Zone6">Formulas!$Q$82</definedName>
    <definedName name="score703.4.1_2Zone7">Formulas!$Q$83</definedName>
    <definedName name="score703.4.1_2Zone8">Formulas!$Q$84</definedName>
    <definedName name="score703.4.1_3Zone1">Formulas!$R$77</definedName>
    <definedName name="score703.4.1_3Zone2">Formulas!$R$78</definedName>
    <definedName name="score703.4.1_3Zone3">Formulas!$R$79</definedName>
    <definedName name="score703.4.1_3Zone4">Formulas!$R$80</definedName>
    <definedName name="score703.4.1_3Zone5">Formulas!$R$81</definedName>
    <definedName name="score703.4.1_3Zone6">Formulas!$R$82</definedName>
    <definedName name="score703.4.1_3Zone7">Formulas!$R$83</definedName>
    <definedName name="score703.4.1_3Zone8">Formulas!$R$84</definedName>
    <definedName name="score703.4.1_4Zone1">Formulas!$S$77</definedName>
    <definedName name="score703.4.1_4Zone2">Formulas!$S$78</definedName>
    <definedName name="score703.4.1_4Zone3">Formulas!$S$79</definedName>
    <definedName name="score703.4.1_4Zone4">Formulas!$S$80</definedName>
    <definedName name="score703.4.1_4Zone5">Formulas!$S$81</definedName>
    <definedName name="score703.4.1_4Zone6">Formulas!$S$82</definedName>
    <definedName name="score703.4.1_4Zone7">Formulas!$S$83</definedName>
    <definedName name="score703.4.1_4Zone8">Formulas!$S$84</definedName>
    <definedName name="score703.4.1Zone1">Formulas!$N$77</definedName>
    <definedName name="score703.4.1Zone2">Formulas!$N$78</definedName>
    <definedName name="score703.4.1Zone3">Formulas!$N$79</definedName>
    <definedName name="score703.4.1Zone4">Formulas!$N$80</definedName>
    <definedName name="score703.4.1Zone5">Formulas!$N$81</definedName>
    <definedName name="score703.4.1Zone6">Formulas!$N$82</definedName>
    <definedName name="score703.4.1Zone7">Formulas!$N$83</definedName>
    <definedName name="score703.4.1Zone8">Formulas!$N$84</definedName>
    <definedName name="score703.4.5Zone1">Formulas!$T$77</definedName>
    <definedName name="score703.4.5Zone2">Formulas!$T$78</definedName>
    <definedName name="score703.4.5Zone3">Formulas!$T$79</definedName>
    <definedName name="score703.4.5Zone4">Formulas!$T$80</definedName>
    <definedName name="score703.4.5Zone5">Formulas!$T$81</definedName>
    <definedName name="score703.4.5Zone6">Formulas!$T$82</definedName>
    <definedName name="score703.4.5Zone7">Formulas!$T$83</definedName>
    <definedName name="score703.4.5Zone8">Formulas!$T$84</definedName>
    <definedName name="score703.5.1Zone1">Formulas!$U$77</definedName>
    <definedName name="score703.5.1Zone2">Formulas!$U$78</definedName>
    <definedName name="score703.5.1Zone3">Formulas!$U$79</definedName>
    <definedName name="score703.5.1Zone4">Formulas!$U$80</definedName>
    <definedName name="score703.5.1Zone5">Formulas!$U$81</definedName>
    <definedName name="score703.5.1Zone6">Formulas!$U$82</definedName>
    <definedName name="score703.5.1Zone7">Formulas!$U$83</definedName>
    <definedName name="score703.5.1Zone8">Formulas!$U$84</definedName>
    <definedName name="score703.5.2">Formulas!$U$67</definedName>
    <definedName name="score704.2.1">Formulas!$S$67</definedName>
    <definedName name="score704.5.2.1_1">Formulas!$V$67</definedName>
    <definedName name="score705.2_2">Formulas!$T$67</definedName>
    <definedName name="score801.1.1">Formulas!$A$95</definedName>
    <definedName name="score801.2_2">Formulas!$B$95</definedName>
    <definedName name="score801.3_1">Formulas!$C$95</definedName>
    <definedName name="score801.3_2">Formulas!$D$95</definedName>
    <definedName name="score801.3_3">Formulas!$E$95</definedName>
    <definedName name="score801.4.1_1">Formulas!$F$95</definedName>
    <definedName name="score801.4.2">Formulas!$G$95</definedName>
    <definedName name="score801.5_2">Formulas!$I$95</definedName>
    <definedName name="score801.5_3a">Formulas!$J$95</definedName>
    <definedName name="score801.7.1">Formulas!$K$95</definedName>
    <definedName name="score801.7.2">Formulas!$L$95</definedName>
    <definedName name="score802.1">Formulas!$M$95</definedName>
    <definedName name="score802.2">Formulas!$N$95</definedName>
    <definedName name="score901.1.1">Formulas!$A$111</definedName>
    <definedName name="score901.1.3_1">Formulas!$B$111</definedName>
    <definedName name="score901.1.3_2">Formulas!$C$111</definedName>
    <definedName name="score901.1.6">Formulas!$E$111</definedName>
    <definedName name="score901.10">Formulas!$V$111</definedName>
    <definedName name="score901.13">Formulas!$W$111</definedName>
    <definedName name="score901.2.1_1">Formulas!$F$111</definedName>
    <definedName name="score901.2.1_2">Formulas!$G$111</definedName>
    <definedName name="score901.2.1_3">Formulas!$H$111</definedName>
    <definedName name="score901.2.1_4">Formulas!$I$111</definedName>
    <definedName name="score901.2.1_5">Formulas!$J$111</definedName>
    <definedName name="score901.3_1_a">Formulas!$K$111</definedName>
    <definedName name="score901.3_1_b">Formulas!$L$111</definedName>
    <definedName name="score901.4">Formulas!$M$111</definedName>
    <definedName name="score901.4_1">Formulas!$N$111</definedName>
    <definedName name="score901.4_2">Formulas!$O$111</definedName>
    <definedName name="score901.4_3">Formulas!$P$111</definedName>
    <definedName name="score901.4_4">Formulas!$Q$111</definedName>
    <definedName name="score901.4_5">Formulas!$R$111</definedName>
    <definedName name="score901.4_6">Formulas!$S$111</definedName>
    <definedName name="score901.5">Formulas!$T$111</definedName>
    <definedName name="score902.1.1_1">Formulas!$X$111</definedName>
    <definedName name="score902.1.2">Formulas!$Z$111</definedName>
    <definedName name="score902.1.4">Formulas!$AA$111</definedName>
    <definedName name="score902.1.4_1">Formulas!$AB$111</definedName>
    <definedName name="score902.1.4_2">Formulas!$AC$111</definedName>
    <definedName name="score902.2.1">Formulas!$AD$111</definedName>
    <definedName name="score902.3_1">Formulas!$AE$111</definedName>
    <definedName name="score902.4">Formulas!$AG$111</definedName>
    <definedName name="score903.1">Formulas!$AI$111</definedName>
    <definedName name="score903.2">Formulas!$AJ$111</definedName>
    <definedName name="score903.3">Formulas!$AK$111</definedName>
    <definedName name="section702req">Formulas!$E$165</definedName>
    <definedName name="section703req">Formulas!$A$205</definedName>
    <definedName name="section704req">Formulas!$C$177</definedName>
    <definedName name="section901.9.1">'Ch9'!$B$84</definedName>
    <definedName name="Seven">Formulas!$W$5:$W$6</definedName>
    <definedName name="silverMinimum">Formulas!$C$136</definedName>
    <definedName name="Six">Formulas!$V$5:$V$6</definedName>
    <definedName name="startAttachedGarage">'Start Here!'!$F$47</definedName>
    <definedName name="startAtticType">'Start Here!'!$F$43</definedName>
    <definedName name="startBuilderName">'Start Here!'!$F$16</definedName>
    <definedName name="startBuilderPhone">'Start Here!'!$F$17</definedName>
    <definedName name="startBuildingCode">Formulas!$Z$5:$Z$14</definedName>
    <definedName name="startClimateType">'Start Here!'!$K$23</definedName>
    <definedName name="startClimateZone">'Start Here!'!$F$23</definedName>
    <definedName name="startCompostingToilet">'Start Here!'!$M$52</definedName>
    <definedName name="startCounty">'Start Here!'!$J$19</definedName>
    <definedName name="startDuctless">'Start Here!'!$H$53</definedName>
    <definedName name="startEnergyCode">Formulas!$Y$5:$Y$12</definedName>
    <definedName name="startFoundation">'Start Here!'!$F$33</definedName>
    <definedName name="startHeatingFuel">'Start Here!'!$F$37</definedName>
    <definedName name="startHERSIndex">'Start Here!'!$F$31</definedName>
    <definedName name="startHomeAddress">'Start Here!'!$F$18</definedName>
    <definedName name="startHomeCity">'Start Here!'!$J$18</definedName>
    <definedName name="startHomeState">'Start Here!'!$N$18</definedName>
    <definedName name="startHomeZip">'Start Here!'!$P$18</definedName>
    <definedName name="startHVAC1">'Start Here!'!$F$35</definedName>
    <definedName name="startHVAC2">'Start Here!'!$K$35</definedName>
    <definedName name="startHVAC3">'Start Here!'!$P$35</definedName>
    <definedName name="startLocalBuildingCode">'Start Here!'!$F$58</definedName>
    <definedName name="startLocalEnergyCode">'Start Here!'!$F$56</definedName>
    <definedName name="startLot">'Start Here!'!$F$19</definedName>
    <definedName name="startMassWalls">'Start Here!'!$H$52</definedName>
    <definedName name="startMultiUnits">'Start Here!'!$L$21</definedName>
    <definedName name="startPassiveSolar">'Start Here!'!$H$51</definedName>
    <definedName name="startProjectDesc">'Start Here!'!$F$29</definedName>
    <definedName name="startProjectName">'Start Here!'!$P$21</definedName>
    <definedName name="startRadiant_Hydronic">'Start Here!'!$H$54</definedName>
    <definedName name="startRecessedLights">'Start Here!'!$F$49</definedName>
    <definedName name="startRenewableEnergy">'Start Here!'!$F$39</definedName>
    <definedName name="startRevisionDate">'Start Here!'!$C$9</definedName>
    <definedName name="startSFBurningApp">'Start Here!'!$F$45</definedName>
    <definedName name="startSingleorMulti">'Start Here!'!$F$21</definedName>
    <definedName name="startSquareFootage">'Start Here!'!$F$25</definedName>
    <definedName name="startTanklessWH">'Start Here!'!$M$51</definedName>
    <definedName name="startTEInsulation">'Start Here!'!$F$41</definedName>
    <definedName name="startTotalFloorArea">'Start Here!'!$F$27</definedName>
    <definedName name="subLevelReached">Formulas!$A$142</definedName>
    <definedName name="TargetLevel">'Verification Rpt'!$K$5</definedName>
    <definedName name="Three">Formulas!$S$5:$S$8</definedName>
    <definedName name="Two">Formulas!$R$5:$R$6</definedName>
    <definedName name="Vach50pts">Formulas!$Z$30</definedName>
    <definedName name="Vadditionalpoints">Formulas!$A$268</definedName>
    <definedName name="vch10totalscore">Formulas!$G$320</definedName>
    <definedName name="vch5totalscore">Formulas!$G$325</definedName>
    <definedName name="vch6totalscore">Formulas!$G$324</definedName>
    <definedName name="vch7totalscore">Formulas!$G$323</definedName>
    <definedName name="vch8totalscore">Formulas!$G$322</definedName>
    <definedName name="vch9totalscore">Formulas!$G$321</definedName>
    <definedName name="VCZ">'Verification Rpt'!$F$6</definedName>
    <definedName name="VCZACH50">Formulas!$Q$28</definedName>
    <definedName name="VCZACH501">Formulas!$Q$30:$Q$34</definedName>
    <definedName name="VCZACH502">Formulas!$R$30:$R$34</definedName>
    <definedName name="VCZACH503">Formulas!$S$30:$S$34</definedName>
    <definedName name="VCZACH504">Formulas!$T$30:$T$34</definedName>
    <definedName name="VCZACH505">Formulas!$U$30:$U$34</definedName>
    <definedName name="VCZACH506">Formulas!$V$30:$V$34</definedName>
    <definedName name="VCZACH507">Formulas!$W$30:$W$34</definedName>
    <definedName name="VCZACH508">Formulas!$X$30:$X$34</definedName>
    <definedName name="VCZEight">Formulas!$X$13:$X$17</definedName>
    <definedName name="VCZFive">Formulas!$U$13:$U$17</definedName>
    <definedName name="VCZFour">Formulas!$T$13:$T$17</definedName>
    <definedName name="VCZmass">Formulas!$Q$19</definedName>
    <definedName name="VCZmassEight">Formulas!$X$21:$X$22</definedName>
    <definedName name="VCZmassFive">Formulas!$U$21:$U$23</definedName>
    <definedName name="VCZmassFour">Formulas!$T$21:$T$23</definedName>
    <definedName name="VCZmassOne">Formulas!$Q$21:$Q$23</definedName>
    <definedName name="VCZmassSeven">Formulas!$W$21:$W$22</definedName>
    <definedName name="VCZmassSix">Formulas!$V$21:$V$23</definedName>
    <definedName name="VCZmassThree">Formulas!$S$21:$S$23</definedName>
    <definedName name="VCZmassTwo">Formulas!$R$21:$R$23</definedName>
    <definedName name="VCZOne">Formulas!$Q$13:$Q$17</definedName>
    <definedName name="VCZradiant">Formulas!$Q$24</definedName>
    <definedName name="VCZradiantEight">Formulas!$X$25</definedName>
    <definedName name="VCZradiantFive">Formulas!$U$25</definedName>
    <definedName name="VCZradiantFour">Formulas!$T$25:$T$26</definedName>
    <definedName name="VCZradiantOne">Formulas!$Q$25:$Q$26</definedName>
    <definedName name="VCZradiantSeven">Formulas!$W$25</definedName>
    <definedName name="VCZradiantSix">Formulas!$V$25</definedName>
    <definedName name="VCZradiantThree">Formulas!$S$25:$S$26</definedName>
    <definedName name="VCZradiantTwo">Formulas!$R$25:$R$26</definedName>
    <definedName name="VCZSeven">Formulas!$W$13:$W$17</definedName>
    <definedName name="VCZSix">Formulas!$V$13:$V$17</definedName>
    <definedName name="VCZThree">Formulas!$S$13:$S$17</definedName>
    <definedName name="VCZTwo">Formulas!$R$13:$R$17</definedName>
    <definedName name="VCZword">Formulas!$Q$11</definedName>
    <definedName name="VentNeeded">Formulas!$E$129</definedName>
    <definedName name="verifiedlevel">Formulas!$A$251</definedName>
    <definedName name="VerifierName">'Final Signature'!$D$47</definedName>
    <definedName name="VerifierRoles">Formulas!$AX$91:$AX$94</definedName>
    <definedName name="VerifierServices">'Final Signature'!$B$46</definedName>
    <definedName name="VerifierSignature">'Final Signature'!$A$47</definedName>
    <definedName name="vlevel">Formulas!$A$340</definedName>
    <definedName name="vn1001.1">'Verification Rpt'!$J$767</definedName>
    <definedName name="vn1001.1_1">'Verification Rpt'!$J$768</definedName>
    <definedName name="vn1001.1_10">'Verification Rpt'!$J$777</definedName>
    <definedName name="vn1001.1_11">'Verification Rpt'!$J$778</definedName>
    <definedName name="vn1001.1_12">'Verification Rpt'!$J$779</definedName>
    <definedName name="vn1001.1_13">'Verification Rpt'!$J$780</definedName>
    <definedName name="vn1001.1_14">'Verification Rpt'!$J$781</definedName>
    <definedName name="vn1001.1_15">'Verification Rpt'!$J$782</definedName>
    <definedName name="vn1001.1_16">'Verification Rpt'!$J$783</definedName>
    <definedName name="vn1001.1_17">'Verification Rpt'!$J$784</definedName>
    <definedName name="vn1001.1_18">'Verification Rpt'!$J$785</definedName>
    <definedName name="vn1001.1_19">'Verification Rpt'!$J$786</definedName>
    <definedName name="vn1001.1_2">'Verification Rpt'!$J$769</definedName>
    <definedName name="vn1001.1_20">'Verification Rpt'!$J$787</definedName>
    <definedName name="vn1001.1_21">'Verification Rpt'!$J$788</definedName>
    <definedName name="vn1001.1_3">'Verification Rpt'!$J$770</definedName>
    <definedName name="vn1001.1_4">'Verification Rpt'!$J$771</definedName>
    <definedName name="vn1001.1_5">'Verification Rpt'!$J$772</definedName>
    <definedName name="vn1001.1_6">'Verification Rpt'!$J$773</definedName>
    <definedName name="vn1001.1_7">'Verification Rpt'!$J$774</definedName>
    <definedName name="vn1001.1_8">'Verification Rpt'!$J$775</definedName>
    <definedName name="vn1001.1_9">'Verification Rpt'!$J$776</definedName>
    <definedName name="vn1002.1">'Verification Rpt'!$J$790</definedName>
    <definedName name="vn1003.1">'Verification Rpt'!$J$793</definedName>
    <definedName name="vn1003.1_1">'Verification Rpt'!$J$794</definedName>
    <definedName name="vn1003.1_2">'Verification Rpt'!$J$795</definedName>
    <definedName name="vn1003.1_3">'Verification Rpt'!$J$796</definedName>
    <definedName name="vn1003.1_4">'Verification Rpt'!$J$797</definedName>
    <definedName name="vn1003.1_5">'Verification Rpt'!$J$798</definedName>
    <definedName name="vn1003.1_6">'Verification Rpt'!$J$799</definedName>
    <definedName name="vn1003.1_7">'Verification Rpt'!$J$800</definedName>
    <definedName name="vn1003.1_8">'Verification Rpt'!$J$801</definedName>
    <definedName name="vn1003.2">'Verification Rpt'!$J$802</definedName>
    <definedName name="vn1003.2_1">'Verification Rpt'!$J$803</definedName>
    <definedName name="vn1003.2_10">'Verification Rpt'!$J$812</definedName>
    <definedName name="vn1003.2_2">'Verification Rpt'!$J$804</definedName>
    <definedName name="vn1003.2_3">'Verification Rpt'!$J$805</definedName>
    <definedName name="vn1003.2_4">'Verification Rpt'!$J$806</definedName>
    <definedName name="vn1003.2_5">'Verification Rpt'!$J$807</definedName>
    <definedName name="vn1003.2_6">'Verification Rpt'!$J$808</definedName>
    <definedName name="vn1003.2_7">'Verification Rpt'!$J$809</definedName>
    <definedName name="vn1003.2_8">'Verification Rpt'!$J$810</definedName>
    <definedName name="vn1003.2_9">'Verification Rpt'!$J$811</definedName>
    <definedName name="vn1003.3">'Verification Rpt'!$J$813</definedName>
    <definedName name="vn1003.3_1">'Verification Rpt'!$J$814</definedName>
    <definedName name="vn1003.3_2">'Verification Rpt'!$J$815</definedName>
    <definedName name="vn1003.3_3">'Verification Rpt'!$J$816</definedName>
    <definedName name="vn1003.3_4">'Verification Rpt'!$J$817</definedName>
    <definedName name="vn1003.3_5">'Verification Rpt'!$J$818</definedName>
    <definedName name="vn1003.3_6">'Verification Rpt'!$J$819</definedName>
    <definedName name="vn1003.3_7">'Verification Rpt'!$J$820</definedName>
    <definedName name="vn1003.3_8">'Verification Rpt'!$J$821</definedName>
    <definedName name="vn1003.3_9">'Verification Rpt'!$J$822</definedName>
    <definedName name="vn501.1_1">'Verification Rpt'!$J$16</definedName>
    <definedName name="vn501.1_2">'Verification Rpt'!$J$17</definedName>
    <definedName name="vn501.1_3">'Verification Rpt'!$J$18</definedName>
    <definedName name="vn501.1_4">'Verification Rpt'!$J$19</definedName>
    <definedName name="vn501.1_5">'Verification Rpt'!$J$20</definedName>
    <definedName name="vn501.2_1">'Verification Rpt'!$J$22</definedName>
    <definedName name="vn501.2_2">'Verification Rpt'!$J$23</definedName>
    <definedName name="vn501.2_3">'Verification Rpt'!$J$24</definedName>
    <definedName name="vn501.2_4">'Verification Rpt'!$J$25</definedName>
    <definedName name="vn502.1">'Verification Rpt'!$J$28</definedName>
    <definedName name="vn503.1">'Verification Rpt'!$J$32</definedName>
    <definedName name="vn503.1_1">'Verification Rpt'!$J$32</definedName>
    <definedName name="vn503.1_2">'Verification Rpt'!$J$33</definedName>
    <definedName name="vn503.1_3">'Verification Rpt'!$J$34</definedName>
    <definedName name="vn503.1_4">'Verification Rpt'!$J$35</definedName>
    <definedName name="vn503.1_5">'Verification Rpt'!$J$36</definedName>
    <definedName name="vn503.1_6">'Verification Rpt'!$J$37</definedName>
    <definedName name="vn503.1_7">'Verification Rpt'!$J$38</definedName>
    <definedName name="vn503.2_1">'Verification Rpt'!$J$40</definedName>
    <definedName name="vn503.2_2">'Verification Rpt'!$J$41</definedName>
    <definedName name="vn503.2_3">'Verification Rpt'!$J$43</definedName>
    <definedName name="vn503.2_4">'Verification Rpt'!$J$46</definedName>
    <definedName name="vn503.2_5">'Verification Rpt'!$J$47</definedName>
    <definedName name="vn503.3_1">'Verification Rpt'!$J$49</definedName>
    <definedName name="vn503.3_2">'Verification Rpt'!$J$50</definedName>
    <definedName name="vn503.3_3">'Verification Rpt'!$J$51</definedName>
    <definedName name="vn503.4_1">'Verification Rpt'!$J$53</definedName>
    <definedName name="vn503.4_2">'Verification Rpt'!$J$54</definedName>
    <definedName name="vn503.4_3">'Verification Rpt'!$J$56</definedName>
    <definedName name="vn503.4_4">'Verification Rpt'!$J$59</definedName>
    <definedName name="vn503.4_5">'Verification Rpt'!$J$60</definedName>
    <definedName name="vn503.4_6">'Verification Rpt'!$J$61</definedName>
    <definedName name="vn503.5">'Verification Rpt'!$J$62</definedName>
    <definedName name="vn503.5_1">'Verification Rpt'!$J$64</definedName>
    <definedName name="vn503.5_2">'Verification Rpt'!$J$66</definedName>
    <definedName name="vn503.5_3">'Verification Rpt'!$J$69</definedName>
    <definedName name="vn503.5_4">'Verification Rpt'!$J$74</definedName>
    <definedName name="vn503.5_5">'Verification Rpt'!$J$76</definedName>
    <definedName name="vn503.5_6">'Verification Rpt'!$J$77</definedName>
    <definedName name="vn503.5_7">'Verification Rpt'!$J$78</definedName>
    <definedName name="vn503.5_8">'Verification Rpt'!$J$79</definedName>
    <definedName name="vn503.6_1">'Verification Rpt'!$J$82</definedName>
    <definedName name="vn503.6_2">'Verification Rpt'!$J$84</definedName>
    <definedName name="vn503.6_3">'Verification Rpt'!$J$86</definedName>
    <definedName name="vn503.6_4">'Verification Rpt'!$J$88</definedName>
    <definedName name="vn503.7_1">'Verification Rpt'!$J$90</definedName>
    <definedName name="vn503.7_2">'Verification Rpt'!$J$91</definedName>
    <definedName name="vn504.1">'Verification Rpt'!$J$94</definedName>
    <definedName name="vn504.2_1">'Verification Rpt'!$J$97</definedName>
    <definedName name="vn504.2_2">'Verification Rpt'!$J$99</definedName>
    <definedName name="vn504.2_3">'Verification Rpt'!$J$100</definedName>
    <definedName name="vn504.3_1">'Verification Rpt'!$J$102</definedName>
    <definedName name="vn504.3_2">'Verification Rpt'!$J$104</definedName>
    <definedName name="vn504.3_3">'Verification Rpt'!$J$106</definedName>
    <definedName name="vn504.3_4">'Verification Rpt'!$J$108</definedName>
    <definedName name="vn504.3_5">'Verification Rpt'!$J$110</definedName>
    <definedName name="vn504.3_6">'Verification Rpt'!$J$112</definedName>
    <definedName name="vn504.3_7">'Verification Rpt'!$J$113</definedName>
    <definedName name="vn504.3_8">'Verification Rpt'!$J$114</definedName>
    <definedName name="vn504.3_9">'Verification Rpt'!$J$115</definedName>
    <definedName name="vn505.1_1">'Verification Rpt'!$J$118</definedName>
    <definedName name="vn505.1_2">'Verification Rpt'!$J$119</definedName>
    <definedName name="vn505.1_3">'Verification Rpt'!$J$121</definedName>
    <definedName name="vn505.2_1">'Verification Rpt'!$J$126</definedName>
    <definedName name="vn505.2_2">'Verification Rpt'!$J$128</definedName>
    <definedName name="vn505.3">'Verification Rpt'!$J$131</definedName>
    <definedName name="vn505.4">'Verification Rpt'!$J$133</definedName>
    <definedName name="vn505.5">'Verification Rpt'!$J$134</definedName>
    <definedName name="vn601.1">'Verification Rpt'!$J$141</definedName>
    <definedName name="vn601.2_1">'Verification Rpt'!$J$146</definedName>
    <definedName name="vn601.2_2">'Verification Rpt'!$J$148</definedName>
    <definedName name="vn601.2_3">'Verification Rpt'!$J$150</definedName>
    <definedName name="vn601.3_1">'Verification Rpt'!$J$152</definedName>
    <definedName name="vn601.3_2">'Verification Rpt'!$J$153</definedName>
    <definedName name="vn601.3_3">'Verification Rpt'!$J$154</definedName>
    <definedName name="vn601.3_4">'Verification Rpt'!$J$155</definedName>
    <definedName name="vn601.3_5">'Verification Rpt'!$J$156</definedName>
    <definedName name="vn601.4">'Verification Rpt'!$J$157</definedName>
    <definedName name="vn601.5_1">'Verification Rpt'!$J$159</definedName>
    <definedName name="vn601.5_2">'Verification Rpt'!$J$160</definedName>
    <definedName name="vn601.5_3">'Verification Rpt'!$J$161</definedName>
    <definedName name="vn601.5_4">'Verification Rpt'!$J$162</definedName>
    <definedName name="vn601.5_5">'Verification Rpt'!$J$163</definedName>
    <definedName name="vn601.6">'Verification Rpt'!$J$165</definedName>
    <definedName name="vn601.7">'Verification Rpt'!$J$169</definedName>
    <definedName name="vn601.8">'Verification Rpt'!$J$173</definedName>
    <definedName name="vn601.9">'Verification Rpt'!$J$175</definedName>
    <definedName name="vn602.1.1.1">'Verification Rpt'!$J$178</definedName>
    <definedName name="vn602.1.1.2">'Verification Rpt'!$J$179</definedName>
    <definedName name="vn602.1.10">'Verification Rpt'!$J$223</definedName>
    <definedName name="vn602.1.11">'Verification Rpt'!$J$226</definedName>
    <definedName name="vn602.1.12">'Verification Rpt'!$J$227</definedName>
    <definedName name="vn602.1.13">'Verification Rpt'!$J$229</definedName>
    <definedName name="vn602.1.14_1">'Verification Rpt'!$J$231</definedName>
    <definedName name="vn602.1.14_2">'Verification Rpt'!$J$232</definedName>
    <definedName name="vn602.1.14_3">'Verification Rpt'!$J$233</definedName>
    <definedName name="vn602.1.2">'Verification Rpt'!$J$181</definedName>
    <definedName name="vn602.1.3.1">'Verification Rpt'!$J$183</definedName>
    <definedName name="vn602.1.3.2">'Verification Rpt'!$J$184</definedName>
    <definedName name="vn602.1.4.1_1">'Verification Rpt'!$J$187</definedName>
    <definedName name="vn602.1.4.1_2">'Verification Rpt'!$J$189</definedName>
    <definedName name="vn602.1.4.2_1">'Verification Rpt'!$J$191</definedName>
    <definedName name="vn602.1.4.2_2">'Verification Rpt'!$J$192</definedName>
    <definedName name="vn602.1.5">'Verification Rpt'!$J$193</definedName>
    <definedName name="vn602.1.6">'Verification Rpt'!$J$195</definedName>
    <definedName name="vn602.1.7.1_1">'Verification Rpt'!$J$200</definedName>
    <definedName name="vn602.1.7.1_2">'Verification Rpt'!$J$202</definedName>
    <definedName name="vn602.1.7.1_3">'Verification Rpt'!$J$204</definedName>
    <definedName name="vn602.1.7.2">'Verification Rpt'!$J$205</definedName>
    <definedName name="vn602.1.8">'Verification Rpt'!$J$207</definedName>
    <definedName name="vn602.1.9_1">'Verification Rpt'!$J$209</definedName>
    <definedName name="vn602.1.9_2">'Verification Rpt'!$J$211</definedName>
    <definedName name="vn602.1.9_3">'Verification Rpt'!$J$213</definedName>
    <definedName name="vn602.1.9_4">'Verification Rpt'!$J$214</definedName>
    <definedName name="vn602.1.9_5">'Verification Rpt'!$J$216</definedName>
    <definedName name="vn602.1.9_6">'Verification Rpt'!$J$219</definedName>
    <definedName name="vn602.1.9_7">'Verification Rpt'!$J$221</definedName>
    <definedName name="vn602.2">'Verification Rpt'!$J$236</definedName>
    <definedName name="vn602.3">'Verification Rpt'!$J$239</definedName>
    <definedName name="vn602.4.1">'Verification Rpt'!$J$240</definedName>
    <definedName name="vn602.4.2">'Verification Rpt'!$J$241</definedName>
    <definedName name="vn602.4.3">'Verification Rpt'!$J$242</definedName>
    <definedName name="vn603.1">'Verification Rpt'!$J$244</definedName>
    <definedName name="vn603.2">'Verification Rpt'!$J$247</definedName>
    <definedName name="vn603.3">'Verification Rpt'!$J$248</definedName>
    <definedName name="vn604.1.1">'Verification Rpt'!$J$252</definedName>
    <definedName name="vn604.1.2">'Verification Rpt'!$J$256</definedName>
    <definedName name="vn605.1">'Verification Rpt'!$J$259</definedName>
    <definedName name="vn605.2">'Verification Rpt'!$J$260</definedName>
    <definedName name="vn605.3">'Verification Rpt'!$J$263</definedName>
    <definedName name="vn606.1">'Verification Rpt'!$J$268</definedName>
    <definedName name="vn606.2_1">'Verification Rpt'!$J$273</definedName>
    <definedName name="vn606.2_2">'Verification Rpt'!$J$275</definedName>
    <definedName name="vn606.3">'Verification Rpt'!$J$278</definedName>
    <definedName name="vn607.1_1">'Verification Rpt'!$J$281</definedName>
    <definedName name="vn607.1_2">'Verification Rpt'!$J$282</definedName>
    <definedName name="vn607.2">'Verification Rpt'!$J$283</definedName>
    <definedName name="vn608.1">'Verification Rpt'!$J$286</definedName>
    <definedName name="vn609.1">'Verification Rpt'!$J$290</definedName>
    <definedName name="vn610.1">'Verification Rpt'!$J$293</definedName>
    <definedName name="vn610.1.1">'Verification Rpt'!$J$295</definedName>
    <definedName name="vn610.1.2">'Verification Rpt'!$J$296</definedName>
    <definedName name="vn610.1.2.1">'Verification Rpt'!$J$298</definedName>
    <definedName name="vn6101.2.2">'Verification Rpt'!$J$302</definedName>
    <definedName name="vn611.1">'Verification Rpt'!$J$308</definedName>
    <definedName name="vn611.2">'Verification Rpt'!$J$312</definedName>
    <definedName name="vn611.2_1">'Verification Rpt'!$J$313</definedName>
    <definedName name="vn611.2_2">'Verification Rpt'!$J$314</definedName>
    <definedName name="vn611.2_3">'Verification Rpt'!$J$315</definedName>
    <definedName name="vn611.2_4">'Verification Rpt'!$J$316</definedName>
    <definedName name="vn611.2_5">'Verification Rpt'!$J$317</definedName>
    <definedName name="vn611.2_6">'Verification Rpt'!$J$318</definedName>
    <definedName name="vn611.2_7">'Verification Rpt'!$J$319</definedName>
    <definedName name="vn611.3">'Verification Rpt'!$J$320</definedName>
    <definedName name="vn611.3_1">'Verification Rpt'!$J$321</definedName>
    <definedName name="vn611.3_2">'Verification Rpt'!$J$322</definedName>
    <definedName name="vn611.3_3">'Verification Rpt'!$J$323</definedName>
    <definedName name="vn611.3_4">'Verification Rpt'!$J$325</definedName>
    <definedName name="vn701.1">'Verification Rpt'!$J$331</definedName>
    <definedName name="vn701.1.3Step1">'Verification Rpt'!$J$333</definedName>
    <definedName name="vn701.1.3Step2">'Verification Rpt'!$J$334</definedName>
    <definedName name="vn701.3">'Verification Rpt'!$J$337</definedName>
    <definedName name="vn701.4.1.1">'Verification Rpt'!$J$340</definedName>
    <definedName name="vn701.4.1.2">'Verification Rpt'!$J$341</definedName>
    <definedName name="vn701.4.2.1">'Verification Rpt'!$J$343</definedName>
    <definedName name="vn701.4.2.2">'Verification Rpt'!$J$344</definedName>
    <definedName name="vn701.4.2.3">'Verification Rpt'!$J$345</definedName>
    <definedName name="vn701.4.3.1">'Verification Rpt'!$J$347</definedName>
    <definedName name="vn701.4.3.2">'Verification Rpt'!$J$349</definedName>
    <definedName name="vn701.4.3.2_1">'Verification Rpt'!$J$352</definedName>
    <definedName name="vn701.4.3.2_1ACH50">'Verification Rpt'!$J$351</definedName>
    <definedName name="vn701.4.3.2_2">'Verification Rpt'!$J$353</definedName>
    <definedName name="vn701.4.3.2_3">'Verification Rpt'!$J$354</definedName>
    <definedName name="vn701.4.3.2_4">'Verification Rpt'!$J$355</definedName>
    <definedName name="vn701.4.3.2Grade3">'Verification Rpt'!$J$348</definedName>
    <definedName name="vn701.4.4">'Verification Rpt'!$J$356</definedName>
    <definedName name="vn701.4.5">'Verification Rpt'!$J$357</definedName>
    <definedName name="vn702.2.1">'Verification Rpt'!$J$360</definedName>
    <definedName name="vn702.2.2">'Verification Rpt'!$J$364</definedName>
    <definedName name="vn702.2.2Percentage">'Verification Rpt'!$J$363</definedName>
    <definedName name="vn703.1.1">'Verification Rpt'!$J$370</definedName>
    <definedName name="vn703.1.2">'Verification Rpt'!$J$375</definedName>
    <definedName name="vn703.1.3">'Verification Rpt'!$J$378</definedName>
    <definedName name="vn703.1.4">'Verification Rpt'!$J$379</definedName>
    <definedName name="vn703.1.5">'Verification Rpt'!$J$383</definedName>
    <definedName name="vn703.1.5ACH50">'Verification Rpt'!$J$382</definedName>
    <definedName name="vn703.1.6.1">'Verification Rpt'!$J$388</definedName>
    <definedName name="vn703.1.6.2_a">'Verification Rpt'!$J$390</definedName>
    <definedName name="vn703.1.6.2_b">'Verification Rpt'!$J$392</definedName>
    <definedName name="vn703.1.6.2_c">'Verification Rpt'!$J$394</definedName>
    <definedName name="vn703.2.1">'Verification Rpt'!$J$397</definedName>
    <definedName name="vn703.2.2">'Verification Rpt'!$J$402</definedName>
    <definedName name="vn703.2.2AFUE">'Verification Rpt'!$J$401</definedName>
    <definedName name="vn703.2.2HeatingSystemType">'Verification Rpt'!$J$399</definedName>
    <definedName name="vn703.2.3">'Verification Rpt'!$J$406</definedName>
    <definedName name="vn703.2.3HSPF">'Verification Rpt'!$J$405</definedName>
    <definedName name="vn703.2.4">'Verification Rpt'!$J$411</definedName>
    <definedName name="vn703.2.4Seer">'Verification Rpt'!$J$410</definedName>
    <definedName name="vn703.2.5">'Verification Rpt'!$J$416</definedName>
    <definedName name="vn703.2.5EER">'Verification Rpt'!$J$415</definedName>
    <definedName name="vn703.2.6">'Verification Rpt'!$J$420</definedName>
    <definedName name="vn703.2.6EER">'Verification Rpt'!$J$419</definedName>
    <definedName name="vn703.2.7">'Verification Rpt'!$J$423</definedName>
    <definedName name="vn703.2.8">'Verification Rpt'!$J$424</definedName>
    <definedName name="vn703.2.9">'Verification Rpt'!$J$425</definedName>
    <definedName name="vn703.3.1">'Verification Rpt'!$J$427</definedName>
    <definedName name="vn703.3.2">'Verification Rpt'!$J$428</definedName>
    <definedName name="vn703.3.3">'Verification Rpt'!$J$429</definedName>
    <definedName name="vn703.3.4">'Verification Rpt'!$J$435</definedName>
    <definedName name="vn703.3.4DuctworkLocation">'Verification Rpt'!$J$432</definedName>
    <definedName name="vn703.3.4LeakagePercentage">'Verification Rpt'!$J$434</definedName>
    <definedName name="vn703.4.1">'Verification Rpt'!$J$441</definedName>
    <definedName name="vn703.4.1ThermalEfficiency">'Verification Rpt'!$J$440</definedName>
    <definedName name="vn703.4.1WaterHeaterType">'Verification Rpt'!$J$438</definedName>
    <definedName name="vn703.4.2">'Verification Rpt'!$J$442</definedName>
    <definedName name="vn703.4.3">'Verification Rpt'!$J$443</definedName>
    <definedName name="vn703.4.4">'Verification Rpt'!$J$444</definedName>
    <definedName name="vn703.4.5">'Verification Rpt'!$J$448</definedName>
    <definedName name="vn703.4.5SEF">'Verification Rpt'!$J$447</definedName>
    <definedName name="vn703.5.1">'Verification Rpt'!$J$455</definedName>
    <definedName name="vn703.5.1Percentage">'Verification Rpt'!$J$454</definedName>
    <definedName name="vn703.5.2">'Verification Rpt'!$J$460</definedName>
    <definedName name="vn703.5.2ConditionedSF">'Verification Rpt'!$J$459</definedName>
    <definedName name="vn703.5.2RecessedLights">'Verification Rpt'!$J$457</definedName>
    <definedName name="vn703.5.3Dishwasher">'Verification Rpt'!$J$463</definedName>
    <definedName name="vn703.5.3Refrigerator">'Verification Rpt'!$J$462</definedName>
    <definedName name="vn703.5.3WashingMachine">'Verification Rpt'!$J$464</definedName>
    <definedName name="vn703.5.4">'Verification Rpt'!$J$465</definedName>
    <definedName name="vn703.6.1">'Verification Rpt'!$J$467</definedName>
    <definedName name="vn703.6.2">'Verification Rpt'!$J$468</definedName>
    <definedName name="vn703.6.3ExposedThermalMass">'Verification Rpt'!$J$474</definedName>
    <definedName name="vn703.6.3ExteriorShading">'Verification Rpt'!$J$470</definedName>
    <definedName name="vn703.6.3Overhangs">'Verification Rpt'!$J$471</definedName>
    <definedName name="vn703.6.3RoofingMaterial">'Verification Rpt'!$J$475</definedName>
    <definedName name="vn703.6.3SolarReflective">'Verification Rpt'!$J$473</definedName>
    <definedName name="vn703.6.3Windows">'Verification Rpt'!$J$472</definedName>
    <definedName name="vn703.6.4">'Verification Rpt'!$J$476</definedName>
    <definedName name="vn704.2.1">'Verification Rpt'!$J$481</definedName>
    <definedName name="vn704.2.2">'Verification Rpt'!$J$483</definedName>
    <definedName name="vn704.2.3">'Verification Rpt'!$J$484</definedName>
    <definedName name="vn704.3">'Verification Rpt'!$J$485</definedName>
    <definedName name="vn704.4.1">'Verification Rpt'!$J$487</definedName>
    <definedName name="vn704.4.2">'Verification Rpt'!$J$488</definedName>
    <definedName name="vn704.4.3">'Verification Rpt'!$J$489</definedName>
    <definedName name="vn704.5.1Step1">'Verification Rpt'!$J$491</definedName>
    <definedName name="vn704.5.1Step2">'Verification Rpt'!$J$492</definedName>
    <definedName name="vn704.5.2.1_1Step1">'Verification Rpt'!$J$495</definedName>
    <definedName name="vn704.5.2.1_1Step2">'Verification Rpt'!$J$496</definedName>
    <definedName name="vn704.5.2.1_2">'Verification Rpt'!$J$500</definedName>
    <definedName name="vn704.5.2.2Step1">'Verification Rpt'!$J$502</definedName>
    <definedName name="vn704.5.2.2Step2">'Verification Rpt'!$J$503</definedName>
    <definedName name="vn704.5.3">'Verification Rpt'!$J$504</definedName>
    <definedName name="vn705.1">'Verification Rpt'!$J$507</definedName>
    <definedName name="vn705.2_2">'Verification Rpt'!$J$514</definedName>
    <definedName name="vn705.2._1">'Verification Rpt'!$J$512</definedName>
    <definedName name="vn705.3">'Verification Rpt'!$J$516</definedName>
    <definedName name="vn705.3ClothesDryer">'Verification Rpt'!$J$520</definedName>
    <definedName name="vn705.3ClothesWasher">'Verification Rpt'!$J$521</definedName>
    <definedName name="vn705.3Dishwasher">'Verification Rpt'!$J$519</definedName>
    <definedName name="vn705.3Freezer">'Verification Rpt'!$J$518</definedName>
    <definedName name="vn705.3HotWaterHeating">'Verification Rpt'!$J$524</definedName>
    <definedName name="vn705.3HVAC">'Verification Rpt'!$J$523</definedName>
    <definedName name="vn705.3Refrigerator">'Verification Rpt'!$J$517</definedName>
    <definedName name="vn705.3RoomAirConditioner">'Verification Rpt'!$J$522</definedName>
    <definedName name="vn705.4.1_1">'Verification Rpt'!$J$527</definedName>
    <definedName name="vn705.4.1_2">'Verification Rpt'!$J$528</definedName>
    <definedName name="vn705.4.2">'Verification Rpt'!$J$529</definedName>
    <definedName name="vn705.5">'Verification Rpt'!$J$534</definedName>
    <definedName name="vn705.5RenewableWatts">'Verification Rpt'!$J$531</definedName>
    <definedName name="vn705.5TotalSFArea">'Verification Rpt'!$J$533</definedName>
    <definedName name="vn705.6">'Verification Rpt'!$J$535</definedName>
    <definedName name="vn705.7">'Verification Rpt'!$J$536</definedName>
    <definedName name="vn801.1.1_1thru4a">'Verification Rpt'!$J$542</definedName>
    <definedName name="vn801.1.1_5">'Verification Rpt'!$J$547</definedName>
    <definedName name="vn801.1.1_6">'Verification Rpt'!$J$548</definedName>
    <definedName name="vn801.2_1">'Verification Rpt'!$J$550</definedName>
    <definedName name="vn801.2_2">'Verification Rpt'!$J$551</definedName>
    <definedName name="vn801.3_1">'Verification Rpt'!$J$555</definedName>
    <definedName name="vn801.3_2">'Verification Rpt'!$J$560</definedName>
    <definedName name="vn801.3_3">'Verification Rpt'!$J$563</definedName>
    <definedName name="vn801.4.1_1">'Verification Rpt'!$J$569</definedName>
    <definedName name="vn801.4.1_2">'Verification Rpt'!$J$572</definedName>
    <definedName name="vn801.4.2">'Verification Rpt'!$J$574</definedName>
    <definedName name="vn801.5_1">'Verification Rpt'!$J$578</definedName>
    <definedName name="vn801.5_2">'Verification Rpt'!$J$580</definedName>
    <definedName name="vn801.5_3">'Verification Rpt'!$J$583</definedName>
    <definedName name="vn801.5_3a">'Verification Rpt'!$J$585</definedName>
    <definedName name="vn801.5_3b">'Verification Rpt'!$J$588</definedName>
    <definedName name="vn801.5_3c">'Verification Rpt'!$J$589</definedName>
    <definedName name="vn801.6.1">'Verification Rpt'!$J$591</definedName>
    <definedName name="vn801.6.2_1">'Verification Rpt'!$J$592</definedName>
    <definedName name="vn801.6.2_2">'Verification Rpt'!$J$593</definedName>
    <definedName name="vn801.6.3">'Verification Rpt'!$J$594</definedName>
    <definedName name="vn801.6.4">'Verification Rpt'!$J$595</definedName>
    <definedName name="vn801.6.5_1and2">'Verification Rpt'!$J$597</definedName>
    <definedName name="vn801.6.5_3">'Verification Rpt'!$J$598</definedName>
    <definedName name="vn801.7.1">'Verification Rpt'!$J$600</definedName>
    <definedName name="vn801.7.2">'Verification Rpt'!$J$607</definedName>
    <definedName name="vn801.8">'Verification Rpt'!$J$611</definedName>
    <definedName name="vn802.1">'Verification Rpt'!$J$614</definedName>
    <definedName name="vn802.2ExcessiveShutoff">'Verification Rpt'!$J$620</definedName>
    <definedName name="vn802.2LeakDetection">'Verification Rpt'!$J$621</definedName>
    <definedName name="vn802.3">'Verification Rpt'!$J$622</definedName>
    <definedName name="vn802.4">'Verification Rpt'!$J$623</definedName>
    <definedName name="vn802.5">'Verification Rpt'!$J$624</definedName>
    <definedName name="vn901.1.1">'Verification Rpt'!$J$629</definedName>
    <definedName name="vn901.1.2">'Verification Rpt'!$J$631</definedName>
    <definedName name="vn901.1.3_1">'Verification Rpt'!$J$633</definedName>
    <definedName name="vn901.1.3_2">'Verification Rpt'!$J$635</definedName>
    <definedName name="vn901.1.4">'Verification Rpt'!$J$637</definedName>
    <definedName name="vn901.1.5">'Verification Rpt'!$J$638</definedName>
    <definedName name="vn901.1.6">'Verification Rpt'!$J$641</definedName>
    <definedName name="vn901.10">'Verification Rpt'!$J$704</definedName>
    <definedName name="vn901.11">'Verification Rpt'!$J$707</definedName>
    <definedName name="vn901.12">'Verification Rpt'!$J$708</definedName>
    <definedName name="vn901.13_1">'Verification Rpt'!$J$710</definedName>
    <definedName name="vn901.13_2">'Verification Rpt'!$J$711</definedName>
    <definedName name="vn901.14_1">'Verification Rpt'!$J$713</definedName>
    <definedName name="vn901.14_2">'Verification Rpt'!$J$714</definedName>
    <definedName name="vn901.2.1_1">'Verification Rpt'!$J$645</definedName>
    <definedName name="vn901.2.1_2">'Verification Rpt'!$J$647</definedName>
    <definedName name="vn901.2.1_3">'Verification Rpt'!$J$649</definedName>
    <definedName name="vn901.2.1_4">'Verification Rpt'!$J$651</definedName>
    <definedName name="vn901.2.1_5">'Verification Rpt'!$J$653</definedName>
    <definedName name="vn901.2.2">'Verification Rpt'!$J$655</definedName>
    <definedName name="vn901.3_1a">'Verification Rpt'!$J$657</definedName>
    <definedName name="vn901.3_1b">'Verification Rpt'!$J$659</definedName>
    <definedName name="vn901.3_1c">'Verification Rpt'!$J$661</definedName>
    <definedName name="vn901.3_2">'Verification Rpt'!$J$662</definedName>
    <definedName name="vn901.4_1">'Verification Rpt'!$J$663</definedName>
    <definedName name="vn901.4_2">'Verification Rpt'!$J$666</definedName>
    <definedName name="vn901.4_2thru6">'Verification Rpt'!$J$664</definedName>
    <definedName name="vn901.4_3">'Verification Rpt'!$J$671</definedName>
    <definedName name="vn901.4_4">'Verification Rpt'!$J$676</definedName>
    <definedName name="vn901.4_5">'Verification Rpt'!$J$681</definedName>
    <definedName name="vn901.4_6">'Verification Rpt'!$J$686</definedName>
    <definedName name="vn901.5">'Verification Rpt'!$J$690</definedName>
    <definedName name="vn901.5_1and2">'Verification Rpt'!$J$691</definedName>
    <definedName name="vn901.6_1">'Verification Rpt'!$J$694</definedName>
    <definedName name="vn901.6_2a">'Verification Rpt'!$J$695</definedName>
    <definedName name="vn901.6_2b">'Verification Rpt'!$J$696</definedName>
    <definedName name="vn901.7">'Verification Rpt'!$J$697</definedName>
    <definedName name="vn901.8">'Verification Rpt'!$J$698</definedName>
    <definedName name="vn901.9.1">'Verification Rpt'!$J$700</definedName>
    <definedName name="vn901.9.2">'Verification Rpt'!$J$701</definedName>
    <definedName name="vn901.9.3">'Verification Rpt'!$J$702</definedName>
    <definedName name="vn902.1.1_1">'Verification Rpt'!$J$719</definedName>
    <definedName name="vn902.1.1_2">'Verification Rpt'!$J$721</definedName>
    <definedName name="vn902.1.1_3">'Verification Rpt'!$J$722</definedName>
    <definedName name="vn902.1.2">'Verification Rpt'!$J$724</definedName>
    <definedName name="vn902.1.3">'Verification Rpt'!$J$728</definedName>
    <definedName name="vn902.1.4">'Verification Rpt'!$J$729</definedName>
    <definedName name="vn902.1.4_1">'Verification Rpt'!$J$730</definedName>
    <definedName name="vn902.1.4_2">'Verification Rpt'!$J$731</definedName>
    <definedName name="vn902.2.1">'Verification Rpt'!$J$733</definedName>
    <definedName name="vn902.2.1_1thru4">'Verification Rpt'!$J$734</definedName>
    <definedName name="vn902.2.2">'Verification Rpt'!$J$738</definedName>
    <definedName name="vn902.2.3">'Verification Rpt'!$J$739</definedName>
    <definedName name="vn902.3_1">'Verification Rpt'!$J$741</definedName>
    <definedName name="vn902.3_1a">'Verification Rpt'!$J$742</definedName>
    <definedName name="vn902.3_1b">'Verification Rpt'!$J$743</definedName>
    <definedName name="vn902.3_2a">'Verification Rpt'!$J$745</definedName>
    <definedName name="vn902.4_1">'Verification Rpt'!$J$747</definedName>
    <definedName name="vn902.4_2">'Verification Rpt'!$J$748</definedName>
    <definedName name="vn902.5">'Verification Rpt'!$J$749</definedName>
    <definedName name="vn902.6">'Verification Rpt'!$J$750</definedName>
    <definedName name="vn903.1.1">'Verification Rpt'!$J$753</definedName>
    <definedName name="vn903.1.2">'Verification Rpt'!$J$754</definedName>
    <definedName name="vn903.2">'Verification Rpt'!$J$756</definedName>
    <definedName name="vn903.3">'Verification Rpt'!$J$759</definedName>
    <definedName name="vn904.1">'Verification Rpt'!$J$762</definedName>
    <definedName name="vn904.2">'Verification Rpt'!$J$763</definedName>
    <definedName name="vnSqFT">'Verification Rpt'!$J$140</definedName>
    <definedName name="Vreport701.1">'Verification Rpt'!$H$331</definedName>
    <definedName name="VSqFt">'Verification Rpt'!$J$140</definedName>
    <definedName name="Vstatus">Formulas!$G$224</definedName>
    <definedName name="vtotalscore">Formulas!$G$326</definedName>
    <definedName name="VZCmassFour">Formulas!$T$21:$T$22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6" i="9" l="1"/>
  <c r="AC491" i="21" l="1"/>
  <c r="AA477" i="21"/>
  <c r="AA350" i="21"/>
  <c r="C9" i="9" l="1"/>
  <c r="B2" i="16"/>
  <c r="K1" i="21"/>
  <c r="AA721" i="21" l="1"/>
  <c r="AA719" i="21"/>
  <c r="Z663" i="21"/>
  <c r="AA694" i="21"/>
  <c r="AA659" i="21"/>
  <c r="AA657" i="21"/>
  <c r="AA653" i="21"/>
  <c r="AA651" i="21"/>
  <c r="AA649" i="21"/>
  <c r="AA647" i="21"/>
  <c r="AA645" i="21"/>
  <c r="C192" i="8" l="1"/>
  <c r="K536" i="21" l="1"/>
  <c r="G536" i="21"/>
  <c r="F475" i="15"/>
  <c r="E475" i="15"/>
  <c r="AB689" i="21" l="1"/>
  <c r="AB688" i="21"/>
  <c r="AB687" i="21"/>
  <c r="AB684" i="21"/>
  <c r="AB683" i="21"/>
  <c r="AB682" i="21"/>
  <c r="AB681" i="21"/>
  <c r="AB679" i="21"/>
  <c r="AB678" i="21"/>
  <c r="AB677" i="21"/>
  <c r="AB676" i="21"/>
  <c r="AB673" i="21"/>
  <c r="AB668" i="21"/>
  <c r="BA63" i="8" l="1"/>
  <c r="H87" i="23" l="1"/>
  <c r="H86" i="23"/>
  <c r="H85" i="23"/>
  <c r="H84" i="23"/>
  <c r="H83" i="23"/>
  <c r="H82" i="23"/>
  <c r="H81" i="23"/>
  <c r="H80" i="23"/>
  <c r="H79" i="23"/>
  <c r="H78" i="23"/>
  <c r="B87" i="23"/>
  <c r="B86" i="23"/>
  <c r="B85" i="23"/>
  <c r="B84" i="23"/>
  <c r="B83" i="23"/>
  <c r="B82" i="23"/>
  <c r="B81" i="23"/>
  <c r="B80" i="23"/>
  <c r="B79" i="23"/>
  <c r="B78" i="23"/>
  <c r="B77" i="23"/>
  <c r="A87" i="23"/>
  <c r="A86" i="23"/>
  <c r="A85" i="23"/>
  <c r="A84" i="23"/>
  <c r="A83" i="23"/>
  <c r="A82" i="23"/>
  <c r="A81" i="23"/>
  <c r="A80" i="23"/>
  <c r="A79" i="23"/>
  <c r="A78" i="23"/>
  <c r="H84" i="22"/>
  <c r="H83" i="22"/>
  <c r="H82" i="22"/>
  <c r="H81" i="22"/>
  <c r="H80" i="22"/>
  <c r="H79" i="22"/>
  <c r="H78" i="22"/>
  <c r="H77" i="22"/>
  <c r="H76" i="22"/>
  <c r="H75" i="22"/>
  <c r="B84" i="22"/>
  <c r="B83" i="22"/>
  <c r="B82" i="22"/>
  <c r="B81" i="22"/>
  <c r="B80" i="22"/>
  <c r="B79" i="22"/>
  <c r="B78" i="22"/>
  <c r="B77" i="22"/>
  <c r="B76" i="22"/>
  <c r="B75" i="22"/>
  <c r="A84" i="22"/>
  <c r="A83" i="22"/>
  <c r="A82" i="22"/>
  <c r="A81" i="22"/>
  <c r="A80" i="22"/>
  <c r="A79" i="22"/>
  <c r="A78" i="22"/>
  <c r="A77" i="22"/>
  <c r="A76" i="22"/>
  <c r="A75" i="22"/>
  <c r="K7" i="21" l="1"/>
  <c r="AB7" i="21" s="1"/>
  <c r="G1" i="21" l="1"/>
  <c r="AF759" i="21" l="1"/>
  <c r="AB759" i="21" s="1"/>
  <c r="C188" i="8" l="1"/>
  <c r="C191" i="8"/>
  <c r="T111" i="8" l="1"/>
  <c r="B64" i="10" l="1"/>
  <c r="G231" i="21" l="1"/>
  <c r="X320" i="21" l="1"/>
  <c r="B5" i="16" l="1"/>
  <c r="B4" i="16"/>
  <c r="B9" i="22" l="1"/>
  <c r="B9" i="23"/>
  <c r="N21" i="9"/>
  <c r="I21" i="9"/>
  <c r="M21" i="9"/>
  <c r="F3" i="21"/>
  <c r="H8" i="22" l="1"/>
  <c r="H6" i="23"/>
  <c r="H6" i="22"/>
  <c r="H5" i="23"/>
  <c r="H5" i="22"/>
  <c r="H4" i="23"/>
  <c r="H4" i="22"/>
  <c r="B8" i="23"/>
  <c r="B8" i="22"/>
  <c r="B7" i="23"/>
  <c r="F6" i="21"/>
  <c r="BF64" i="8" s="1"/>
  <c r="B6" i="23"/>
  <c r="B6" i="22"/>
  <c r="B5" i="23"/>
  <c r="B5" i="22"/>
  <c r="B4" i="23"/>
  <c r="B4" i="22"/>
  <c r="K3" i="21"/>
  <c r="I802" i="21" s="1"/>
  <c r="F7" i="21"/>
  <c r="B7" i="22"/>
  <c r="F5" i="21"/>
  <c r="F4" i="21"/>
  <c r="K4" i="21"/>
  <c r="I6" i="21"/>
  <c r="H77" i="23"/>
  <c r="H76" i="23"/>
  <c r="H75" i="23"/>
  <c r="H74" i="23"/>
  <c r="H73" i="23"/>
  <c r="H72" i="23"/>
  <c r="H71" i="23"/>
  <c r="H68" i="23"/>
  <c r="H70" i="23"/>
  <c r="H69" i="23"/>
  <c r="G68" i="23"/>
  <c r="F68" i="23"/>
  <c r="D68" i="23"/>
  <c r="B76" i="23"/>
  <c r="B75" i="23"/>
  <c r="B74" i="23"/>
  <c r="B73" i="23"/>
  <c r="B72" i="23"/>
  <c r="B71" i="23"/>
  <c r="B70" i="23"/>
  <c r="B69" i="23"/>
  <c r="B68" i="23"/>
  <c r="A77" i="23"/>
  <c r="A76" i="23"/>
  <c r="A75" i="23"/>
  <c r="A74" i="23"/>
  <c r="A73" i="23"/>
  <c r="A72" i="23"/>
  <c r="A71" i="23"/>
  <c r="A70" i="23"/>
  <c r="A69" i="23"/>
  <c r="A68" i="23"/>
  <c r="H74" i="22"/>
  <c r="H73" i="22"/>
  <c r="H72" i="22"/>
  <c r="H70" i="22"/>
  <c r="H71" i="22"/>
  <c r="H69" i="22"/>
  <c r="H68" i="22"/>
  <c r="H67" i="22"/>
  <c r="H66" i="22"/>
  <c r="H65" i="22"/>
  <c r="G65" i="22"/>
  <c r="F65" i="22"/>
  <c r="D65" i="22"/>
  <c r="B74" i="22"/>
  <c r="B73" i="22"/>
  <c r="B72" i="22"/>
  <c r="B71" i="22"/>
  <c r="B70" i="22"/>
  <c r="B69" i="22"/>
  <c r="B68" i="22"/>
  <c r="B66" i="22"/>
  <c r="B67" i="22"/>
  <c r="B65" i="22"/>
  <c r="A74" i="22"/>
  <c r="A73" i="22"/>
  <c r="A72" i="22"/>
  <c r="A71" i="22"/>
  <c r="A70" i="22"/>
  <c r="A69" i="22"/>
  <c r="A68" i="22"/>
  <c r="A67" i="22"/>
  <c r="A65" i="22"/>
  <c r="A66" i="22"/>
  <c r="AA803" i="21" l="1"/>
  <c r="AA768" i="21" l="1"/>
  <c r="AB4" i="21"/>
  <c r="AA769" i="21"/>
  <c r="J4" i="21"/>
  <c r="AA770" i="21"/>
  <c r="J532" i="21"/>
  <c r="E143" i="21"/>
  <c r="AA794" i="21"/>
  <c r="AB443" i="21"/>
  <c r="AA795" i="21"/>
  <c r="J530" i="21"/>
  <c r="AA796" i="21"/>
  <c r="AA814" i="21"/>
  <c r="AB535" i="21"/>
  <c r="AA804" i="21"/>
  <c r="I7" i="27"/>
  <c r="I5" i="27"/>
  <c r="I3" i="27"/>
  <c r="C8" i="27"/>
  <c r="C6" i="27"/>
  <c r="K4" i="27"/>
  <c r="I1" i="27"/>
  <c r="E1" i="27" l="1"/>
  <c r="V67" i="8"/>
  <c r="S6" i="11" l="1"/>
  <c r="G582" i="21" l="1"/>
  <c r="G581" i="21"/>
  <c r="G580" i="21"/>
  <c r="G583" i="21"/>
  <c r="J458" i="21" l="1"/>
  <c r="J456" i="21"/>
  <c r="J453" i="21"/>
  <c r="J446" i="21"/>
  <c r="J439" i="21"/>
  <c r="J437" i="21"/>
  <c r="J433" i="21"/>
  <c r="J431" i="21"/>
  <c r="J418" i="21"/>
  <c r="J414" i="21"/>
  <c r="J409" i="21"/>
  <c r="J404" i="21"/>
  <c r="J400" i="21"/>
  <c r="J398" i="21"/>
  <c r="J381" i="21" l="1"/>
  <c r="K391" i="21"/>
  <c r="H391" i="21"/>
  <c r="I456" i="21" l="1"/>
  <c r="P68" i="8" l="1"/>
  <c r="P67" i="8" s="1"/>
  <c r="AB491" i="21" l="1"/>
  <c r="P71" i="11" l="1"/>
  <c r="E325" i="15" s="1"/>
  <c r="H362" i="21"/>
  <c r="J362" i="21"/>
  <c r="G362" i="21" l="1"/>
  <c r="C190" i="8"/>
  <c r="C187" i="8"/>
  <c r="C186" i="8"/>
  <c r="C185" i="8"/>
  <c r="C184" i="8"/>
  <c r="C183" i="8"/>
  <c r="C181" i="8"/>
  <c r="J172" i="21" l="1"/>
  <c r="AA637" i="21" l="1"/>
  <c r="AA188" i="21"/>
  <c r="E375" i="21" l="1"/>
  <c r="J374" i="21"/>
  <c r="O42" i="12" l="1"/>
  <c r="J274" i="21" l="1"/>
  <c r="J332" i="21" l="1"/>
  <c r="I332" i="21"/>
  <c r="H505" i="21" s="1"/>
  <c r="J149" i="21" l="1"/>
  <c r="AB578" i="21" l="1"/>
  <c r="Z348" i="21" l="1"/>
  <c r="M348" i="21" s="1"/>
  <c r="I285" i="8" l="1"/>
  <c r="I284" i="8"/>
  <c r="I283" i="8"/>
  <c r="I282" i="8"/>
  <c r="I281" i="8"/>
  <c r="I280" i="8"/>
  <c r="I279" i="8"/>
  <c r="I278" i="8"/>
  <c r="I277" i="8"/>
  <c r="I287" i="8" l="1"/>
  <c r="I813" i="21" s="1"/>
  <c r="AB598" i="21" l="1"/>
  <c r="F334" i="21" l="1"/>
  <c r="J27" i="9" l="1"/>
  <c r="H660" i="21" l="1"/>
  <c r="I660" i="21" s="1"/>
  <c r="E568" i="15" l="1"/>
  <c r="Z209" i="21" l="1"/>
  <c r="K6" i="21" l="1"/>
  <c r="C3" i="27"/>
  <c r="C4" i="27"/>
  <c r="M822" i="21"/>
  <c r="M821" i="21"/>
  <c r="M820" i="21"/>
  <c r="M819" i="21"/>
  <c r="M818" i="21"/>
  <c r="M817" i="21"/>
  <c r="M816" i="21"/>
  <c r="M815" i="21"/>
  <c r="M813" i="21"/>
  <c r="M802" i="21"/>
  <c r="M793" i="21"/>
  <c r="M792" i="21"/>
  <c r="M791" i="21"/>
  <c r="M790" i="21"/>
  <c r="M789" i="21"/>
  <c r="M788" i="21"/>
  <c r="M787" i="21"/>
  <c r="M786" i="21"/>
  <c r="M785" i="21"/>
  <c r="M784" i="21"/>
  <c r="M783" i="21"/>
  <c r="M782" i="21"/>
  <c r="M781" i="21"/>
  <c r="M780" i="21"/>
  <c r="M779" i="21"/>
  <c r="M778" i="21"/>
  <c r="M777" i="21"/>
  <c r="M776" i="21"/>
  <c r="M775" i="21"/>
  <c r="M774" i="21"/>
  <c r="M773" i="21"/>
  <c r="M772" i="21"/>
  <c r="M771" i="21"/>
  <c r="M767" i="21"/>
  <c r="M766" i="21"/>
  <c r="M765" i="21"/>
  <c r="M764" i="21"/>
  <c r="M763" i="21"/>
  <c r="M762" i="21"/>
  <c r="M761" i="21"/>
  <c r="M760" i="21"/>
  <c r="M758" i="21"/>
  <c r="M757" i="21"/>
  <c r="M755" i="21"/>
  <c r="M752" i="21"/>
  <c r="M751" i="21"/>
  <c r="M748" i="21"/>
  <c r="M746" i="21"/>
  <c r="M744" i="21"/>
  <c r="M740" i="21"/>
  <c r="M739" i="21"/>
  <c r="M738" i="21"/>
  <c r="M737" i="21"/>
  <c r="M736" i="21"/>
  <c r="M735" i="21"/>
  <c r="M733" i="21"/>
  <c r="M732" i="21"/>
  <c r="M731" i="21"/>
  <c r="M730" i="21"/>
  <c r="M729" i="21"/>
  <c r="M728" i="21"/>
  <c r="M727" i="21"/>
  <c r="M726" i="21"/>
  <c r="M725" i="21"/>
  <c r="M724" i="21"/>
  <c r="M723" i="21"/>
  <c r="M722" i="21"/>
  <c r="M720" i="21"/>
  <c r="M718" i="21"/>
  <c r="M717" i="21"/>
  <c r="M716" i="21"/>
  <c r="M715" i="21"/>
  <c r="M713" i="21"/>
  <c r="M712" i="21"/>
  <c r="M711" i="21"/>
  <c r="M710" i="21"/>
  <c r="M709" i="21"/>
  <c r="M708" i="21"/>
  <c r="M707" i="21"/>
  <c r="M706" i="21"/>
  <c r="M705" i="21"/>
  <c r="M704" i="21"/>
  <c r="M703" i="21"/>
  <c r="M702" i="21"/>
  <c r="M700" i="21"/>
  <c r="M699" i="21"/>
  <c r="M698" i="21"/>
  <c r="M697" i="21"/>
  <c r="M696" i="21"/>
  <c r="M695" i="21"/>
  <c r="M693" i="21"/>
  <c r="M692" i="21"/>
  <c r="M691" i="21"/>
  <c r="M690" i="21"/>
  <c r="M685" i="21"/>
  <c r="M680" i="21"/>
  <c r="M675" i="21"/>
  <c r="M670" i="21"/>
  <c r="M665" i="21"/>
  <c r="M664" i="21"/>
  <c r="M662" i="21"/>
  <c r="M661" i="21"/>
  <c r="M660" i="21"/>
  <c r="M658" i="21"/>
  <c r="M656" i="21"/>
  <c r="M654" i="21"/>
  <c r="M652" i="21"/>
  <c r="M650" i="21"/>
  <c r="M648" i="21"/>
  <c r="M646" i="21"/>
  <c r="M644" i="21"/>
  <c r="M643" i="21"/>
  <c r="M642" i="21"/>
  <c r="M640" i="21"/>
  <c r="M639" i="21"/>
  <c r="M636" i="21"/>
  <c r="M634" i="21"/>
  <c r="M632" i="21"/>
  <c r="M629" i="21"/>
  <c r="M628" i="21"/>
  <c r="M627" i="21"/>
  <c r="M626" i="21"/>
  <c r="M625" i="21"/>
  <c r="M624" i="21"/>
  <c r="M623" i="21"/>
  <c r="M622" i="21"/>
  <c r="M621" i="21"/>
  <c r="M619" i="21"/>
  <c r="M618" i="21"/>
  <c r="M617" i="21"/>
  <c r="M616" i="21"/>
  <c r="M615" i="21"/>
  <c r="M614" i="21"/>
  <c r="M613" i="21"/>
  <c r="M612" i="21"/>
  <c r="M611" i="21"/>
  <c r="M610" i="21"/>
  <c r="M609" i="21"/>
  <c r="M608" i="21"/>
  <c r="M607" i="21"/>
  <c r="M606" i="21"/>
  <c r="M605" i="21"/>
  <c r="M604" i="21"/>
  <c r="M603" i="21"/>
  <c r="M602" i="21"/>
  <c r="M601" i="21"/>
  <c r="M600" i="21"/>
  <c r="M599" i="21"/>
  <c r="M596" i="21"/>
  <c r="M591" i="21"/>
  <c r="M590" i="21"/>
  <c r="M589" i="21"/>
  <c r="M588" i="21"/>
  <c r="M587" i="21"/>
  <c r="M586" i="21"/>
  <c r="M585" i="21"/>
  <c r="M584" i="21"/>
  <c r="M583" i="21"/>
  <c r="M582" i="21"/>
  <c r="M581" i="21"/>
  <c r="M580" i="21"/>
  <c r="M579" i="21"/>
  <c r="M577" i="21"/>
  <c r="M576" i="21"/>
  <c r="M575" i="21"/>
  <c r="M574" i="21"/>
  <c r="M573" i="21"/>
  <c r="M571" i="21"/>
  <c r="M570" i="21"/>
  <c r="M569" i="21"/>
  <c r="M568" i="21"/>
  <c r="M567" i="21"/>
  <c r="M566" i="21"/>
  <c r="M565" i="21"/>
  <c r="M564" i="21"/>
  <c r="M563" i="21"/>
  <c r="M562" i="21"/>
  <c r="M561" i="21"/>
  <c r="M559" i="21"/>
  <c r="M558" i="21"/>
  <c r="M557" i="21"/>
  <c r="M556" i="21"/>
  <c r="M555" i="21"/>
  <c r="M554" i="21"/>
  <c r="M553" i="21"/>
  <c r="M552" i="21"/>
  <c r="M551" i="21"/>
  <c r="M550" i="21"/>
  <c r="M549" i="21"/>
  <c r="M546" i="21"/>
  <c r="M545" i="21"/>
  <c r="M544" i="21"/>
  <c r="M543" i="21"/>
  <c r="M541" i="21"/>
  <c r="M540" i="21"/>
  <c r="M539" i="21"/>
  <c r="M538" i="21"/>
  <c r="M537" i="21"/>
  <c r="M534" i="21"/>
  <c r="M533" i="21"/>
  <c r="M532" i="21"/>
  <c r="M531" i="21"/>
  <c r="M530" i="21"/>
  <c r="M528" i="21"/>
  <c r="M527" i="21"/>
  <c r="M526" i="21"/>
  <c r="M525" i="21"/>
  <c r="M524" i="21"/>
  <c r="M523" i="21"/>
  <c r="M522" i="21"/>
  <c r="M521" i="21"/>
  <c r="M520" i="21"/>
  <c r="M519" i="21"/>
  <c r="M518" i="21"/>
  <c r="M517" i="21"/>
  <c r="M516" i="21"/>
  <c r="M515" i="21"/>
  <c r="M514" i="21"/>
  <c r="M513" i="21"/>
  <c r="M511" i="21"/>
  <c r="M510" i="21"/>
  <c r="M509" i="21"/>
  <c r="M508" i="21"/>
  <c r="M507" i="21"/>
  <c r="M506" i="21"/>
  <c r="M503" i="21"/>
  <c r="M502" i="21"/>
  <c r="M500" i="21"/>
  <c r="M498" i="21"/>
  <c r="M497" i="21"/>
  <c r="M496" i="21"/>
  <c r="M495" i="21"/>
  <c r="M493" i="21"/>
  <c r="M492" i="21"/>
  <c r="M486" i="21"/>
  <c r="M484" i="21"/>
  <c r="M482" i="21"/>
  <c r="M481" i="21"/>
  <c r="M480" i="21"/>
  <c r="M479" i="21"/>
  <c r="M478" i="21"/>
  <c r="M469" i="21"/>
  <c r="M468" i="21"/>
  <c r="M466" i="21"/>
  <c r="M465" i="21"/>
  <c r="M464" i="21"/>
  <c r="M463" i="21"/>
  <c r="M461" i="21"/>
  <c r="M460" i="21"/>
  <c r="M459" i="21"/>
  <c r="M458" i="21"/>
  <c r="M457" i="21"/>
  <c r="M456" i="21"/>
  <c r="M455" i="21"/>
  <c r="M454" i="21"/>
  <c r="M453" i="21"/>
  <c r="M452" i="21"/>
  <c r="M451" i="21"/>
  <c r="M450" i="21"/>
  <c r="M449" i="21"/>
  <c r="M448" i="21"/>
  <c r="M447" i="21"/>
  <c r="M445" i="21"/>
  <c r="M441" i="21"/>
  <c r="M439" i="21"/>
  <c r="M438" i="21"/>
  <c r="M437" i="21"/>
  <c r="M436" i="21"/>
  <c r="M435" i="21"/>
  <c r="M434" i="21"/>
  <c r="M433" i="21"/>
  <c r="M432" i="21"/>
  <c r="M431" i="21"/>
  <c r="M430" i="21"/>
  <c r="M426" i="21"/>
  <c r="M423" i="21"/>
  <c r="M422" i="21"/>
  <c r="M421" i="21"/>
  <c r="M420" i="21"/>
  <c r="M419" i="21"/>
  <c r="M417" i="21"/>
  <c r="M416" i="21"/>
  <c r="M415" i="21"/>
  <c r="M413" i="21"/>
  <c r="M412" i="21"/>
  <c r="M411" i="21"/>
  <c r="M410" i="21"/>
  <c r="M408" i="21"/>
  <c r="M407" i="21"/>
  <c r="M406" i="21"/>
  <c r="M405" i="21"/>
  <c r="M403" i="21"/>
  <c r="M402" i="21"/>
  <c r="M401" i="21"/>
  <c r="M400" i="21"/>
  <c r="M399" i="21"/>
  <c r="M396" i="21"/>
  <c r="M395" i="21"/>
  <c r="M394" i="21"/>
  <c r="M393" i="21"/>
  <c r="M392" i="21"/>
  <c r="M391" i="21"/>
  <c r="M390" i="21"/>
  <c r="M389" i="21"/>
  <c r="M388" i="21"/>
  <c r="M386" i="21"/>
  <c r="M385" i="21"/>
  <c r="M384" i="21"/>
  <c r="M383" i="21"/>
  <c r="M381" i="21"/>
  <c r="M380" i="21"/>
  <c r="M378" i="21"/>
  <c r="M376" i="21"/>
  <c r="M375" i="21"/>
  <c r="M373" i="21"/>
  <c r="M372" i="21"/>
  <c r="M371" i="21"/>
  <c r="M370" i="21"/>
  <c r="M368" i="21"/>
  <c r="M367" i="21"/>
  <c r="M366" i="21"/>
  <c r="M365" i="21"/>
  <c r="M364" i="21"/>
  <c r="M361" i="21"/>
  <c r="M360" i="21"/>
  <c r="M358" i="21"/>
  <c r="M353" i="21"/>
  <c r="M352" i="21"/>
  <c r="M351" i="21"/>
  <c r="M349" i="21"/>
  <c r="M346" i="21"/>
  <c r="M342" i="21"/>
  <c r="M339" i="21"/>
  <c r="M338" i="21"/>
  <c r="M337" i="21"/>
  <c r="M335" i="21"/>
  <c r="M334" i="21"/>
  <c r="M333" i="21"/>
  <c r="M330" i="21"/>
  <c r="M329" i="21"/>
  <c r="M328" i="21"/>
  <c r="M327" i="21"/>
  <c r="M326" i="21"/>
  <c r="M325" i="21"/>
  <c r="M312" i="21"/>
  <c r="M310" i="21"/>
  <c r="M309" i="21"/>
  <c r="M308" i="21"/>
  <c r="M306" i="21"/>
  <c r="M305" i="21"/>
  <c r="M304" i="21"/>
  <c r="M303" i="21"/>
  <c r="M302" i="21"/>
  <c r="M300" i="21"/>
  <c r="M299" i="21"/>
  <c r="M298" i="21"/>
  <c r="M296" i="21"/>
  <c r="M295" i="21"/>
  <c r="M293" i="21"/>
  <c r="M291" i="21"/>
  <c r="M290" i="21"/>
  <c r="M288" i="21"/>
  <c r="M287" i="21"/>
  <c r="M285" i="21"/>
  <c r="M284" i="21"/>
  <c r="M280" i="21"/>
  <c r="M279" i="21"/>
  <c r="M278" i="21"/>
  <c r="M276" i="21"/>
  <c r="M275" i="21"/>
  <c r="M273" i="21"/>
  <c r="M271" i="21"/>
  <c r="M270" i="21"/>
  <c r="M269" i="21"/>
  <c r="M268" i="21"/>
  <c r="M266" i="21"/>
  <c r="M265" i="21"/>
  <c r="M264" i="21"/>
  <c r="M263" i="21"/>
  <c r="M261" i="21"/>
  <c r="M258" i="21"/>
  <c r="M257" i="21"/>
  <c r="M256" i="21"/>
  <c r="M254" i="21"/>
  <c r="M253" i="21"/>
  <c r="M252" i="21"/>
  <c r="M250" i="21"/>
  <c r="M249" i="21"/>
  <c r="M247" i="21"/>
  <c r="M245" i="21"/>
  <c r="M243" i="21"/>
  <c r="M238" i="21"/>
  <c r="M237" i="21"/>
  <c r="M235" i="21"/>
  <c r="M234" i="21"/>
  <c r="M230" i="21"/>
  <c r="M225" i="21"/>
  <c r="M224" i="21"/>
  <c r="M222" i="21"/>
  <c r="M221" i="21"/>
  <c r="M219" i="21"/>
  <c r="M217" i="21"/>
  <c r="M213" i="21"/>
  <c r="M211" i="21"/>
  <c r="M209" i="21"/>
  <c r="M207" i="21"/>
  <c r="M204" i="21"/>
  <c r="M202" i="21"/>
  <c r="M200" i="21"/>
  <c r="M198" i="21"/>
  <c r="M197" i="21"/>
  <c r="M196" i="21"/>
  <c r="M194" i="21"/>
  <c r="M190" i="21"/>
  <c r="M189" i="21"/>
  <c r="M186" i="21"/>
  <c r="M185" i="21"/>
  <c r="M181" i="21"/>
  <c r="M176" i="21"/>
  <c r="M175" i="21"/>
  <c r="M171" i="21"/>
  <c r="M170" i="21"/>
  <c r="M169" i="21"/>
  <c r="M167" i="21"/>
  <c r="M166" i="21"/>
  <c r="M164" i="21"/>
  <c r="M158" i="21"/>
  <c r="M151" i="21"/>
  <c r="M150" i="21"/>
  <c r="M148" i="21"/>
  <c r="M146" i="21"/>
  <c r="M144" i="21"/>
  <c r="M143" i="21"/>
  <c r="M142" i="21"/>
  <c r="M141" i="21"/>
  <c r="M140" i="21"/>
  <c r="M138" i="21"/>
  <c r="M137" i="21"/>
  <c r="M136" i="21"/>
  <c r="M135" i="21"/>
  <c r="M132" i="21"/>
  <c r="M129" i="21"/>
  <c r="M128" i="21"/>
  <c r="M126" i="21"/>
  <c r="M124" i="21"/>
  <c r="M123" i="21"/>
  <c r="M122" i="21"/>
  <c r="M120" i="21"/>
  <c r="M117" i="21"/>
  <c r="M116" i="21"/>
  <c r="M112" i="21"/>
  <c r="M110" i="21"/>
  <c r="M108" i="21"/>
  <c r="M106" i="21"/>
  <c r="M104" i="21"/>
  <c r="M101" i="21"/>
  <c r="M99" i="21"/>
  <c r="M97" i="21"/>
  <c r="M95" i="21"/>
  <c r="M94" i="21"/>
  <c r="M92" i="21"/>
  <c r="M89" i="21"/>
  <c r="M88" i="21"/>
  <c r="M86" i="21"/>
  <c r="M84" i="21"/>
  <c r="M82" i="21"/>
  <c r="M80" i="21"/>
  <c r="M76" i="21"/>
  <c r="M74" i="21"/>
  <c r="M72" i="21"/>
  <c r="M71" i="21"/>
  <c r="M70" i="21"/>
  <c r="M69" i="21"/>
  <c r="M67" i="21"/>
  <c r="M66" i="21"/>
  <c r="M58" i="21"/>
  <c r="M57" i="21"/>
  <c r="M55" i="21"/>
  <c r="M52" i="21"/>
  <c r="M45" i="21"/>
  <c r="M44" i="21"/>
  <c r="M32" i="21"/>
  <c r="M30" i="21"/>
  <c r="M29" i="21"/>
  <c r="M28" i="21"/>
  <c r="M26" i="21"/>
  <c r="M21" i="21"/>
  <c r="M16" i="21"/>
  <c r="H7" i="23" l="1"/>
  <c r="H7" i="22"/>
  <c r="C7" i="27"/>
  <c r="I6" i="27"/>
  <c r="F361" i="21"/>
  <c r="A20" i="13" l="1"/>
  <c r="C762" i="15" l="1"/>
  <c r="D2" i="15"/>
  <c r="C828" i="21"/>
  <c r="B75" i="14"/>
  <c r="I5" i="14"/>
  <c r="I5" i="12"/>
  <c r="B93" i="12"/>
  <c r="C322" i="11"/>
  <c r="J6" i="11"/>
  <c r="J5" i="10"/>
  <c r="C213" i="10"/>
  <c r="B126" i="1"/>
  <c r="I5" i="1"/>
  <c r="B170" i="13"/>
  <c r="I5" i="13"/>
  <c r="M578" i="21"/>
  <c r="G629" i="21"/>
  <c r="AB770" i="21"/>
  <c r="AB768" i="21"/>
  <c r="AB769" i="21"/>
  <c r="J272" i="21"/>
  <c r="Y272" i="21" s="1"/>
  <c r="L50" i="23"/>
  <c r="L49" i="23"/>
  <c r="L48" i="23"/>
  <c r="L47" i="23"/>
  <c r="L46" i="23"/>
  <c r="L45" i="23"/>
  <c r="L38" i="23"/>
  <c r="L37" i="23"/>
  <c r="L36" i="23"/>
  <c r="L35" i="23"/>
  <c r="H9" i="22"/>
  <c r="J579" i="21"/>
  <c r="I95" i="8"/>
  <c r="O44" i="12" s="1"/>
  <c r="E522" i="15" s="1"/>
  <c r="G740" i="21"/>
  <c r="Z347" i="21"/>
  <c r="M347" i="21" s="1"/>
  <c r="H349" i="21"/>
  <c r="O3" i="14"/>
  <c r="F75" i="16" s="1"/>
  <c r="B317" i="11"/>
  <c r="B316" i="11"/>
  <c r="AC8" i="21"/>
  <c r="AB8" i="21"/>
  <c r="AC6" i="21"/>
  <c r="AB6" i="21"/>
  <c r="AB3" i="21"/>
  <c r="AC741" i="21"/>
  <c r="AB741" i="21"/>
  <c r="BF71" i="8"/>
  <c r="AB462" i="21" s="1"/>
  <c r="M462" i="21" s="1"/>
  <c r="I135" i="21"/>
  <c r="H135" i="21"/>
  <c r="E2" i="19"/>
  <c r="E2" i="18"/>
  <c r="D2" i="17"/>
  <c r="D2" i="23"/>
  <c r="D2" i="22"/>
  <c r="F148" i="8"/>
  <c r="B84" i="16" s="1"/>
  <c r="E92" i="16"/>
  <c r="AB542" i="21"/>
  <c r="G727" i="21"/>
  <c r="C727" i="21" s="1"/>
  <c r="G726" i="21"/>
  <c r="C726" i="21" s="1"/>
  <c r="G725" i="21"/>
  <c r="C725" i="21" s="1"/>
  <c r="G724" i="21"/>
  <c r="C724" i="21" s="1"/>
  <c r="G711" i="21"/>
  <c r="C711" i="21" s="1"/>
  <c r="G710" i="21"/>
  <c r="G706" i="21"/>
  <c r="C706" i="21" s="1"/>
  <c r="G705" i="21"/>
  <c r="C705" i="21" s="1"/>
  <c r="G642" i="21"/>
  <c r="C642" i="21" s="1"/>
  <c r="G641" i="21"/>
  <c r="C641" i="21" s="1"/>
  <c r="G636" i="21"/>
  <c r="C636" i="21" s="1"/>
  <c r="G635" i="21"/>
  <c r="C635" i="21" s="1"/>
  <c r="G634" i="21"/>
  <c r="C634" i="21" s="1"/>
  <c r="G633" i="21"/>
  <c r="C633" i="21" s="1"/>
  <c r="F476" i="21"/>
  <c r="F280" i="8"/>
  <c r="F378" i="21" s="1"/>
  <c r="F279" i="8"/>
  <c r="F377" i="21" s="1"/>
  <c r="F760" i="21"/>
  <c r="F759" i="21"/>
  <c r="E164" i="13"/>
  <c r="N162" i="13" s="1"/>
  <c r="E652" i="15"/>
  <c r="E651" i="15"/>
  <c r="G714" i="21"/>
  <c r="G713" i="21"/>
  <c r="C713" i="21" s="1"/>
  <c r="L4" i="23"/>
  <c r="L9" i="23"/>
  <c r="L7" i="23"/>
  <c r="C710" i="21"/>
  <c r="AB131" i="21"/>
  <c r="M131" i="21" s="1"/>
  <c r="G621" i="21"/>
  <c r="C621" i="21" s="1"/>
  <c r="G620" i="21"/>
  <c r="G618" i="21"/>
  <c r="C618" i="21" s="1"/>
  <c r="G617" i="21"/>
  <c r="C617" i="21" s="1"/>
  <c r="G616" i="21"/>
  <c r="C616" i="21" s="1"/>
  <c r="G615" i="21"/>
  <c r="C615" i="21" s="1"/>
  <c r="G614" i="21"/>
  <c r="G610" i="21"/>
  <c r="C610" i="21" s="1"/>
  <c r="G609" i="21"/>
  <c r="C609" i="21" s="1"/>
  <c r="G608" i="21"/>
  <c r="C608" i="21" s="1"/>
  <c r="G607" i="21"/>
  <c r="G605" i="21"/>
  <c r="C605" i="21" s="1"/>
  <c r="G604" i="21"/>
  <c r="C604" i="21" s="1"/>
  <c r="G603" i="21"/>
  <c r="C603" i="21" s="1"/>
  <c r="G602" i="21"/>
  <c r="C602" i="21" s="1"/>
  <c r="G600" i="21"/>
  <c r="C600" i="21" s="1"/>
  <c r="G587" i="21"/>
  <c r="C587" i="21" s="1"/>
  <c r="G586" i="21"/>
  <c r="G585" i="21"/>
  <c r="C585" i="21" s="1"/>
  <c r="C582" i="21"/>
  <c r="C581" i="21"/>
  <c r="C580" i="21"/>
  <c r="G576" i="21"/>
  <c r="C576" i="21" s="1"/>
  <c r="G575" i="21"/>
  <c r="C575" i="21" s="1"/>
  <c r="G574" i="21"/>
  <c r="C574" i="21" s="1"/>
  <c r="G571" i="21"/>
  <c r="C571" i="21" s="1"/>
  <c r="G570" i="21"/>
  <c r="C570" i="21" s="1"/>
  <c r="G569" i="21"/>
  <c r="C569" i="21" s="1"/>
  <c r="G565" i="21"/>
  <c r="C565" i="21" s="1"/>
  <c r="G564" i="21"/>
  <c r="C564" i="21" s="1"/>
  <c r="G563" i="21"/>
  <c r="G561" i="21"/>
  <c r="G560" i="21"/>
  <c r="C560" i="21" s="1"/>
  <c r="G558" i="21"/>
  <c r="C558" i="21" s="1"/>
  <c r="G557" i="21"/>
  <c r="C557" i="21" s="1"/>
  <c r="G556" i="21"/>
  <c r="C556" i="21" s="1"/>
  <c r="G555" i="21"/>
  <c r="G552" i="21"/>
  <c r="C552" i="21" s="1"/>
  <c r="G551" i="21"/>
  <c r="C551" i="21" s="1"/>
  <c r="G546" i="21"/>
  <c r="C546" i="21" s="1"/>
  <c r="G545" i="21"/>
  <c r="C545" i="21" s="1"/>
  <c r="G543" i="21"/>
  <c r="C543" i="21" s="1"/>
  <c r="G542" i="21"/>
  <c r="C542" i="21" s="1"/>
  <c r="J494" i="21"/>
  <c r="Y494" i="21" s="1"/>
  <c r="J127" i="21"/>
  <c r="Y127" i="21" s="1"/>
  <c r="J125" i="21"/>
  <c r="Y125" i="21" s="1"/>
  <c r="G71" i="21"/>
  <c r="C71" i="21" s="1"/>
  <c r="G70" i="21"/>
  <c r="C70" i="21" s="1"/>
  <c r="G68" i="21"/>
  <c r="C16" i="21"/>
  <c r="AA638" i="21"/>
  <c r="M638" i="21" s="1"/>
  <c r="M679" i="21"/>
  <c r="M678" i="21"/>
  <c r="M677" i="21"/>
  <c r="M676" i="21"/>
  <c r="M689" i="21"/>
  <c r="M688" i="21"/>
  <c r="M687" i="21"/>
  <c r="AB686" i="21"/>
  <c r="M686" i="21" s="1"/>
  <c r="M684" i="21"/>
  <c r="M683" i="21"/>
  <c r="M682" i="21"/>
  <c r="M681" i="21"/>
  <c r="AB470" i="21"/>
  <c r="AB444" i="21"/>
  <c r="Z355" i="21"/>
  <c r="Z354" i="21"/>
  <c r="AA229" i="21"/>
  <c r="Y62" i="21"/>
  <c r="Z229" i="21"/>
  <c r="Z183" i="21"/>
  <c r="A335" i="8"/>
  <c r="A336" i="8" s="1"/>
  <c r="A337" i="8" s="1"/>
  <c r="AC747" i="21"/>
  <c r="M747" i="21" s="1"/>
  <c r="AC598" i="21"/>
  <c r="AB597" i="21"/>
  <c r="M597" i="21" s="1"/>
  <c r="AB595" i="21"/>
  <c r="M595" i="21" s="1"/>
  <c r="AB594" i="21"/>
  <c r="M594" i="21" s="1"/>
  <c r="AB593" i="21"/>
  <c r="M593" i="21" s="1"/>
  <c r="AB592" i="21"/>
  <c r="M592" i="21" s="1"/>
  <c r="C189" i="8"/>
  <c r="C182" i="8"/>
  <c r="C180" i="8"/>
  <c r="AB75" i="21"/>
  <c r="AB73" i="21"/>
  <c r="AB68" i="21"/>
  <c r="AB65" i="21"/>
  <c r="AB64" i="21"/>
  <c r="M64" i="21" s="1"/>
  <c r="AB62" i="21"/>
  <c r="AB814" i="21"/>
  <c r="AB812" i="21"/>
  <c r="M812" i="21" s="1"/>
  <c r="AB811" i="21"/>
  <c r="M811" i="21" s="1"/>
  <c r="AB810" i="21"/>
  <c r="M810" i="21" s="1"/>
  <c r="AB809" i="21"/>
  <c r="M809" i="21" s="1"/>
  <c r="AB808" i="21"/>
  <c r="M808" i="21" s="1"/>
  <c r="AB807" i="21"/>
  <c r="M807" i="21" s="1"/>
  <c r="AB806" i="21"/>
  <c r="M806" i="21" s="1"/>
  <c r="AB805" i="21"/>
  <c r="M805" i="21" s="1"/>
  <c r="AB804" i="21"/>
  <c r="AB803" i="21"/>
  <c r="AB801" i="21"/>
  <c r="M801" i="21" s="1"/>
  <c r="AB800" i="21"/>
  <c r="M800" i="21" s="1"/>
  <c r="AB799" i="21"/>
  <c r="M799" i="21" s="1"/>
  <c r="AB798" i="21"/>
  <c r="M798" i="21" s="1"/>
  <c r="AB797" i="21"/>
  <c r="M797" i="21" s="1"/>
  <c r="AB796" i="21"/>
  <c r="AB795" i="21"/>
  <c r="AB794" i="21"/>
  <c r="AE635" i="21"/>
  <c r="AD635" i="21"/>
  <c r="AD633" i="21"/>
  <c r="AC633" i="21"/>
  <c r="AB630" i="21"/>
  <c r="M630" i="21" s="1"/>
  <c r="AC191" i="21"/>
  <c r="AB191" i="21"/>
  <c r="AE428" i="21"/>
  <c r="AD428" i="21"/>
  <c r="AD427" i="21"/>
  <c r="AC427" i="21"/>
  <c r="AD429" i="21"/>
  <c r="F245" i="11"/>
  <c r="F42" i="11"/>
  <c r="I270" i="8"/>
  <c r="I269" i="8"/>
  <c r="I268" i="8"/>
  <c r="I267" i="8"/>
  <c r="I266" i="8"/>
  <c r="I265" i="8"/>
  <c r="I264" i="8"/>
  <c r="I263" i="8"/>
  <c r="I262" i="8"/>
  <c r="I261" i="8"/>
  <c r="I249" i="8"/>
  <c r="I256" i="8"/>
  <c r="I255" i="8"/>
  <c r="I254" i="8"/>
  <c r="I253" i="8"/>
  <c r="I252" i="8"/>
  <c r="I251" i="8"/>
  <c r="I250" i="8"/>
  <c r="I245" i="8"/>
  <c r="I244" i="8"/>
  <c r="I243" i="8"/>
  <c r="I242" i="8"/>
  <c r="I241" i="8"/>
  <c r="I240" i="8"/>
  <c r="I239" i="8"/>
  <c r="I238" i="8"/>
  <c r="I237" i="8"/>
  <c r="I236" i="8"/>
  <c r="I235" i="8"/>
  <c r="I234" i="8"/>
  <c r="I233" i="8"/>
  <c r="I232" i="8"/>
  <c r="I231" i="8"/>
  <c r="I230" i="8"/>
  <c r="I229" i="8"/>
  <c r="I228" i="8"/>
  <c r="I227" i="8"/>
  <c r="I226" i="8"/>
  <c r="I225" i="8"/>
  <c r="AC756" i="21"/>
  <c r="AB756" i="21"/>
  <c r="M759" i="21"/>
  <c r="X756" i="21"/>
  <c r="X754" i="21"/>
  <c r="M754" i="21" s="1"/>
  <c r="X753" i="21"/>
  <c r="M753" i="21" s="1"/>
  <c r="Z750" i="21"/>
  <c r="M750" i="21" s="1"/>
  <c r="X749" i="21"/>
  <c r="M749" i="21" s="1"/>
  <c r="AE745" i="21"/>
  <c r="AB745" i="21"/>
  <c r="AD745" i="21"/>
  <c r="AC745" i="21"/>
  <c r="AC743" i="21"/>
  <c r="AC742" i="21"/>
  <c r="AB743" i="21"/>
  <c r="X745" i="21"/>
  <c r="X743" i="21"/>
  <c r="X742" i="21"/>
  <c r="AB742" i="21"/>
  <c r="AA734" i="21"/>
  <c r="M734" i="21" s="1"/>
  <c r="M721" i="21"/>
  <c r="M719" i="21"/>
  <c r="AB714" i="21"/>
  <c r="M714" i="21" s="1"/>
  <c r="AB701" i="21"/>
  <c r="M701" i="21" s="1"/>
  <c r="M694" i="21"/>
  <c r="AB674" i="21"/>
  <c r="M674" i="21" s="1"/>
  <c r="M673" i="21"/>
  <c r="AB672" i="21"/>
  <c r="M672" i="21" s="1"/>
  <c r="AB671" i="21"/>
  <c r="M671" i="21" s="1"/>
  <c r="AB669" i="21"/>
  <c r="M669" i="21" s="1"/>
  <c r="M668" i="21"/>
  <c r="AB667" i="21"/>
  <c r="M667" i="21" s="1"/>
  <c r="AB666" i="21"/>
  <c r="M666" i="21" s="1"/>
  <c r="M663" i="21"/>
  <c r="X641" i="21"/>
  <c r="M637" i="21"/>
  <c r="AC635" i="21"/>
  <c r="AB635" i="21"/>
  <c r="X635" i="21"/>
  <c r="X633" i="21"/>
  <c r="X631" i="21"/>
  <c r="M631" i="21" s="1"/>
  <c r="I729" i="21"/>
  <c r="I720" i="21"/>
  <c r="G719" i="21"/>
  <c r="E657" i="15"/>
  <c r="I664" i="21"/>
  <c r="I648" i="21"/>
  <c r="AB647" i="21" s="1"/>
  <c r="I654" i="21"/>
  <c r="AB653" i="21" s="1"/>
  <c r="I652" i="21"/>
  <c r="AB651" i="21" s="1"/>
  <c r="I650" i="21"/>
  <c r="AB649" i="21" s="1"/>
  <c r="I646" i="21"/>
  <c r="AB659" i="21"/>
  <c r="I658" i="21"/>
  <c r="AB657" i="21" s="1"/>
  <c r="I793" i="21"/>
  <c r="I767" i="21"/>
  <c r="AB620" i="21"/>
  <c r="M620" i="21" s="1"/>
  <c r="AB572" i="21"/>
  <c r="M572" i="21" s="1"/>
  <c r="AB560" i="21"/>
  <c r="M560" i="21" s="1"/>
  <c r="X548" i="21"/>
  <c r="M548" i="21" s="1"/>
  <c r="X547" i="21"/>
  <c r="M547" i="21" s="1"/>
  <c r="X542" i="21"/>
  <c r="M535" i="21"/>
  <c r="AB494" i="21"/>
  <c r="AB489" i="21"/>
  <c r="AB488" i="21"/>
  <c r="AB476" i="21"/>
  <c r="AC470" i="21"/>
  <c r="AC467" i="21"/>
  <c r="AB467" i="21"/>
  <c r="AB440" i="21"/>
  <c r="M440" i="21" s="1"/>
  <c r="AB429" i="21"/>
  <c r="AB428" i="21"/>
  <c r="AB425" i="21"/>
  <c r="M425" i="21" s="1"/>
  <c r="AC382" i="21"/>
  <c r="AB382" i="21"/>
  <c r="Z357" i="21"/>
  <c r="AA357" i="21"/>
  <c r="AA356" i="21"/>
  <c r="M356" i="21" s="1"/>
  <c r="X529" i="21"/>
  <c r="M529" i="21" s="1"/>
  <c r="X512" i="21"/>
  <c r="M512" i="21" s="1"/>
  <c r="X504" i="21"/>
  <c r="M504" i="21" s="1"/>
  <c r="X489" i="21"/>
  <c r="X488" i="21"/>
  <c r="X487" i="21"/>
  <c r="M487" i="21" s="1"/>
  <c r="X485" i="21"/>
  <c r="M485" i="21" s="1"/>
  <c r="X483" i="21"/>
  <c r="M483" i="21" s="1"/>
  <c r="X476" i="21"/>
  <c r="X475" i="21"/>
  <c r="M475" i="21" s="1"/>
  <c r="X474" i="21"/>
  <c r="M474" i="21" s="1"/>
  <c r="X473" i="21"/>
  <c r="M473" i="21" s="1"/>
  <c r="X472" i="21"/>
  <c r="M472" i="21" s="1"/>
  <c r="X471" i="21"/>
  <c r="M471" i="21" s="1"/>
  <c r="X470" i="21"/>
  <c r="X467" i="21"/>
  <c r="X444" i="21"/>
  <c r="X443" i="21"/>
  <c r="X442" i="21"/>
  <c r="X428" i="21"/>
  <c r="X427" i="21"/>
  <c r="X397" i="21"/>
  <c r="M397" i="21" s="1"/>
  <c r="X379" i="21"/>
  <c r="M379" i="21" s="1"/>
  <c r="X377" i="21"/>
  <c r="Z350" i="21"/>
  <c r="Z345" i="21"/>
  <c r="M345" i="21" s="1"/>
  <c r="Z344" i="21"/>
  <c r="M344" i="21" s="1"/>
  <c r="Z343" i="21"/>
  <c r="M343" i="21" s="1"/>
  <c r="Z341" i="21"/>
  <c r="M341" i="21" s="1"/>
  <c r="Z340" i="21"/>
  <c r="M340" i="21" s="1"/>
  <c r="Z336" i="21"/>
  <c r="AA355" i="21"/>
  <c r="AA354" i="21"/>
  <c r="J393" i="21"/>
  <c r="J391" i="21"/>
  <c r="J389" i="21"/>
  <c r="J387" i="21"/>
  <c r="Z331" i="21"/>
  <c r="M331" i="21" s="1"/>
  <c r="Y332" i="21"/>
  <c r="M332" i="21" s="1"/>
  <c r="I530" i="21"/>
  <c r="G533" i="21"/>
  <c r="G531" i="21"/>
  <c r="AW82" i="8"/>
  <c r="AW81" i="8"/>
  <c r="AW80" i="8"/>
  <c r="AW79" i="8"/>
  <c r="AW78" i="8"/>
  <c r="AW77" i="8"/>
  <c r="AW76" i="8"/>
  <c r="AW75" i="8"/>
  <c r="J501" i="21"/>
  <c r="Y501" i="21" s="1"/>
  <c r="M501" i="21" s="1"/>
  <c r="J499" i="21"/>
  <c r="Y499" i="21" s="1"/>
  <c r="M499" i="21" s="1"/>
  <c r="J490" i="21"/>
  <c r="Y490" i="21" s="1"/>
  <c r="M490" i="21" s="1"/>
  <c r="AX69" i="8"/>
  <c r="BA53" i="8"/>
  <c r="BF54" i="8" s="1"/>
  <c r="I446" i="21" s="1"/>
  <c r="BF50" i="8"/>
  <c r="AB442" i="21" s="1"/>
  <c r="AX48" i="8"/>
  <c r="BA35" i="8"/>
  <c r="BF36" i="8" s="1"/>
  <c r="I437" i="21" s="1"/>
  <c r="AP93" i="8"/>
  <c r="AU94" i="8" s="1"/>
  <c r="H431" i="21"/>
  <c r="AU91" i="8"/>
  <c r="AC429" i="21" s="1"/>
  <c r="AM89" i="8"/>
  <c r="AU87" i="8"/>
  <c r="AC428" i="21" s="1"/>
  <c r="AM85" i="8"/>
  <c r="AU83" i="8"/>
  <c r="AB427" i="21" s="1"/>
  <c r="AM81" i="8"/>
  <c r="AU79" i="8"/>
  <c r="AB424" i="21" s="1"/>
  <c r="M424" i="21" s="1"/>
  <c r="AM77" i="8"/>
  <c r="AP68" i="8"/>
  <c r="AU69" i="8" s="1"/>
  <c r="I418" i="21" s="1"/>
  <c r="AM66" i="8"/>
  <c r="AU63" i="8"/>
  <c r="I414" i="21" s="1"/>
  <c r="AM61" i="8"/>
  <c r="AP52" i="8"/>
  <c r="AU53" i="8" s="1"/>
  <c r="I409" i="21" s="1"/>
  <c r="AM50" i="8"/>
  <c r="AP41" i="8"/>
  <c r="AU42" i="8" s="1"/>
  <c r="I404" i="21" s="1"/>
  <c r="AM39" i="8"/>
  <c r="CB29" i="8"/>
  <c r="BW28" i="8"/>
  <c r="BT26" i="8"/>
  <c r="BQ29" i="8"/>
  <c r="BL28" i="8"/>
  <c r="BI26" i="8"/>
  <c r="BF29" i="8"/>
  <c r="BA28" i="8"/>
  <c r="AP28" i="8"/>
  <c r="AU29" i="8" s="1"/>
  <c r="AX26" i="8"/>
  <c r="AM26" i="8"/>
  <c r="AF30" i="8"/>
  <c r="AE30" i="8"/>
  <c r="AD30" i="8"/>
  <c r="AC30" i="8"/>
  <c r="AI33" i="8"/>
  <c r="AI32" i="8"/>
  <c r="AI31" i="8"/>
  <c r="AF32" i="8"/>
  <c r="AF26" i="8"/>
  <c r="AF33" i="8"/>
  <c r="AE33" i="8"/>
  <c r="AD33" i="8"/>
  <c r="AC33" i="8"/>
  <c r="AD32" i="8"/>
  <c r="AC32" i="8"/>
  <c r="AF31" i="8"/>
  <c r="AE31" i="8"/>
  <c r="AD31" i="8"/>
  <c r="AC31" i="8"/>
  <c r="G382" i="21"/>
  <c r="G383" i="21"/>
  <c r="O32" i="8"/>
  <c r="Z30" i="8"/>
  <c r="I381" i="21" s="1"/>
  <c r="N27" i="8"/>
  <c r="Q28" i="8"/>
  <c r="Q24" i="8"/>
  <c r="Q19" i="8"/>
  <c r="Q11" i="8"/>
  <c r="J377" i="21"/>
  <c r="Y377" i="21" s="1"/>
  <c r="Y374" i="21"/>
  <c r="M374" i="21" s="1"/>
  <c r="F258" i="11"/>
  <c r="O256" i="11"/>
  <c r="D425" i="15" s="1"/>
  <c r="O243" i="11"/>
  <c r="D416" i="15" s="1"/>
  <c r="O237" i="11"/>
  <c r="D419" i="15" s="1"/>
  <c r="K230" i="11"/>
  <c r="D405" i="15" s="1"/>
  <c r="J230" i="11"/>
  <c r="D404" i="15" s="1"/>
  <c r="K222" i="11"/>
  <c r="D401" i="15" s="1"/>
  <c r="J222" i="11"/>
  <c r="D400" i="15" s="1"/>
  <c r="I222" i="11"/>
  <c r="D399" i="15" s="1"/>
  <c r="H222" i="11"/>
  <c r="F447" i="21" s="1"/>
  <c r="G222" i="11"/>
  <c r="D397" i="15" s="1"/>
  <c r="O212" i="11"/>
  <c r="F442" i="21" s="1"/>
  <c r="L210" i="11"/>
  <c r="J210" i="11"/>
  <c r="H210" i="11"/>
  <c r="N205" i="11"/>
  <c r="L205" i="11"/>
  <c r="H205" i="11"/>
  <c r="L200" i="11"/>
  <c r="I200" i="11"/>
  <c r="G200" i="11"/>
  <c r="K193" i="11"/>
  <c r="D388" i="15" s="1"/>
  <c r="I193" i="11"/>
  <c r="F432" i="21" s="1"/>
  <c r="G193" i="11"/>
  <c r="D386" i="15" s="1"/>
  <c r="O187" i="11"/>
  <c r="D384" i="15" s="1"/>
  <c r="O184" i="11"/>
  <c r="F428" i="21" s="1"/>
  <c r="O181" i="11"/>
  <c r="F427" i="21" s="1"/>
  <c r="O175" i="11"/>
  <c r="D379" i="15" s="1"/>
  <c r="O164" i="11"/>
  <c r="D371" i="15" s="1"/>
  <c r="K170" i="11"/>
  <c r="F422" i="21" s="1"/>
  <c r="J170" i="11"/>
  <c r="D376" i="15" s="1"/>
  <c r="I170" i="11"/>
  <c r="D375" i="15" s="1"/>
  <c r="H170" i="11"/>
  <c r="F419" i="21" s="1"/>
  <c r="G170" i="11"/>
  <c r="D373" i="15" s="1"/>
  <c r="K162" i="11"/>
  <c r="D370" i="15" s="1"/>
  <c r="J162" i="11"/>
  <c r="F412" i="21" s="1"/>
  <c r="I162" i="11"/>
  <c r="F411" i="21" s="1"/>
  <c r="H162" i="11"/>
  <c r="F410" i="21" s="1"/>
  <c r="G162" i="11"/>
  <c r="D366" i="15" s="1"/>
  <c r="J155" i="11"/>
  <c r="F407" i="21" s="1"/>
  <c r="I155" i="11"/>
  <c r="D363" i="15" s="1"/>
  <c r="H155" i="11"/>
  <c r="D362" i="15" s="1"/>
  <c r="G155" i="11"/>
  <c r="D361" i="15" s="1"/>
  <c r="N84" i="8"/>
  <c r="N83" i="8"/>
  <c r="N82" i="8"/>
  <c r="N81" i="8"/>
  <c r="N77" i="8"/>
  <c r="N78" i="8"/>
  <c r="E84" i="8"/>
  <c r="E83" i="8"/>
  <c r="E82" i="8"/>
  <c r="E79" i="8"/>
  <c r="E78" i="8"/>
  <c r="E77" i="8"/>
  <c r="I149" i="11"/>
  <c r="G149" i="11"/>
  <c r="J144" i="11"/>
  <c r="I144" i="11"/>
  <c r="H144" i="11"/>
  <c r="G144" i="11"/>
  <c r="I139" i="11"/>
  <c r="G139" i="11"/>
  <c r="K134" i="11"/>
  <c r="J134" i="11"/>
  <c r="I134" i="11"/>
  <c r="H134" i="11"/>
  <c r="G134" i="11"/>
  <c r="N124" i="11"/>
  <c r="F393" i="21" s="1"/>
  <c r="M124" i="11"/>
  <c r="K124" i="11"/>
  <c r="I124" i="11"/>
  <c r="G124" i="11"/>
  <c r="N120" i="11"/>
  <c r="F392" i="21" s="1"/>
  <c r="M120" i="11"/>
  <c r="K120" i="11"/>
  <c r="I120" i="11"/>
  <c r="G120" i="11"/>
  <c r="N116" i="11"/>
  <c r="D352" i="15" s="1"/>
  <c r="M116" i="11"/>
  <c r="K116" i="11"/>
  <c r="I116" i="11"/>
  <c r="G116" i="11"/>
  <c r="M111" i="11"/>
  <c r="K111" i="11"/>
  <c r="I111" i="11"/>
  <c r="G111" i="11"/>
  <c r="K103" i="11"/>
  <c r="D348" i="15" s="1"/>
  <c r="J103" i="11"/>
  <c r="F384" i="21" s="1"/>
  <c r="I103" i="11"/>
  <c r="D346" i="15" s="1"/>
  <c r="H103" i="11"/>
  <c r="F382" i="21" s="1"/>
  <c r="G103" i="11"/>
  <c r="D344" i="15" s="1"/>
  <c r="O97" i="11"/>
  <c r="F379" i="21" s="1"/>
  <c r="L84" i="11"/>
  <c r="J84" i="11"/>
  <c r="H84" i="11"/>
  <c r="F84" i="11"/>
  <c r="H95" i="11"/>
  <c r="D341" i="15" s="1"/>
  <c r="H94" i="11"/>
  <c r="D340" i="15" s="1"/>
  <c r="H93" i="11"/>
  <c r="L78" i="11"/>
  <c r="K78" i="11"/>
  <c r="J78" i="11"/>
  <c r="N78" i="11"/>
  <c r="M78" i="11"/>
  <c r="I78" i="11"/>
  <c r="H78" i="11"/>
  <c r="G78" i="11"/>
  <c r="Q9" i="8"/>
  <c r="J369" i="21"/>
  <c r="Y369" i="21" s="1"/>
  <c r="M369" i="21" s="1"/>
  <c r="AA363" i="21"/>
  <c r="M363" i="21" s="1"/>
  <c r="Y362" i="21"/>
  <c r="AA362" i="21"/>
  <c r="J350" i="21"/>
  <c r="Y350" i="21" s="1"/>
  <c r="AA240" i="21"/>
  <c r="M240" i="21" s="1"/>
  <c r="AA233" i="21"/>
  <c r="AA226" i="21"/>
  <c r="M226" i="21" s="1"/>
  <c r="AA206" i="21"/>
  <c r="Z201" i="21"/>
  <c r="M201" i="21" s="1"/>
  <c r="AA192" i="21"/>
  <c r="M192" i="21" s="1"/>
  <c r="AA183" i="21"/>
  <c r="AA178" i="21"/>
  <c r="J324" i="21"/>
  <c r="Y324" i="21" s="1"/>
  <c r="J311" i="21"/>
  <c r="Y311" i="21" s="1"/>
  <c r="J292" i="21"/>
  <c r="Y292" i="21" s="1"/>
  <c r="M292" i="21" s="1"/>
  <c r="J246" i="21"/>
  <c r="Y246" i="21" s="1"/>
  <c r="J220" i="21"/>
  <c r="Y220" i="21" s="1"/>
  <c r="J218" i="21"/>
  <c r="Y218" i="21" s="1"/>
  <c r="J212" i="21"/>
  <c r="Y212" i="21" s="1"/>
  <c r="J210" i="21"/>
  <c r="Y210" i="21" s="1"/>
  <c r="J203" i="21"/>
  <c r="Y203" i="21" s="1"/>
  <c r="J199" i="21"/>
  <c r="Y199" i="21" s="1"/>
  <c r="J147" i="21"/>
  <c r="J145" i="21"/>
  <c r="Y145" i="21" s="1"/>
  <c r="J111" i="21"/>
  <c r="Y111" i="21" s="1"/>
  <c r="J109" i="21"/>
  <c r="Y109" i="21" s="1"/>
  <c r="J107" i="21"/>
  <c r="Y107" i="21" s="1"/>
  <c r="J105" i="21"/>
  <c r="Y105" i="21" s="1"/>
  <c r="J103" i="21"/>
  <c r="Y103" i="21" s="1"/>
  <c r="J98" i="21"/>
  <c r="Y98" i="21" s="1"/>
  <c r="J96" i="21"/>
  <c r="Y96" i="21" s="1"/>
  <c r="J93" i="21"/>
  <c r="Y93" i="21" s="1"/>
  <c r="J87" i="21"/>
  <c r="Y87" i="21" s="1"/>
  <c r="J85" i="21"/>
  <c r="Y85" i="21" s="1"/>
  <c r="J83" i="21"/>
  <c r="J81" i="21"/>
  <c r="Y81" i="21" s="1"/>
  <c r="J75" i="21"/>
  <c r="Y75" i="21" s="1"/>
  <c r="J73" i="21"/>
  <c r="Y73" i="21" s="1"/>
  <c r="J68" i="21"/>
  <c r="Y68" i="21" s="1"/>
  <c r="J65" i="21"/>
  <c r="Y65" i="21" s="1"/>
  <c r="J63" i="21"/>
  <c r="Y63" i="21" s="1"/>
  <c r="J31" i="21"/>
  <c r="Y31" i="21" s="1"/>
  <c r="J27" i="21"/>
  <c r="Y27" i="21" s="1"/>
  <c r="X289" i="21"/>
  <c r="X286" i="21"/>
  <c r="J289" i="21"/>
  <c r="Y289" i="21" s="1"/>
  <c r="J285" i="21"/>
  <c r="Y286" i="21" s="1"/>
  <c r="J336" i="21"/>
  <c r="Y336" i="21" s="1"/>
  <c r="X178" i="21"/>
  <c r="X324" i="21"/>
  <c r="X323" i="21"/>
  <c r="M323" i="21" s="1"/>
  <c r="X322" i="21"/>
  <c r="M322" i="21" s="1"/>
  <c r="X321" i="21"/>
  <c r="M321" i="21" s="1"/>
  <c r="M320" i="21"/>
  <c r="X311" i="21"/>
  <c r="X319" i="21"/>
  <c r="M319" i="21" s="1"/>
  <c r="X318" i="21"/>
  <c r="M318" i="21" s="1"/>
  <c r="X317" i="21"/>
  <c r="M317" i="21" s="1"/>
  <c r="X316" i="21"/>
  <c r="M316" i="21" s="1"/>
  <c r="X315" i="21"/>
  <c r="M315" i="21" s="1"/>
  <c r="X314" i="21"/>
  <c r="M314" i="21" s="1"/>
  <c r="X307" i="21"/>
  <c r="X313" i="21"/>
  <c r="M313" i="21" s="1"/>
  <c r="X283" i="21"/>
  <c r="M283" i="21" s="1"/>
  <c r="X282" i="21"/>
  <c r="M282" i="21" s="1"/>
  <c r="X281" i="21"/>
  <c r="M281" i="21" s="1"/>
  <c r="X277" i="21"/>
  <c r="X274" i="21"/>
  <c r="X272" i="21"/>
  <c r="X262" i="21"/>
  <c r="X260" i="21"/>
  <c r="M260" i="21" s="1"/>
  <c r="X259" i="21"/>
  <c r="M259" i="21" s="1"/>
  <c r="X255" i="21"/>
  <c r="X251" i="21"/>
  <c r="M251" i="21" s="1"/>
  <c r="X248" i="21"/>
  <c r="M248" i="21" s="1"/>
  <c r="X246" i="21"/>
  <c r="X244" i="21"/>
  <c r="M244" i="21" s="1"/>
  <c r="X242" i="21"/>
  <c r="M242" i="21" s="1"/>
  <c r="X241" i="21"/>
  <c r="M241" i="21" s="1"/>
  <c r="X239" i="21"/>
  <c r="M239" i="21" s="1"/>
  <c r="X236" i="21"/>
  <c r="M236" i="21" s="1"/>
  <c r="X233" i="21"/>
  <c r="X232" i="21"/>
  <c r="M232" i="21" s="1"/>
  <c r="X231" i="21"/>
  <c r="M231" i="21" s="1"/>
  <c r="X227" i="21"/>
  <c r="M227" i="21" s="1"/>
  <c r="X223" i="21"/>
  <c r="M223" i="21" s="1"/>
  <c r="X220" i="21"/>
  <c r="X218" i="21"/>
  <c r="X216" i="21"/>
  <c r="M216" i="21" s="1"/>
  <c r="X214" i="21"/>
  <c r="M214" i="21" s="1"/>
  <c r="X212" i="21"/>
  <c r="X210" i="21"/>
  <c r="X205" i="21"/>
  <c r="M205" i="21" s="1"/>
  <c r="X203" i="21"/>
  <c r="X199" i="21"/>
  <c r="X195" i="21"/>
  <c r="M195" i="21" s="1"/>
  <c r="X193" i="21"/>
  <c r="M193" i="21" s="1"/>
  <c r="X191" i="21"/>
  <c r="X187" i="21"/>
  <c r="M187" i="21" s="1"/>
  <c r="X184" i="21"/>
  <c r="M184" i="21" s="1"/>
  <c r="X180" i="21"/>
  <c r="X179" i="21"/>
  <c r="M179" i="21" s="1"/>
  <c r="X174" i="21"/>
  <c r="X172" i="21"/>
  <c r="M172" i="21" s="1"/>
  <c r="X165" i="21"/>
  <c r="M165" i="21" s="1"/>
  <c r="X163" i="21"/>
  <c r="M163" i="21" s="1"/>
  <c r="X162" i="21"/>
  <c r="M162" i="21" s="1"/>
  <c r="X161" i="21"/>
  <c r="M161" i="21" s="1"/>
  <c r="X160" i="21"/>
  <c r="M160" i="21" s="1"/>
  <c r="X159" i="21"/>
  <c r="M159" i="21" s="1"/>
  <c r="X157" i="21"/>
  <c r="M157" i="21" s="1"/>
  <c r="X156" i="21"/>
  <c r="M156" i="21" s="1"/>
  <c r="X155" i="21"/>
  <c r="M155" i="21" s="1"/>
  <c r="X154" i="21"/>
  <c r="M154" i="21" s="1"/>
  <c r="X153" i="21"/>
  <c r="M153" i="21" s="1"/>
  <c r="X152" i="21"/>
  <c r="M152" i="21" s="1"/>
  <c r="X145" i="21"/>
  <c r="X147" i="21"/>
  <c r="X149" i="21"/>
  <c r="J228" i="21"/>
  <c r="Y228" i="21" s="1"/>
  <c r="M228" i="21" s="1"/>
  <c r="J208" i="21"/>
  <c r="Y208" i="21" s="1"/>
  <c r="M208" i="21" s="1"/>
  <c r="J206" i="21"/>
  <c r="Y206" i="21" s="1"/>
  <c r="J188" i="21"/>
  <c r="Y188" i="21" s="1"/>
  <c r="M188" i="21" s="1"/>
  <c r="J182" i="21"/>
  <c r="Y182" i="21" s="1"/>
  <c r="M182" i="21" s="1"/>
  <c r="J177" i="21"/>
  <c r="Y177" i="21" s="1"/>
  <c r="M177" i="21" s="1"/>
  <c r="Y149" i="21"/>
  <c r="Y147" i="21"/>
  <c r="AF52" i="8"/>
  <c r="AF51" i="8"/>
  <c r="AF50" i="8"/>
  <c r="AF49" i="8"/>
  <c r="J297" i="21"/>
  <c r="Y297" i="21" s="1"/>
  <c r="M297" i="21" s="1"/>
  <c r="H297" i="21"/>
  <c r="J294" i="21" s="1"/>
  <c r="Y294" i="21" s="1"/>
  <c r="M294" i="21" s="1"/>
  <c r="I326" i="21"/>
  <c r="J307" i="21"/>
  <c r="Y307" i="21" s="1"/>
  <c r="J277" i="21"/>
  <c r="Y277" i="21" s="1"/>
  <c r="Y274" i="21"/>
  <c r="J267" i="21"/>
  <c r="Y267" i="21" s="1"/>
  <c r="M267" i="21" s="1"/>
  <c r="J215" i="21"/>
  <c r="Y215" i="21" s="1"/>
  <c r="M215" i="21" s="1"/>
  <c r="J201" i="21"/>
  <c r="J180" i="21"/>
  <c r="Y180" i="21" s="1"/>
  <c r="J174" i="21"/>
  <c r="Y174" i="21" s="1"/>
  <c r="J168" i="21"/>
  <c r="Y168" i="21" s="1"/>
  <c r="H139" i="21"/>
  <c r="J262" i="21"/>
  <c r="Y262" i="21" s="1"/>
  <c r="Y139" i="21"/>
  <c r="M139" i="21" s="1"/>
  <c r="J15" i="21"/>
  <c r="Y15" i="21" s="1"/>
  <c r="X134" i="21"/>
  <c r="M134" i="21" s="1"/>
  <c r="X133" i="21"/>
  <c r="M133" i="21" s="1"/>
  <c r="X130" i="21"/>
  <c r="X127" i="21"/>
  <c r="X125" i="21"/>
  <c r="X121" i="21"/>
  <c r="M121" i="21" s="1"/>
  <c r="X119" i="21"/>
  <c r="M119" i="21" s="1"/>
  <c r="X118" i="21"/>
  <c r="M118" i="21" s="1"/>
  <c r="X115" i="21"/>
  <c r="M115" i="21" s="1"/>
  <c r="X114" i="21"/>
  <c r="M114" i="21" s="1"/>
  <c r="X113" i="21"/>
  <c r="M113" i="21" s="1"/>
  <c r="X111" i="21"/>
  <c r="X109" i="21"/>
  <c r="X107" i="21"/>
  <c r="X105" i="21"/>
  <c r="X103" i="21"/>
  <c r="X102" i="21"/>
  <c r="M102" i="21" s="1"/>
  <c r="X100" i="21"/>
  <c r="M100" i="21" s="1"/>
  <c r="X98" i="21"/>
  <c r="X96" i="21"/>
  <c r="X93" i="21"/>
  <c r="X91" i="21"/>
  <c r="M91" i="21" s="1"/>
  <c r="X90" i="21"/>
  <c r="M90" i="21" s="1"/>
  <c r="X87" i="21"/>
  <c r="X85" i="21"/>
  <c r="X83" i="21"/>
  <c r="M83" i="21" s="1"/>
  <c r="X81" i="21"/>
  <c r="X79" i="21"/>
  <c r="M79" i="21" s="1"/>
  <c r="X78" i="21"/>
  <c r="M78" i="21" s="1"/>
  <c r="X77" i="21"/>
  <c r="M77" i="21" s="1"/>
  <c r="X75" i="21"/>
  <c r="X73" i="21"/>
  <c r="X68" i="21"/>
  <c r="X65" i="21"/>
  <c r="X63" i="21"/>
  <c r="X61" i="21"/>
  <c r="M61" i="21" s="1"/>
  <c r="X60" i="21"/>
  <c r="M60" i="21" s="1"/>
  <c r="X59" i="21"/>
  <c r="M59" i="21" s="1"/>
  <c r="X56" i="21"/>
  <c r="M56" i="21" s="1"/>
  <c r="X54" i="21"/>
  <c r="M54" i="21" s="1"/>
  <c r="X53" i="21"/>
  <c r="M53" i="21" s="1"/>
  <c r="X51" i="21"/>
  <c r="M51" i="21" s="1"/>
  <c r="X50" i="21"/>
  <c r="M50" i="21" s="1"/>
  <c r="X49" i="21"/>
  <c r="M49" i="21" s="1"/>
  <c r="X48" i="21"/>
  <c r="M48" i="21" s="1"/>
  <c r="X47" i="21"/>
  <c r="M47" i="21" s="1"/>
  <c r="X46" i="21"/>
  <c r="M46" i="21" s="1"/>
  <c r="X43" i="21"/>
  <c r="M43" i="21" s="1"/>
  <c r="X42" i="21"/>
  <c r="M42" i="21" s="1"/>
  <c r="X41" i="21"/>
  <c r="M41" i="21" s="1"/>
  <c r="X40" i="21"/>
  <c r="M40" i="21" s="1"/>
  <c r="X39" i="21"/>
  <c r="M39" i="21" s="1"/>
  <c r="X38" i="21"/>
  <c r="M38" i="21" s="1"/>
  <c r="X37" i="21"/>
  <c r="M37" i="21" s="1"/>
  <c r="X36" i="21"/>
  <c r="M36" i="21" s="1"/>
  <c r="X35" i="21"/>
  <c r="M35" i="21" s="1"/>
  <c r="X34" i="21"/>
  <c r="M34" i="21" s="1"/>
  <c r="X33" i="21"/>
  <c r="M33" i="21" s="1"/>
  <c r="X31" i="21"/>
  <c r="X27" i="21"/>
  <c r="X25" i="21"/>
  <c r="M25" i="21" s="1"/>
  <c r="X24" i="21"/>
  <c r="M24" i="21" s="1"/>
  <c r="X23" i="21"/>
  <c r="M23" i="21" s="1"/>
  <c r="X22" i="21"/>
  <c r="M22" i="21" s="1"/>
  <c r="X20" i="21"/>
  <c r="M20" i="21" s="1"/>
  <c r="X19" i="21"/>
  <c r="M19" i="21" s="1"/>
  <c r="X18" i="21"/>
  <c r="M18" i="21" s="1"/>
  <c r="X17" i="21"/>
  <c r="M17" i="21" s="1"/>
  <c r="X15" i="21"/>
  <c r="K17" i="21"/>
  <c r="K15" i="21"/>
  <c r="J255" i="21"/>
  <c r="Y255" i="21" s="1"/>
  <c r="J251" i="21"/>
  <c r="A266" i="8"/>
  <c r="A267" i="8" s="1"/>
  <c r="A268" i="8" s="1"/>
  <c r="A315" i="8"/>
  <c r="A314" i="8"/>
  <c r="A313" i="8"/>
  <c r="A312" i="8"/>
  <c r="A311" i="8"/>
  <c r="A310" i="8"/>
  <c r="A309" i="8"/>
  <c r="A308" i="8"/>
  <c r="A307" i="8"/>
  <c r="A306" i="8"/>
  <c r="A305" i="8"/>
  <c r="A304" i="8"/>
  <c r="C303" i="8"/>
  <c r="A303" i="8"/>
  <c r="C302" i="8"/>
  <c r="A301" i="8"/>
  <c r="C299" i="8"/>
  <c r="C298" i="8"/>
  <c r="A298" i="8"/>
  <c r="C297" i="8"/>
  <c r="A297" i="8"/>
  <c r="C296" i="8"/>
  <c r="A296" i="8"/>
  <c r="C295" i="8"/>
  <c r="C294" i="8"/>
  <c r="C293" i="8"/>
  <c r="A293" i="8"/>
  <c r="A292" i="8"/>
  <c r="A291" i="8"/>
  <c r="A290" i="8"/>
  <c r="A289" i="8"/>
  <c r="A288" i="8"/>
  <c r="C287" i="8"/>
  <c r="C286" i="8"/>
  <c r="A286" i="8"/>
  <c r="C283" i="8"/>
  <c r="C282" i="8"/>
  <c r="A282" i="8"/>
  <c r="C281" i="8"/>
  <c r="C280" i="8"/>
  <c r="C279" i="8"/>
  <c r="A279" i="8"/>
  <c r="C278" i="8"/>
  <c r="C277" i="8"/>
  <c r="A272" i="8"/>
  <c r="F260" i="8"/>
  <c r="D243" i="8"/>
  <c r="D242" i="8"/>
  <c r="E241" i="8"/>
  <c r="D241" i="8" s="1"/>
  <c r="B241" i="8"/>
  <c r="D240" i="8"/>
  <c r="B240" i="8"/>
  <c r="G239" i="8"/>
  <c r="D239" i="8"/>
  <c r="B239" i="8"/>
  <c r="G238" i="8"/>
  <c r="D238" i="8"/>
  <c r="B238" i="8"/>
  <c r="D237" i="8"/>
  <c r="B237" i="8"/>
  <c r="A237" i="8"/>
  <c r="D236" i="8"/>
  <c r="B236" i="8"/>
  <c r="A236" i="8"/>
  <c r="D235" i="8"/>
  <c r="A235" i="8"/>
  <c r="D234" i="8"/>
  <c r="B234" i="8"/>
  <c r="A234" i="8"/>
  <c r="D233" i="8"/>
  <c r="B233" i="8"/>
  <c r="A233" i="8"/>
  <c r="D232" i="8"/>
  <c r="B232" i="8"/>
  <c r="A232" i="8"/>
  <c r="D231" i="8"/>
  <c r="B231" i="8"/>
  <c r="A231" i="8"/>
  <c r="E230" i="8"/>
  <c r="D230" i="8"/>
  <c r="B230" i="8"/>
  <c r="A230" i="8"/>
  <c r="E229" i="8"/>
  <c r="D229" i="8"/>
  <c r="A229" i="8"/>
  <c r="B228" i="8"/>
  <c r="A228" i="8"/>
  <c r="D227" i="8"/>
  <c r="B227" i="8"/>
  <c r="A227" i="8"/>
  <c r="H823" i="21"/>
  <c r="C24" i="22" s="1"/>
  <c r="H764" i="21"/>
  <c r="C22" i="22" s="1"/>
  <c r="I625" i="21"/>
  <c r="H625" i="21"/>
  <c r="C20" i="22" s="1"/>
  <c r="I63" i="8"/>
  <c r="E477" i="21"/>
  <c r="B151" i="11"/>
  <c r="B120" i="8"/>
  <c r="B119" i="8"/>
  <c r="B25" i="11"/>
  <c r="B24" i="11"/>
  <c r="G127" i="8"/>
  <c r="G126" i="8"/>
  <c r="D124" i="8"/>
  <c r="A124" i="8"/>
  <c r="D123" i="8"/>
  <c r="C260" i="11"/>
  <c r="B64" i="11"/>
  <c r="B127" i="8" s="1"/>
  <c r="K822" i="21"/>
  <c r="G822" i="21"/>
  <c r="C822" i="21" s="1"/>
  <c r="K821" i="21"/>
  <c r="G821" i="21"/>
  <c r="C821" i="21" s="1"/>
  <c r="K820" i="21"/>
  <c r="G820" i="21"/>
  <c r="C820" i="21" s="1"/>
  <c r="K819" i="21"/>
  <c r="G819" i="21"/>
  <c r="C819" i="21" s="1"/>
  <c r="K818" i="21"/>
  <c r="G818" i="21"/>
  <c r="C818" i="21" s="1"/>
  <c r="K817" i="21"/>
  <c r="G817" i="21"/>
  <c r="C817" i="21" s="1"/>
  <c r="K816" i="21"/>
  <c r="G816" i="21"/>
  <c r="C816" i="21" s="1"/>
  <c r="K815" i="21"/>
  <c r="G815" i="21"/>
  <c r="C815" i="21" s="1"/>
  <c r="K814" i="21"/>
  <c r="G814" i="21"/>
  <c r="C814" i="21" s="1"/>
  <c r="K812" i="21"/>
  <c r="G812" i="21"/>
  <c r="C812" i="21" s="1"/>
  <c r="K811" i="21"/>
  <c r="G811" i="21"/>
  <c r="C811" i="21" s="1"/>
  <c r="K810" i="21"/>
  <c r="G810" i="21"/>
  <c r="C810" i="21" s="1"/>
  <c r="K809" i="21"/>
  <c r="G809" i="21"/>
  <c r="C809" i="21" s="1"/>
  <c r="K808" i="21"/>
  <c r="G808" i="21"/>
  <c r="C808" i="21" s="1"/>
  <c r="K807" i="21"/>
  <c r="G807" i="21"/>
  <c r="C807" i="21" s="1"/>
  <c r="K806" i="21"/>
  <c r="G806" i="21"/>
  <c r="C806" i="21" s="1"/>
  <c r="K805" i="21"/>
  <c r="G805" i="21"/>
  <c r="C805" i="21" s="1"/>
  <c r="K804" i="21"/>
  <c r="G804" i="21"/>
  <c r="C804" i="21" s="1"/>
  <c r="K803" i="21"/>
  <c r="G803" i="21"/>
  <c r="C803" i="21" s="1"/>
  <c r="K801" i="21"/>
  <c r="G801" i="21"/>
  <c r="C801" i="21" s="1"/>
  <c r="K800" i="21"/>
  <c r="G800" i="21"/>
  <c r="C800" i="21" s="1"/>
  <c r="K799" i="21"/>
  <c r="G799" i="21"/>
  <c r="C799" i="21" s="1"/>
  <c r="K798" i="21"/>
  <c r="G798" i="21"/>
  <c r="C798" i="21" s="1"/>
  <c r="K797" i="21"/>
  <c r="G797" i="21"/>
  <c r="C797" i="21" s="1"/>
  <c r="K796" i="21"/>
  <c r="G796" i="21"/>
  <c r="C796" i="21" s="1"/>
  <c r="K795" i="21"/>
  <c r="G795" i="21"/>
  <c r="C795" i="21" s="1"/>
  <c r="K794" i="21"/>
  <c r="G794" i="21"/>
  <c r="C794" i="21" s="1"/>
  <c r="K790" i="21"/>
  <c r="G790" i="21"/>
  <c r="C790" i="21" s="1"/>
  <c r="K788" i="21"/>
  <c r="G788" i="21"/>
  <c r="C788" i="21" s="1"/>
  <c r="K787" i="21"/>
  <c r="G787" i="21"/>
  <c r="C787" i="21" s="1"/>
  <c r="K786" i="21"/>
  <c r="G786" i="21"/>
  <c r="C786" i="21" s="1"/>
  <c r="K785" i="21"/>
  <c r="G785" i="21"/>
  <c r="C785" i="21" s="1"/>
  <c r="K784" i="21"/>
  <c r="G784" i="21"/>
  <c r="C784" i="21" s="1"/>
  <c r="K783" i="21"/>
  <c r="G783" i="21"/>
  <c r="C783" i="21" s="1"/>
  <c r="K782" i="21"/>
  <c r="G782" i="21"/>
  <c r="C782" i="21" s="1"/>
  <c r="K781" i="21"/>
  <c r="G781" i="21"/>
  <c r="C781" i="21" s="1"/>
  <c r="K780" i="21"/>
  <c r="G780" i="21"/>
  <c r="C780" i="21" s="1"/>
  <c r="K779" i="21"/>
  <c r="G779" i="21"/>
  <c r="C779" i="21" s="1"/>
  <c r="K778" i="21"/>
  <c r="G778" i="21"/>
  <c r="C778" i="21" s="1"/>
  <c r="K777" i="21"/>
  <c r="G777" i="21"/>
  <c r="C777" i="21" s="1"/>
  <c r="K776" i="21"/>
  <c r="G776" i="21"/>
  <c r="C776" i="21" s="1"/>
  <c r="K775" i="21"/>
  <c r="G775" i="21"/>
  <c r="C775" i="21" s="1"/>
  <c r="K774" i="21"/>
  <c r="G774" i="21"/>
  <c r="C774" i="21" s="1"/>
  <c r="K773" i="21"/>
  <c r="G773" i="21"/>
  <c r="C773" i="21" s="1"/>
  <c r="K772" i="21"/>
  <c r="G772" i="21"/>
  <c r="C772" i="21" s="1"/>
  <c r="K771" i="21"/>
  <c r="G771" i="21"/>
  <c r="C771" i="21" s="1"/>
  <c r="K770" i="21"/>
  <c r="G770" i="21"/>
  <c r="C770" i="21" s="1"/>
  <c r="K769" i="21"/>
  <c r="G769" i="21"/>
  <c r="C769" i="21" s="1"/>
  <c r="K768" i="21"/>
  <c r="G768" i="21"/>
  <c r="C768" i="21" s="1"/>
  <c r="K763" i="21"/>
  <c r="G763" i="21"/>
  <c r="C763" i="21" s="1"/>
  <c r="K762" i="21"/>
  <c r="G762" i="21"/>
  <c r="C762" i="21" s="1"/>
  <c r="K760" i="21"/>
  <c r="G760" i="21"/>
  <c r="C760" i="21" s="1"/>
  <c r="K759" i="21"/>
  <c r="G759" i="21"/>
  <c r="C759" i="21" s="1"/>
  <c r="K756" i="21"/>
  <c r="K754" i="21"/>
  <c r="K753" i="21"/>
  <c r="K750" i="21"/>
  <c r="G750" i="21"/>
  <c r="K749" i="21"/>
  <c r="G749" i="21"/>
  <c r="C749" i="21" s="1"/>
  <c r="K748" i="21"/>
  <c r="G748" i="21"/>
  <c r="C748" i="21" s="1"/>
  <c r="K747" i="21"/>
  <c r="G747" i="21"/>
  <c r="K745" i="21"/>
  <c r="G745" i="21"/>
  <c r="C744" i="21" s="1"/>
  <c r="K741" i="21"/>
  <c r="G741" i="21"/>
  <c r="K739" i="21"/>
  <c r="G739" i="21"/>
  <c r="C739" i="21" s="1"/>
  <c r="K738" i="21"/>
  <c r="G738" i="21"/>
  <c r="C738" i="21" s="1"/>
  <c r="K734" i="21"/>
  <c r="G733" i="21"/>
  <c r="G731" i="21"/>
  <c r="C731" i="21" s="1"/>
  <c r="G730" i="21"/>
  <c r="C730" i="21" s="1"/>
  <c r="K729" i="21"/>
  <c r="K728" i="21"/>
  <c r="G728" i="21"/>
  <c r="C728" i="21" s="1"/>
  <c r="K724" i="21"/>
  <c r="K722" i="21"/>
  <c r="G722" i="21"/>
  <c r="K721" i="21"/>
  <c r="G721" i="21"/>
  <c r="K719" i="21"/>
  <c r="K714" i="21"/>
  <c r="K710" i="21"/>
  <c r="K708" i="21"/>
  <c r="G708" i="21"/>
  <c r="C708" i="21" s="1"/>
  <c r="K707" i="21"/>
  <c r="G707" i="21"/>
  <c r="C707" i="21" s="1"/>
  <c r="K704" i="21"/>
  <c r="K702" i="21"/>
  <c r="G702" i="21"/>
  <c r="C702" i="21" s="1"/>
  <c r="K701" i="21"/>
  <c r="G701" i="21"/>
  <c r="C701" i="21" s="1"/>
  <c r="K700" i="21"/>
  <c r="G700" i="21"/>
  <c r="C700" i="21" s="1"/>
  <c r="K698" i="21"/>
  <c r="G698" i="21"/>
  <c r="C698" i="21" s="1"/>
  <c r="K697" i="21"/>
  <c r="G697" i="21"/>
  <c r="C697" i="21" s="1"/>
  <c r="G696" i="21"/>
  <c r="C696" i="21" s="1"/>
  <c r="K695" i="21"/>
  <c r="G695" i="21"/>
  <c r="C695" i="21" s="1"/>
  <c r="K694" i="21"/>
  <c r="G694" i="21"/>
  <c r="K691" i="21"/>
  <c r="G690" i="21"/>
  <c r="G689" i="21"/>
  <c r="C689" i="21" s="1"/>
  <c r="G688" i="21"/>
  <c r="C688" i="21" s="1"/>
  <c r="G687" i="21"/>
  <c r="C687" i="21" s="1"/>
  <c r="K686" i="21"/>
  <c r="G686" i="21"/>
  <c r="C686" i="21" s="1"/>
  <c r="G684" i="21"/>
  <c r="G683" i="21"/>
  <c r="C683" i="21" s="1"/>
  <c r="G682" i="21"/>
  <c r="C682" i="21" s="1"/>
  <c r="K681" i="21"/>
  <c r="G681" i="21"/>
  <c r="C681" i="21" s="1"/>
  <c r="G679" i="21"/>
  <c r="C679" i="21" s="1"/>
  <c r="G678" i="21"/>
  <c r="C678" i="21" s="1"/>
  <c r="G677" i="21"/>
  <c r="C677" i="21" s="1"/>
  <c r="K676" i="21"/>
  <c r="G676" i="21"/>
  <c r="G674" i="21"/>
  <c r="C674" i="21" s="1"/>
  <c r="G673" i="21"/>
  <c r="C673" i="21" s="1"/>
  <c r="G672" i="21"/>
  <c r="K671" i="21"/>
  <c r="G671" i="21"/>
  <c r="C671" i="21" s="1"/>
  <c r="G669" i="21"/>
  <c r="C669" i="21" s="1"/>
  <c r="G668" i="21"/>
  <c r="C668" i="21" s="1"/>
  <c r="G667" i="21"/>
  <c r="C667" i="21" s="1"/>
  <c r="K666" i="21"/>
  <c r="G666" i="21"/>
  <c r="C666" i="21" s="1"/>
  <c r="K663" i="21"/>
  <c r="G663" i="21"/>
  <c r="K662" i="21"/>
  <c r="G662" i="21"/>
  <c r="C662" i="21" s="1"/>
  <c r="K661" i="21"/>
  <c r="G661" i="21"/>
  <c r="C661" i="21" s="1"/>
  <c r="K659" i="21"/>
  <c r="G659" i="21"/>
  <c r="K657" i="21"/>
  <c r="G657" i="21"/>
  <c r="K655" i="21"/>
  <c r="G655" i="21"/>
  <c r="C655" i="21" s="1"/>
  <c r="K653" i="21"/>
  <c r="G653" i="21"/>
  <c r="K651" i="21"/>
  <c r="G651" i="21"/>
  <c r="K649" i="21"/>
  <c r="G649" i="21"/>
  <c r="K647" i="21"/>
  <c r="G647" i="21"/>
  <c r="K645" i="21"/>
  <c r="G645" i="21"/>
  <c r="K641" i="21"/>
  <c r="K639" i="21"/>
  <c r="G639" i="21"/>
  <c r="K637" i="21"/>
  <c r="G637" i="21"/>
  <c r="K635" i="21"/>
  <c r="K633" i="21"/>
  <c r="K631" i="21"/>
  <c r="G631" i="21"/>
  <c r="C631" i="21" s="1"/>
  <c r="K629" i="21"/>
  <c r="K624" i="21"/>
  <c r="G624" i="21"/>
  <c r="C624" i="21" s="1"/>
  <c r="K623" i="21"/>
  <c r="G623" i="21"/>
  <c r="C623" i="21" s="1"/>
  <c r="K622" i="21"/>
  <c r="G622" i="21"/>
  <c r="C622" i="21" s="1"/>
  <c r="K620" i="21"/>
  <c r="K614" i="21"/>
  <c r="K611" i="21"/>
  <c r="G611" i="21"/>
  <c r="C611" i="21" s="1"/>
  <c r="K607" i="21"/>
  <c r="K600" i="21"/>
  <c r="K598" i="21"/>
  <c r="G598" i="21"/>
  <c r="C598" i="21" s="1"/>
  <c r="K597" i="21"/>
  <c r="G597" i="21"/>
  <c r="C597" i="21" s="1"/>
  <c r="K595" i="21"/>
  <c r="G595" i="21"/>
  <c r="C595" i="21" s="1"/>
  <c r="K594" i="21"/>
  <c r="G594" i="21"/>
  <c r="C594" i="21" s="1"/>
  <c r="K593" i="21"/>
  <c r="G593" i="21"/>
  <c r="C593" i="21" s="1"/>
  <c r="K592" i="21"/>
  <c r="G592" i="21"/>
  <c r="C592" i="21" s="1"/>
  <c r="K591" i="21"/>
  <c r="G591" i="21"/>
  <c r="C591" i="21" s="1"/>
  <c r="K589" i="21"/>
  <c r="G589" i="21"/>
  <c r="C589" i="21" s="1"/>
  <c r="K588" i="21"/>
  <c r="G588" i="21"/>
  <c r="C588" i="21" s="1"/>
  <c r="K585" i="21"/>
  <c r="K583" i="21"/>
  <c r="C583" i="21"/>
  <c r="K580" i="21"/>
  <c r="K578" i="21"/>
  <c r="G578" i="21"/>
  <c r="K574" i="21"/>
  <c r="K572" i="21"/>
  <c r="G572" i="21"/>
  <c r="C572" i="21" s="1"/>
  <c r="K569" i="21"/>
  <c r="K563" i="21"/>
  <c r="K560" i="21"/>
  <c r="K555" i="21"/>
  <c r="K551" i="21"/>
  <c r="K550" i="21"/>
  <c r="G550" i="21"/>
  <c r="C550" i="21" s="1"/>
  <c r="K548" i="21"/>
  <c r="G548" i="21"/>
  <c r="C548" i="21" s="1"/>
  <c r="K547" i="21"/>
  <c r="G547" i="21"/>
  <c r="C547" i="21" s="1"/>
  <c r="K542" i="21"/>
  <c r="K535" i="21"/>
  <c r="G535" i="21"/>
  <c r="C535" i="21" s="1"/>
  <c r="K530" i="21"/>
  <c r="K529" i="21"/>
  <c r="G529" i="21"/>
  <c r="G528" i="21"/>
  <c r="C528" i="21" s="1"/>
  <c r="K527" i="21"/>
  <c r="G527" i="21"/>
  <c r="C527" i="21" s="1"/>
  <c r="G524" i="21"/>
  <c r="G523" i="21"/>
  <c r="G522" i="21"/>
  <c r="G521" i="21"/>
  <c r="G520" i="21"/>
  <c r="G519" i="21"/>
  <c r="G518" i="21"/>
  <c r="G517" i="21"/>
  <c r="K516" i="21"/>
  <c r="K514" i="21"/>
  <c r="K512" i="21"/>
  <c r="G512" i="21"/>
  <c r="C512" i="21" s="1"/>
  <c r="G510" i="21"/>
  <c r="C510" i="21" s="1"/>
  <c r="G509" i="21"/>
  <c r="C509" i="21" s="1"/>
  <c r="G508" i="21"/>
  <c r="C508" i="21" s="1"/>
  <c r="K507" i="21"/>
  <c r="K504" i="21"/>
  <c r="G504" i="21"/>
  <c r="C504" i="21" s="1"/>
  <c r="K503" i="21"/>
  <c r="G501" i="21"/>
  <c r="C501" i="21" s="1"/>
  <c r="K500" i="21"/>
  <c r="G499" i="21"/>
  <c r="G496" i="21"/>
  <c r="K495" i="21"/>
  <c r="K492" i="21"/>
  <c r="G491" i="21"/>
  <c r="H490" i="21" s="1"/>
  <c r="K489" i="21"/>
  <c r="G489" i="21"/>
  <c r="C489" i="21" s="1"/>
  <c r="K488" i="21"/>
  <c r="G488" i="21"/>
  <c r="C488" i="21" s="1"/>
  <c r="K487" i="21"/>
  <c r="G487" i="21"/>
  <c r="C487" i="21" s="1"/>
  <c r="K485" i="21"/>
  <c r="G485" i="21"/>
  <c r="C485" i="21" s="1"/>
  <c r="K484" i="21"/>
  <c r="G484" i="21"/>
  <c r="C484" i="21" s="1"/>
  <c r="K483" i="21"/>
  <c r="G483" i="21"/>
  <c r="C483" i="21" s="1"/>
  <c r="K481" i="21"/>
  <c r="K476" i="21"/>
  <c r="G476" i="21"/>
  <c r="C476" i="21" s="1"/>
  <c r="G475" i="21"/>
  <c r="G474" i="21"/>
  <c r="G473" i="21"/>
  <c r="G472" i="21"/>
  <c r="G471" i="21"/>
  <c r="K470" i="21"/>
  <c r="G470" i="21"/>
  <c r="K468" i="21"/>
  <c r="G468" i="21"/>
  <c r="K467" i="21"/>
  <c r="G467" i="21"/>
  <c r="K465" i="21"/>
  <c r="G465" i="21"/>
  <c r="C465" i="21" s="1"/>
  <c r="K464" i="21"/>
  <c r="G464" i="21"/>
  <c r="K463" i="21"/>
  <c r="G463" i="21"/>
  <c r="K462" i="21"/>
  <c r="G462" i="21"/>
  <c r="G460" i="21"/>
  <c r="G457" i="21"/>
  <c r="K456" i="21"/>
  <c r="K455" i="21"/>
  <c r="G455" i="21"/>
  <c r="K453" i="21"/>
  <c r="G449" i="21"/>
  <c r="G448" i="21"/>
  <c r="G447" i="21"/>
  <c r="K446" i="21"/>
  <c r="K444" i="21"/>
  <c r="G444" i="21"/>
  <c r="C444" i="21" s="1"/>
  <c r="K443" i="21"/>
  <c r="G443" i="21"/>
  <c r="C443" i="21" s="1"/>
  <c r="K442" i="21"/>
  <c r="G442" i="21"/>
  <c r="C442" i="21" s="1"/>
  <c r="G439" i="21"/>
  <c r="G438" i="21"/>
  <c r="K437" i="21"/>
  <c r="G433" i="21"/>
  <c r="K431" i="21"/>
  <c r="K429" i="21"/>
  <c r="G429" i="21"/>
  <c r="C429" i="21" s="1"/>
  <c r="K428" i="21"/>
  <c r="G428" i="21"/>
  <c r="C428" i="21" s="1"/>
  <c r="K427" i="21"/>
  <c r="G427" i="21"/>
  <c r="C427" i="21" s="1"/>
  <c r="K425" i="21"/>
  <c r="G425" i="21"/>
  <c r="C425" i="21" s="1"/>
  <c r="K424" i="21"/>
  <c r="G424" i="21"/>
  <c r="C424" i="21" s="1"/>
  <c r="K423" i="21"/>
  <c r="G423" i="21"/>
  <c r="C423" i="21" s="1"/>
  <c r="G422" i="21"/>
  <c r="G421" i="21"/>
  <c r="K418" i="21"/>
  <c r="G418" i="21"/>
  <c r="K414" i="21"/>
  <c r="G414" i="21"/>
  <c r="C415" i="21" s="1"/>
  <c r="K409" i="21"/>
  <c r="G409" i="21"/>
  <c r="G406" i="21"/>
  <c r="K404" i="21"/>
  <c r="G404" i="21"/>
  <c r="G400" i="21"/>
  <c r="G399" i="21"/>
  <c r="K398" i="21"/>
  <c r="K397" i="21"/>
  <c r="G397" i="21"/>
  <c r="C397" i="21" s="1"/>
  <c r="K387" i="21"/>
  <c r="K381" i="21"/>
  <c r="K379" i="21"/>
  <c r="G379" i="21"/>
  <c r="C379" i="21" s="1"/>
  <c r="K377" i="21"/>
  <c r="K374" i="21"/>
  <c r="G371" i="21"/>
  <c r="K369" i="21"/>
  <c r="G369" i="21"/>
  <c r="K362" i="21"/>
  <c r="K360" i="21"/>
  <c r="K357" i="21"/>
  <c r="K356" i="21"/>
  <c r="K355" i="21"/>
  <c r="K354" i="21"/>
  <c r="K353" i="21"/>
  <c r="G352" i="21"/>
  <c r="K350" i="21"/>
  <c r="K347" i="21"/>
  <c r="K345" i="21"/>
  <c r="K344" i="21"/>
  <c r="K343" i="21"/>
  <c r="K341" i="21"/>
  <c r="K340" i="21"/>
  <c r="K336" i="21"/>
  <c r="K335" i="21"/>
  <c r="K332" i="21"/>
  <c r="K331" i="21"/>
  <c r="G331" i="21"/>
  <c r="C391" i="21" s="1"/>
  <c r="K330" i="21"/>
  <c r="K325" i="21"/>
  <c r="G324" i="21"/>
  <c r="K323" i="21"/>
  <c r="G323" i="21"/>
  <c r="C323" i="21" s="1"/>
  <c r="K322" i="21"/>
  <c r="G322" i="21"/>
  <c r="C322" i="21" s="1"/>
  <c r="K321" i="21"/>
  <c r="G321" i="21"/>
  <c r="C321" i="21" s="1"/>
  <c r="K319" i="21"/>
  <c r="G319" i="21"/>
  <c r="C319" i="21" s="1"/>
  <c r="K318" i="21"/>
  <c r="G318" i="21"/>
  <c r="C318" i="21" s="1"/>
  <c r="K317" i="21"/>
  <c r="G317" i="21"/>
  <c r="C317" i="21" s="1"/>
  <c r="K316" i="21"/>
  <c r="G316" i="21"/>
  <c r="C316" i="21" s="1"/>
  <c r="K315" i="21"/>
  <c r="G315" i="21"/>
  <c r="C315" i="21" s="1"/>
  <c r="K314" i="21"/>
  <c r="G314" i="21"/>
  <c r="C314" i="21" s="1"/>
  <c r="K313" i="21"/>
  <c r="G313" i="21"/>
  <c r="C313" i="21" s="1"/>
  <c r="K307" i="21"/>
  <c r="G305" i="21"/>
  <c r="G304" i="21"/>
  <c r="C305" i="21" s="1"/>
  <c r="G303" i="21"/>
  <c r="C303" i="21" s="1"/>
  <c r="G302" i="21"/>
  <c r="C302" i="21" s="1"/>
  <c r="K301" i="21"/>
  <c r="G300" i="21"/>
  <c r="C300" i="21" s="1"/>
  <c r="G299" i="21"/>
  <c r="C299" i="21" s="1"/>
  <c r="K297" i="21"/>
  <c r="K294" i="21"/>
  <c r="G294" i="21"/>
  <c r="C295" i="21" s="1"/>
  <c r="K292" i="21"/>
  <c r="K289" i="21"/>
  <c r="K285" i="21"/>
  <c r="K283" i="21"/>
  <c r="G283" i="21"/>
  <c r="C283" i="21" s="1"/>
  <c r="K282" i="21"/>
  <c r="G282" i="21"/>
  <c r="C282" i="21" s="1"/>
  <c r="K281" i="21"/>
  <c r="G281" i="21"/>
  <c r="C281" i="21" s="1"/>
  <c r="K277" i="21"/>
  <c r="G274" i="21"/>
  <c r="C275" i="21" s="1"/>
  <c r="K272" i="21"/>
  <c r="G272" i="21"/>
  <c r="C273" i="21" s="1"/>
  <c r="G270" i="21"/>
  <c r="G269" i="21"/>
  <c r="G268" i="21"/>
  <c r="K267" i="21"/>
  <c r="K262" i="21"/>
  <c r="K260" i="21"/>
  <c r="G260" i="21"/>
  <c r="C260" i="21" s="1"/>
  <c r="K259" i="21"/>
  <c r="G259" i="21"/>
  <c r="C259" i="21" s="1"/>
  <c r="K255" i="21"/>
  <c r="K251" i="21"/>
  <c r="K248" i="21"/>
  <c r="G248" i="21"/>
  <c r="C248" i="21" s="1"/>
  <c r="K246" i="21"/>
  <c r="G246" i="21"/>
  <c r="K244" i="21"/>
  <c r="G244" i="21"/>
  <c r="K242" i="21"/>
  <c r="G242" i="21"/>
  <c r="C242" i="21" s="1"/>
  <c r="K241" i="21"/>
  <c r="G241" i="21"/>
  <c r="C241" i="21" s="1"/>
  <c r="K240" i="21"/>
  <c r="G240" i="21"/>
  <c r="K239" i="21"/>
  <c r="G239" i="21"/>
  <c r="C239" i="21" s="1"/>
  <c r="G238" i="21"/>
  <c r="C238" i="21" s="1"/>
  <c r="G237" i="21"/>
  <c r="C237" i="21" s="1"/>
  <c r="K236" i="21"/>
  <c r="G236" i="21"/>
  <c r="C236" i="21" s="1"/>
  <c r="K233" i="21"/>
  <c r="G233" i="21"/>
  <c r="K232" i="21"/>
  <c r="G232" i="21"/>
  <c r="C232" i="21" s="1"/>
  <c r="K231" i="21"/>
  <c r="C231" i="21"/>
  <c r="K228" i="21"/>
  <c r="G228" i="21"/>
  <c r="K227" i="21"/>
  <c r="G227" i="21"/>
  <c r="C227" i="21" s="1"/>
  <c r="K226" i="21"/>
  <c r="G226" i="21"/>
  <c r="K223" i="21"/>
  <c r="K220" i="21"/>
  <c r="G220" i="21"/>
  <c r="C221" i="21" s="1"/>
  <c r="K218" i="21"/>
  <c r="G218" i="21"/>
  <c r="C219" i="21" s="1"/>
  <c r="K216" i="21"/>
  <c r="K214" i="21"/>
  <c r="G214" i="21"/>
  <c r="C214" i="21" s="1"/>
  <c r="K212" i="21"/>
  <c r="G212" i="21"/>
  <c r="K210" i="21"/>
  <c r="G210" i="21"/>
  <c r="C211" i="21" s="1"/>
  <c r="K209" i="21"/>
  <c r="G209" i="21"/>
  <c r="K206" i="21"/>
  <c r="G206" i="21"/>
  <c r="K205" i="21"/>
  <c r="G205" i="21"/>
  <c r="C205" i="21" s="1"/>
  <c r="K203" i="21"/>
  <c r="G203" i="21"/>
  <c r="C204" i="21" s="1"/>
  <c r="K201" i="21"/>
  <c r="G201" i="21"/>
  <c r="K199" i="21"/>
  <c r="G199" i="21"/>
  <c r="C200" i="21" s="1"/>
  <c r="K195" i="21"/>
  <c r="K193" i="21"/>
  <c r="G193" i="21"/>
  <c r="C193" i="21" s="1"/>
  <c r="K192" i="21"/>
  <c r="K191" i="21"/>
  <c r="G191" i="21"/>
  <c r="C191" i="21" s="1"/>
  <c r="K189" i="21"/>
  <c r="K187" i="21"/>
  <c r="G187" i="21"/>
  <c r="C187" i="21" s="1"/>
  <c r="K184" i="21"/>
  <c r="G184" i="21"/>
  <c r="C184" i="21" s="1"/>
  <c r="K183" i="21"/>
  <c r="G183" i="21"/>
  <c r="K180" i="21"/>
  <c r="K179" i="21"/>
  <c r="G179" i="21"/>
  <c r="C179" i="21" s="1"/>
  <c r="K178" i="21"/>
  <c r="K174" i="21"/>
  <c r="G174" i="21"/>
  <c r="C175" i="21" s="1"/>
  <c r="K172" i="21"/>
  <c r="G172" i="21"/>
  <c r="C172" i="21" s="1"/>
  <c r="G171" i="21"/>
  <c r="G170" i="21"/>
  <c r="C170" i="21" s="1"/>
  <c r="K169" i="21"/>
  <c r="G169" i="21"/>
  <c r="C169" i="21" s="1"/>
  <c r="K165" i="21"/>
  <c r="K163" i="21"/>
  <c r="G163" i="21"/>
  <c r="C163" i="21" s="1"/>
  <c r="K162" i="21"/>
  <c r="G162" i="21"/>
  <c r="C162" i="21" s="1"/>
  <c r="K161" i="21"/>
  <c r="G161" i="21"/>
  <c r="C161" i="21" s="1"/>
  <c r="K160" i="21"/>
  <c r="G160" i="21"/>
  <c r="C160" i="21" s="1"/>
  <c r="K159" i="21"/>
  <c r="G159" i="21"/>
  <c r="C159" i="21" s="1"/>
  <c r="K157" i="21"/>
  <c r="G157" i="21"/>
  <c r="C157" i="21" s="1"/>
  <c r="K156" i="21"/>
  <c r="G156" i="21"/>
  <c r="C156" i="21" s="1"/>
  <c r="K155" i="21"/>
  <c r="G155" i="21"/>
  <c r="C155" i="21" s="1"/>
  <c r="K154" i="21"/>
  <c r="G154" i="21"/>
  <c r="C154" i="21" s="1"/>
  <c r="K153" i="21"/>
  <c r="G153" i="21"/>
  <c r="C153" i="21" s="1"/>
  <c r="K152" i="21"/>
  <c r="G152" i="21"/>
  <c r="C152" i="21" s="1"/>
  <c r="K149" i="21"/>
  <c r="G149" i="21"/>
  <c r="C150" i="21" s="1"/>
  <c r="K147" i="21"/>
  <c r="G147" i="21"/>
  <c r="C148" i="21" s="1"/>
  <c r="K145" i="21"/>
  <c r="G145" i="21"/>
  <c r="C146" i="21" s="1"/>
  <c r="K139" i="21"/>
  <c r="K134" i="21"/>
  <c r="G134" i="21"/>
  <c r="C134" i="21" s="1"/>
  <c r="K133" i="21"/>
  <c r="G133" i="21"/>
  <c r="C133" i="21" s="1"/>
  <c r="K130" i="21"/>
  <c r="K127" i="21"/>
  <c r="G127" i="21"/>
  <c r="C127" i="21" s="1"/>
  <c r="K125" i="21"/>
  <c r="G125" i="21"/>
  <c r="C126" i="21" s="1"/>
  <c r="K121" i="21"/>
  <c r="K119" i="21"/>
  <c r="G119" i="21"/>
  <c r="C119" i="21" s="1"/>
  <c r="K118" i="21"/>
  <c r="G118" i="21"/>
  <c r="K115" i="21"/>
  <c r="G115" i="21"/>
  <c r="C115" i="21" s="1"/>
  <c r="K114" i="21"/>
  <c r="G114" i="21"/>
  <c r="C114" i="21" s="1"/>
  <c r="K113" i="21"/>
  <c r="G113" i="21"/>
  <c r="C113" i="21" s="1"/>
  <c r="K111" i="21"/>
  <c r="G111" i="21"/>
  <c r="C112" i="21" s="1"/>
  <c r="K109" i="21"/>
  <c r="G109" i="21"/>
  <c r="C110" i="21" s="1"/>
  <c r="K107" i="21"/>
  <c r="G107" i="21"/>
  <c r="C108" i="21" s="1"/>
  <c r="K105" i="21"/>
  <c r="G105" i="21"/>
  <c r="K103" i="21"/>
  <c r="G103" i="21"/>
  <c r="C104" i="21" s="1"/>
  <c r="K102" i="21"/>
  <c r="G102" i="21"/>
  <c r="C102" i="21" s="1"/>
  <c r="K100" i="21"/>
  <c r="G100" i="21"/>
  <c r="C100" i="21" s="1"/>
  <c r="K98" i="21"/>
  <c r="G98" i="21"/>
  <c r="K96" i="21"/>
  <c r="G96" i="21"/>
  <c r="C97" i="21" s="1"/>
  <c r="K93" i="21"/>
  <c r="G93" i="21"/>
  <c r="C94" i="21" s="1"/>
  <c r="K91" i="21"/>
  <c r="G91" i="21"/>
  <c r="C91" i="21" s="1"/>
  <c r="K90" i="21"/>
  <c r="G90" i="21"/>
  <c r="C90" i="21" s="1"/>
  <c r="K87" i="21"/>
  <c r="G87" i="21"/>
  <c r="K85" i="21"/>
  <c r="G85" i="21"/>
  <c r="C86" i="21" s="1"/>
  <c r="K83" i="21"/>
  <c r="G83" i="21"/>
  <c r="C84" i="21" s="1"/>
  <c r="K81" i="21"/>
  <c r="G81" i="21"/>
  <c r="C82" i="21" s="1"/>
  <c r="K79" i="21"/>
  <c r="G79" i="21"/>
  <c r="C79" i="21" s="1"/>
  <c r="K78" i="21"/>
  <c r="G78" i="21"/>
  <c r="C78" i="21" s="1"/>
  <c r="K77" i="21"/>
  <c r="G77" i="21"/>
  <c r="C77" i="21" s="1"/>
  <c r="K75" i="21"/>
  <c r="G75" i="21"/>
  <c r="K73" i="21"/>
  <c r="G73" i="21"/>
  <c r="C74" i="21" s="1"/>
  <c r="K68" i="21"/>
  <c r="K65" i="21"/>
  <c r="G65" i="21"/>
  <c r="C66" i="21" s="1"/>
  <c r="K63" i="21"/>
  <c r="G63" i="21"/>
  <c r="C64" i="21" s="1"/>
  <c r="F62" i="21"/>
  <c r="C62" i="21" s="1"/>
  <c r="K61" i="21"/>
  <c r="G61" i="21"/>
  <c r="C61" i="21" s="1"/>
  <c r="K60" i="21"/>
  <c r="G60" i="21"/>
  <c r="C60" i="21" s="1"/>
  <c r="K59" i="21"/>
  <c r="G59" i="21"/>
  <c r="C59" i="21" s="1"/>
  <c r="K56" i="21"/>
  <c r="K54" i="21"/>
  <c r="G54" i="21"/>
  <c r="K53" i="21"/>
  <c r="G53" i="21"/>
  <c r="C53" i="21" s="1"/>
  <c r="K51" i="21"/>
  <c r="G51" i="21"/>
  <c r="C51" i="21" s="1"/>
  <c r="K50" i="21"/>
  <c r="G50" i="21"/>
  <c r="C50" i="21" s="1"/>
  <c r="K49" i="21"/>
  <c r="G49" i="21"/>
  <c r="C49" i="21" s="1"/>
  <c r="K47" i="21"/>
  <c r="G47" i="21"/>
  <c r="C47" i="21" s="1"/>
  <c r="K46" i="21"/>
  <c r="G46" i="21"/>
  <c r="C46" i="21" s="1"/>
  <c r="K43" i="21"/>
  <c r="K41" i="21"/>
  <c r="G41" i="21"/>
  <c r="C41" i="21" s="1"/>
  <c r="K40" i="21"/>
  <c r="G40" i="21"/>
  <c r="C40" i="21" s="1"/>
  <c r="K38" i="21"/>
  <c r="G38" i="21"/>
  <c r="C38" i="21" s="1"/>
  <c r="K37" i="21"/>
  <c r="G37" i="21"/>
  <c r="C37" i="21" s="1"/>
  <c r="K36" i="21"/>
  <c r="G36" i="21"/>
  <c r="C36" i="21" s="1"/>
  <c r="K35" i="21"/>
  <c r="G35" i="21"/>
  <c r="C35" i="21" s="1"/>
  <c r="K34" i="21"/>
  <c r="G34" i="21"/>
  <c r="C34" i="21" s="1"/>
  <c r="K33" i="21"/>
  <c r="G33" i="21"/>
  <c r="C33" i="21" s="1"/>
  <c r="K31" i="21"/>
  <c r="G31" i="21"/>
  <c r="C31" i="21" s="1"/>
  <c r="K27" i="21"/>
  <c r="G27" i="21"/>
  <c r="K25" i="21"/>
  <c r="G25" i="21"/>
  <c r="C25" i="21" s="1"/>
  <c r="K24" i="21"/>
  <c r="G24" i="21"/>
  <c r="C24" i="21" s="1"/>
  <c r="K23" i="21"/>
  <c r="G23" i="21"/>
  <c r="C23" i="21" s="1"/>
  <c r="K22" i="21"/>
  <c r="G22" i="21"/>
  <c r="C22" i="21" s="1"/>
  <c r="K20" i="21"/>
  <c r="G20" i="21"/>
  <c r="C20" i="21" s="1"/>
  <c r="K19" i="21"/>
  <c r="G19" i="21"/>
  <c r="C19" i="21" s="1"/>
  <c r="K18" i="21"/>
  <c r="G18" i="21"/>
  <c r="C18" i="21" s="1"/>
  <c r="G17" i="21"/>
  <c r="C17" i="21" s="1"/>
  <c r="G15" i="21"/>
  <c r="C15" i="21" s="1"/>
  <c r="J130" i="21"/>
  <c r="Y130" i="21" s="1"/>
  <c r="L5" i="23"/>
  <c r="E380" i="15"/>
  <c r="E394" i="15"/>
  <c r="E708" i="15"/>
  <c r="E707" i="15"/>
  <c r="E706" i="15"/>
  <c r="O111" i="8"/>
  <c r="AE111" i="8"/>
  <c r="O140" i="13" s="1"/>
  <c r="D130" i="8"/>
  <c r="A45" i="13"/>
  <c r="A37" i="13"/>
  <c r="A52" i="12"/>
  <c r="A20" i="12"/>
  <c r="B243" i="11"/>
  <c r="B234" i="11"/>
  <c r="A123" i="8"/>
  <c r="A134" i="11"/>
  <c r="A133" i="11"/>
  <c r="A130" i="11"/>
  <c r="A132" i="11" s="1"/>
  <c r="A21" i="11"/>
  <c r="B21" i="11"/>
  <c r="B117" i="8" s="1"/>
  <c r="F13" i="11"/>
  <c r="O9" i="11"/>
  <c r="E752" i="15"/>
  <c r="E743" i="15"/>
  <c r="E742" i="15"/>
  <c r="E741" i="15"/>
  <c r="E659" i="15"/>
  <c r="B125" i="8"/>
  <c r="D58" i="15"/>
  <c r="E734" i="15"/>
  <c r="E733" i="15"/>
  <c r="E732" i="15"/>
  <c r="B168" i="11"/>
  <c r="B169" i="11"/>
  <c r="B170" i="11"/>
  <c r="B171" i="11"/>
  <c r="B167" i="11"/>
  <c r="B131" i="11"/>
  <c r="B132" i="11"/>
  <c r="B229" i="8" s="1"/>
  <c r="B133" i="11"/>
  <c r="B134" i="11"/>
  <c r="B135" i="11"/>
  <c r="B136" i="11"/>
  <c r="B137" i="11"/>
  <c r="B138" i="11"/>
  <c r="B139" i="11"/>
  <c r="B141" i="11"/>
  <c r="B142" i="11"/>
  <c r="B143" i="11"/>
  <c r="B144" i="11"/>
  <c r="B145" i="11"/>
  <c r="B146" i="11"/>
  <c r="B147" i="11"/>
  <c r="B148" i="11"/>
  <c r="B149" i="11"/>
  <c r="B130" i="11"/>
  <c r="F119" i="21"/>
  <c r="B63" i="10"/>
  <c r="A50" i="10"/>
  <c r="A55" i="10"/>
  <c r="A183" i="21" s="1"/>
  <c r="N12" i="12"/>
  <c r="P316" i="11"/>
  <c r="G530" i="21" s="1"/>
  <c r="B129" i="8"/>
  <c r="B128" i="8"/>
  <c r="B55" i="10"/>
  <c r="B183" i="21" s="1"/>
  <c r="B166" i="11"/>
  <c r="B62" i="10"/>
  <c r="B57" i="10"/>
  <c r="B58" i="10"/>
  <c r="B59" i="10"/>
  <c r="B60" i="10"/>
  <c r="B189" i="21" s="1"/>
  <c r="G188" i="21" s="1"/>
  <c r="B61" i="10"/>
  <c r="B52" i="10"/>
  <c r="B53" i="10"/>
  <c r="B54" i="10"/>
  <c r="B50" i="10"/>
  <c r="B178" i="21" s="1"/>
  <c r="G178" i="21" s="1"/>
  <c r="E528" i="15"/>
  <c r="E409" i="15"/>
  <c r="E473" i="15"/>
  <c r="F457" i="15"/>
  <c r="E445" i="15"/>
  <c r="E439" i="15"/>
  <c r="O193" i="11"/>
  <c r="E366" i="15"/>
  <c r="E342" i="15"/>
  <c r="E443" i="15"/>
  <c r="E416" i="15"/>
  <c r="E425" i="15"/>
  <c r="F474" i="15"/>
  <c r="E474" i="15"/>
  <c r="E472" i="15"/>
  <c r="F471" i="15"/>
  <c r="E470" i="15"/>
  <c r="F470" i="15"/>
  <c r="E469" i="15"/>
  <c r="E468" i="15"/>
  <c r="F468" i="15"/>
  <c r="E460" i="15"/>
  <c r="E465" i="15"/>
  <c r="E464" i="15"/>
  <c r="E463" i="15"/>
  <c r="E462" i="15"/>
  <c r="E461" i="15"/>
  <c r="E459" i="15"/>
  <c r="E458" i="15"/>
  <c r="F455" i="15"/>
  <c r="E453" i="15"/>
  <c r="F453" i="15"/>
  <c r="F448" i="15"/>
  <c r="E451" i="15"/>
  <c r="E450" i="15"/>
  <c r="E449" i="15"/>
  <c r="F445" i="15"/>
  <c r="F446" i="15"/>
  <c r="E446" i="15"/>
  <c r="E444" i="15"/>
  <c r="F444" i="15"/>
  <c r="F442" i="15"/>
  <c r="F439" i="15"/>
  <c r="F437" i="15"/>
  <c r="E437" i="15"/>
  <c r="F436" i="15"/>
  <c r="E436" i="15"/>
  <c r="F435" i="15"/>
  <c r="E435" i="15"/>
  <c r="E433" i="15"/>
  <c r="F433" i="15"/>
  <c r="E432" i="15"/>
  <c r="E431" i="15"/>
  <c r="F432" i="15"/>
  <c r="F431" i="15"/>
  <c r="F429" i="15"/>
  <c r="F425" i="15"/>
  <c r="E424" i="15"/>
  <c r="E423" i="15"/>
  <c r="E422" i="15"/>
  <c r="E421" i="15"/>
  <c r="E420" i="15"/>
  <c r="E419" i="15"/>
  <c r="F419" i="15"/>
  <c r="F417" i="15"/>
  <c r="E417" i="15"/>
  <c r="F416" i="15"/>
  <c r="F414" i="15"/>
  <c r="E414" i="15"/>
  <c r="F413" i="15"/>
  <c r="F412" i="15"/>
  <c r="F411" i="15"/>
  <c r="E413" i="15"/>
  <c r="E412" i="15"/>
  <c r="E411" i="15"/>
  <c r="F237" i="11"/>
  <c r="E408" i="15"/>
  <c r="F407" i="15"/>
  <c r="F235" i="11"/>
  <c r="F404" i="15"/>
  <c r="F406" i="15"/>
  <c r="E406" i="15"/>
  <c r="F397" i="15"/>
  <c r="E399" i="15"/>
  <c r="E395" i="15"/>
  <c r="F395" i="15"/>
  <c r="F394" i="15"/>
  <c r="F393" i="15"/>
  <c r="E393" i="15"/>
  <c r="E392" i="15"/>
  <c r="E391" i="15"/>
  <c r="F390" i="15"/>
  <c r="F386" i="15"/>
  <c r="E384" i="15"/>
  <c r="E383" i="15"/>
  <c r="F384" i="15"/>
  <c r="F383" i="15"/>
  <c r="F382" i="15"/>
  <c r="E382" i="15"/>
  <c r="F380" i="15"/>
  <c r="F379" i="15"/>
  <c r="E379" i="15"/>
  <c r="F378" i="15"/>
  <c r="E378" i="15"/>
  <c r="E377" i="15"/>
  <c r="E376" i="15"/>
  <c r="E373" i="15"/>
  <c r="F373" i="15"/>
  <c r="F371" i="15"/>
  <c r="E371" i="15"/>
  <c r="F361" i="15"/>
  <c r="F366" i="15"/>
  <c r="E361" i="15"/>
  <c r="E359" i="15"/>
  <c r="E358" i="15"/>
  <c r="F357" i="15"/>
  <c r="F356" i="15"/>
  <c r="E356" i="15"/>
  <c r="F352" i="15"/>
  <c r="F350" i="15"/>
  <c r="E345" i="15"/>
  <c r="F344" i="15"/>
  <c r="F342" i="15"/>
  <c r="F340" i="15"/>
  <c r="F337" i="15"/>
  <c r="F332" i="15"/>
  <c r="F87" i="11"/>
  <c r="F325" i="15"/>
  <c r="F323" i="15"/>
  <c r="F320" i="15"/>
  <c r="F319" i="15"/>
  <c r="F318" i="15"/>
  <c r="F317" i="15"/>
  <c r="F316" i="15"/>
  <c r="F314" i="15"/>
  <c r="E315" i="15"/>
  <c r="F312" i="15"/>
  <c r="F310" i="15"/>
  <c r="F309" i="15"/>
  <c r="F302" i="15"/>
  <c r="F299" i="15"/>
  <c r="E299" i="15"/>
  <c r="E317" i="15" s="1"/>
  <c r="F264" i="15"/>
  <c r="E268" i="15"/>
  <c r="E267" i="15"/>
  <c r="E266" i="15"/>
  <c r="E265" i="15"/>
  <c r="F261" i="15"/>
  <c r="E263" i="15"/>
  <c r="E262" i="15"/>
  <c r="AF46" i="8"/>
  <c r="AF45" i="8"/>
  <c r="AF44" i="8"/>
  <c r="AF43" i="8"/>
  <c r="F293" i="15"/>
  <c r="F292" i="15"/>
  <c r="F291" i="15"/>
  <c r="F290" i="15"/>
  <c r="E293" i="15"/>
  <c r="E292" i="15"/>
  <c r="E291" i="15"/>
  <c r="E290" i="15"/>
  <c r="F288" i="15"/>
  <c r="F287" i="15"/>
  <c r="F286" i="15"/>
  <c r="F285" i="15"/>
  <c r="F284" i="15"/>
  <c r="F283" i="15"/>
  <c r="F282" i="15"/>
  <c r="E288" i="15"/>
  <c r="E287" i="15"/>
  <c r="E286" i="15"/>
  <c r="E285" i="15"/>
  <c r="E284" i="15"/>
  <c r="E283" i="15"/>
  <c r="E282" i="15"/>
  <c r="F271" i="15"/>
  <c r="F259" i="15"/>
  <c r="E259" i="15"/>
  <c r="F258" i="15"/>
  <c r="F252" i="15"/>
  <c r="F247" i="15"/>
  <c r="E244" i="15"/>
  <c r="E243" i="15"/>
  <c r="E242" i="15"/>
  <c r="F244" i="15"/>
  <c r="F243" i="15"/>
  <c r="F242" i="15"/>
  <c r="F238" i="15"/>
  <c r="E236" i="15"/>
  <c r="E235" i="15"/>
  <c r="F235" i="15"/>
  <c r="E233" i="15"/>
  <c r="E232" i="15"/>
  <c r="E231" i="15"/>
  <c r="F230" i="15"/>
  <c r="F225" i="15"/>
  <c r="F223" i="15"/>
  <c r="E223" i="15"/>
  <c r="F222" i="15"/>
  <c r="E222" i="15"/>
  <c r="F218" i="15"/>
  <c r="F214" i="15"/>
  <c r="F211" i="15"/>
  <c r="E211" i="15"/>
  <c r="E209" i="15"/>
  <c r="F209" i="15"/>
  <c r="E207" i="15"/>
  <c r="F207" i="15"/>
  <c r="F205" i="15"/>
  <c r="F204" i="15"/>
  <c r="E205" i="15"/>
  <c r="E204" i="15"/>
  <c r="F203" i="15"/>
  <c r="E203" i="15"/>
  <c r="F202" i="15"/>
  <c r="E202" i="15"/>
  <c r="E199" i="15"/>
  <c r="E200" i="15"/>
  <c r="E201" i="15"/>
  <c r="F199" i="15"/>
  <c r="E194" i="15"/>
  <c r="E195" i="15"/>
  <c r="E196" i="15"/>
  <c r="F196" i="15"/>
  <c r="F195" i="15"/>
  <c r="F194" i="15"/>
  <c r="E192" i="15"/>
  <c r="F192" i="15"/>
  <c r="F191" i="15"/>
  <c r="E191" i="15"/>
  <c r="E190" i="15"/>
  <c r="F190" i="15"/>
  <c r="F185" i="15"/>
  <c r="F184" i="15"/>
  <c r="E185" i="15"/>
  <c r="E184" i="15"/>
  <c r="F158" i="15"/>
  <c r="E643" i="15"/>
  <c r="E619" i="15"/>
  <c r="E612" i="15"/>
  <c r="F701" i="15"/>
  <c r="F700" i="15"/>
  <c r="E701" i="15"/>
  <c r="E700" i="15"/>
  <c r="E698" i="15"/>
  <c r="E697" i="15"/>
  <c r="F698" i="15"/>
  <c r="F697" i="15"/>
  <c r="F695" i="15"/>
  <c r="F694" i="15"/>
  <c r="F692" i="15"/>
  <c r="F691" i="15"/>
  <c r="F688" i="15"/>
  <c r="E688" i="15"/>
  <c r="F687" i="15"/>
  <c r="E687" i="15"/>
  <c r="F686" i="15"/>
  <c r="F685" i="15"/>
  <c r="E686" i="15"/>
  <c r="E685" i="15"/>
  <c r="E683" i="15"/>
  <c r="F683" i="15"/>
  <c r="F679" i="15"/>
  <c r="E679" i="15"/>
  <c r="E677" i="15"/>
  <c r="E676" i="15"/>
  <c r="F677" i="15"/>
  <c r="F676" i="15"/>
  <c r="E671" i="15"/>
  <c r="F672" i="15"/>
  <c r="E669" i="15"/>
  <c r="E668" i="15"/>
  <c r="F667" i="15"/>
  <c r="F666" i="15"/>
  <c r="E666" i="15"/>
  <c r="F662" i="15"/>
  <c r="E665" i="15"/>
  <c r="E664" i="15"/>
  <c r="E663" i="15"/>
  <c r="E662" i="15"/>
  <c r="F660" i="15"/>
  <c r="F659" i="15"/>
  <c r="F657" i="15"/>
  <c r="E660" i="15"/>
  <c r="F652" i="15"/>
  <c r="F648" i="15"/>
  <c r="E649" i="15"/>
  <c r="E648" i="15"/>
  <c r="E646" i="15"/>
  <c r="E645" i="15"/>
  <c r="F645" i="15"/>
  <c r="F185" i="11"/>
  <c r="F182" i="11"/>
  <c r="E136" i="13"/>
  <c r="AE56" i="8"/>
  <c r="E644" i="15"/>
  <c r="F642" i="15"/>
  <c r="F640" i="15"/>
  <c r="F639" i="15"/>
  <c r="F638" i="15"/>
  <c r="E640" i="15"/>
  <c r="E639" i="15"/>
  <c r="E638" i="15"/>
  <c r="F636" i="15"/>
  <c r="E636" i="15"/>
  <c r="F635" i="15"/>
  <c r="E635" i="15"/>
  <c r="E634" i="15"/>
  <c r="E633" i="15"/>
  <c r="F633" i="15"/>
  <c r="F632" i="15"/>
  <c r="E632" i="15"/>
  <c r="F629" i="15"/>
  <c r="E628" i="15"/>
  <c r="F624" i="15"/>
  <c r="F619" i="15"/>
  <c r="F614" i="15"/>
  <c r="F604" i="15"/>
  <c r="F609" i="15"/>
  <c r="E627" i="15"/>
  <c r="E626" i="15"/>
  <c r="E625" i="15"/>
  <c r="E624" i="15"/>
  <c r="E622" i="15"/>
  <c r="E621" i="15"/>
  <c r="E620" i="15"/>
  <c r="E617" i="15"/>
  <c r="E616" i="15"/>
  <c r="E615" i="15"/>
  <c r="E614" i="15"/>
  <c r="E611" i="15"/>
  <c r="E610" i="15"/>
  <c r="E609" i="15"/>
  <c r="E607" i="15"/>
  <c r="E606" i="15"/>
  <c r="E605" i="15"/>
  <c r="E604" i="15"/>
  <c r="E601" i="15"/>
  <c r="F601" i="15"/>
  <c r="E600" i="15"/>
  <c r="E597" i="15"/>
  <c r="E595" i="15"/>
  <c r="E599" i="15"/>
  <c r="F595" i="15"/>
  <c r="F597" i="15"/>
  <c r="F599" i="15"/>
  <c r="F600" i="15"/>
  <c r="F593" i="15"/>
  <c r="E593" i="15"/>
  <c r="F591" i="15"/>
  <c r="F589" i="15"/>
  <c r="F587" i="15"/>
  <c r="F585" i="15"/>
  <c r="E591" i="15"/>
  <c r="E589" i="15"/>
  <c r="E587" i="15"/>
  <c r="E585" i="15"/>
  <c r="E583" i="15"/>
  <c r="F583" i="15"/>
  <c r="E580" i="15"/>
  <c r="E579" i="15"/>
  <c r="F579" i="15"/>
  <c r="E577" i="15"/>
  <c r="F577" i="15"/>
  <c r="E576" i="15"/>
  <c r="F576" i="15"/>
  <c r="E575" i="15"/>
  <c r="E574" i="15"/>
  <c r="E573" i="15"/>
  <c r="E572" i="15"/>
  <c r="F574" i="15"/>
  <c r="F572" i="15"/>
  <c r="F570" i="15"/>
  <c r="E570" i="15"/>
  <c r="F568" i="15"/>
  <c r="E548" i="15"/>
  <c r="E73" i="15"/>
  <c r="F760" i="15"/>
  <c r="F759" i="15"/>
  <c r="F758" i="15"/>
  <c r="F757" i="15"/>
  <c r="F756" i="15"/>
  <c r="F755" i="15"/>
  <c r="F754" i="15"/>
  <c r="F753" i="15"/>
  <c r="F752" i="15"/>
  <c r="E760" i="15"/>
  <c r="E759" i="15"/>
  <c r="E758" i="15"/>
  <c r="E757" i="15"/>
  <c r="E756" i="15"/>
  <c r="E755" i="15"/>
  <c r="E754" i="15"/>
  <c r="E753" i="15"/>
  <c r="F750" i="15"/>
  <c r="F749" i="15"/>
  <c r="F748" i="15"/>
  <c r="F747" i="15"/>
  <c r="F746" i="15"/>
  <c r="F745" i="15"/>
  <c r="F744" i="15"/>
  <c r="F743" i="15"/>
  <c r="F742" i="15"/>
  <c r="F741" i="15"/>
  <c r="E750" i="15"/>
  <c r="E749" i="15"/>
  <c r="E748" i="15"/>
  <c r="E747" i="15"/>
  <c r="E746" i="15"/>
  <c r="E745" i="15"/>
  <c r="E744" i="15"/>
  <c r="F739" i="15"/>
  <c r="F738" i="15"/>
  <c r="F737" i="15"/>
  <c r="F736" i="15"/>
  <c r="F735" i="15"/>
  <c r="F734" i="15"/>
  <c r="F733" i="15"/>
  <c r="F732" i="15"/>
  <c r="E739" i="15"/>
  <c r="E738" i="15"/>
  <c r="E737" i="15"/>
  <c r="E736" i="15"/>
  <c r="E735" i="15"/>
  <c r="F728" i="15"/>
  <c r="E728" i="15"/>
  <c r="F726" i="15"/>
  <c r="F725" i="15"/>
  <c r="F724" i="15"/>
  <c r="F723" i="15"/>
  <c r="F722" i="15"/>
  <c r="F721" i="15"/>
  <c r="F720" i="15"/>
  <c r="F719" i="15"/>
  <c r="F718" i="15"/>
  <c r="F717" i="15"/>
  <c r="F716" i="15"/>
  <c r="F715" i="15"/>
  <c r="F714" i="15"/>
  <c r="F713" i="15"/>
  <c r="F712" i="15"/>
  <c r="F711" i="15"/>
  <c r="F710" i="15"/>
  <c r="F709" i="15"/>
  <c r="F708" i="15"/>
  <c r="F706" i="15"/>
  <c r="F707" i="15"/>
  <c r="E726" i="15"/>
  <c r="E725" i="15"/>
  <c r="E724" i="15"/>
  <c r="E723" i="15"/>
  <c r="E722" i="15"/>
  <c r="E721" i="15"/>
  <c r="E720" i="15"/>
  <c r="E719" i="15"/>
  <c r="E718" i="15"/>
  <c r="E717" i="15"/>
  <c r="E716" i="15"/>
  <c r="E715" i="15"/>
  <c r="E714" i="15"/>
  <c r="E713" i="15"/>
  <c r="E712" i="15"/>
  <c r="E711" i="15"/>
  <c r="E710" i="15"/>
  <c r="E709" i="15"/>
  <c r="F481" i="15"/>
  <c r="F563" i="15"/>
  <c r="E563" i="15"/>
  <c r="F562" i="15"/>
  <c r="E562" i="15"/>
  <c r="E561" i="15"/>
  <c r="F561" i="15"/>
  <c r="F559" i="15"/>
  <c r="E560" i="15"/>
  <c r="E559" i="15"/>
  <c r="E557" i="15"/>
  <c r="E556" i="15"/>
  <c r="E555" i="15"/>
  <c r="E554" i="15"/>
  <c r="F553" i="15"/>
  <c r="E553" i="15"/>
  <c r="F550" i="15"/>
  <c r="E550" i="15"/>
  <c r="E549" i="15"/>
  <c r="E547" i="15"/>
  <c r="E546" i="15"/>
  <c r="F546" i="15"/>
  <c r="E544" i="15"/>
  <c r="E543" i="15"/>
  <c r="E542" i="15"/>
  <c r="E541" i="15"/>
  <c r="E539" i="15"/>
  <c r="F539" i="15"/>
  <c r="F537" i="15"/>
  <c r="F536" i="15"/>
  <c r="E537" i="15"/>
  <c r="E536" i="15"/>
  <c r="F534" i="15"/>
  <c r="E534" i="15"/>
  <c r="F533" i="15"/>
  <c r="E533" i="15"/>
  <c r="F532" i="15"/>
  <c r="F531" i="15"/>
  <c r="E532" i="15"/>
  <c r="E531" i="15"/>
  <c r="F530" i="15"/>
  <c r="E530" i="15"/>
  <c r="E524" i="15"/>
  <c r="E527" i="15"/>
  <c r="E526" i="15"/>
  <c r="E525" i="15"/>
  <c r="F524" i="15"/>
  <c r="F527" i="15"/>
  <c r="F528" i="15"/>
  <c r="F522" i="15"/>
  <c r="E521" i="15"/>
  <c r="E520" i="15"/>
  <c r="E519" i="15"/>
  <c r="F519" i="15"/>
  <c r="F517" i="15"/>
  <c r="E517" i="15"/>
  <c r="E515" i="15"/>
  <c r="E514" i="15"/>
  <c r="E513" i="15"/>
  <c r="F513" i="15"/>
  <c r="E510" i="15"/>
  <c r="E509" i="15"/>
  <c r="E508" i="15"/>
  <c r="E511" i="15"/>
  <c r="F511" i="15"/>
  <c r="F508" i="15"/>
  <c r="E503" i="15"/>
  <c r="E504" i="15"/>
  <c r="E502" i="15"/>
  <c r="F502" i="15"/>
  <c r="E500" i="15"/>
  <c r="E499" i="15"/>
  <c r="F499" i="15"/>
  <c r="E497" i="15"/>
  <c r="E496" i="15"/>
  <c r="E495" i="15"/>
  <c r="E494" i="15"/>
  <c r="F494" i="15"/>
  <c r="E491" i="15"/>
  <c r="F490" i="15"/>
  <c r="E490" i="15"/>
  <c r="F489" i="15"/>
  <c r="E489" i="15"/>
  <c r="E487" i="15"/>
  <c r="E486" i="15"/>
  <c r="F487" i="15"/>
  <c r="E19" i="12"/>
  <c r="F486" i="15"/>
  <c r="D98" i="15"/>
  <c r="E60" i="15"/>
  <c r="F14" i="15"/>
  <c r="G127" i="13"/>
  <c r="N79" i="11"/>
  <c r="M79" i="11"/>
  <c r="L79" i="11"/>
  <c r="K79" i="11"/>
  <c r="J79" i="11"/>
  <c r="I79" i="11"/>
  <c r="H79" i="11"/>
  <c r="G79" i="11"/>
  <c r="F79" i="11"/>
  <c r="E63" i="1"/>
  <c r="L64" i="1"/>
  <c r="F68" i="21" s="1"/>
  <c r="L67" i="1"/>
  <c r="F72" i="21" s="1"/>
  <c r="L66" i="1"/>
  <c r="F71" i="21" s="1"/>
  <c r="L65" i="1"/>
  <c r="D63" i="15" s="1"/>
  <c r="N72" i="1"/>
  <c r="D68" i="15" s="1"/>
  <c r="N70" i="1"/>
  <c r="D67" i="15" s="1"/>
  <c r="N68" i="1"/>
  <c r="D66" i="15" s="1"/>
  <c r="N60" i="1"/>
  <c r="D60" i="15" s="1"/>
  <c r="N58" i="1"/>
  <c r="D59" i="15" s="1"/>
  <c r="O317" i="11"/>
  <c r="C33" i="8"/>
  <c r="O63" i="1" s="1"/>
  <c r="AK111" i="8"/>
  <c r="O161" i="13" s="1"/>
  <c r="I163" i="13"/>
  <c r="E163" i="13"/>
  <c r="S77" i="8"/>
  <c r="P279" i="11"/>
  <c r="U67" i="8"/>
  <c r="P235" i="11" s="1"/>
  <c r="F78" i="11"/>
  <c r="D127" i="8"/>
  <c r="D117" i="8"/>
  <c r="F14" i="10"/>
  <c r="X111" i="8"/>
  <c r="O116" i="13" s="1"/>
  <c r="O48" i="13"/>
  <c r="E602" i="15" s="1"/>
  <c r="M190" i="11"/>
  <c r="D8" i="15"/>
  <c r="R56" i="8"/>
  <c r="P53" i="10" s="1"/>
  <c r="F317" i="11"/>
  <c r="F187" i="15"/>
  <c r="F182" i="15"/>
  <c r="F180" i="15"/>
  <c r="E180" i="15"/>
  <c r="F179" i="15"/>
  <c r="E179" i="15"/>
  <c r="F178" i="15"/>
  <c r="E178" i="15"/>
  <c r="F177" i="15"/>
  <c r="E177" i="15"/>
  <c r="F175" i="15"/>
  <c r="E175" i="15"/>
  <c r="F174" i="15"/>
  <c r="E174" i="15"/>
  <c r="E171" i="15"/>
  <c r="E173" i="15"/>
  <c r="E170" i="15"/>
  <c r="F173" i="15"/>
  <c r="F171" i="15"/>
  <c r="F170" i="15"/>
  <c r="F165" i="15"/>
  <c r="F163" i="15"/>
  <c r="E163" i="15"/>
  <c r="F162" i="15"/>
  <c r="F161" i="15"/>
  <c r="E161" i="15"/>
  <c r="F159" i="15"/>
  <c r="E158" i="15"/>
  <c r="F155" i="15"/>
  <c r="E155" i="15"/>
  <c r="F154" i="15"/>
  <c r="E154" i="15"/>
  <c r="F152" i="15"/>
  <c r="F151" i="15"/>
  <c r="E151" i="15"/>
  <c r="F150" i="15"/>
  <c r="F147" i="15"/>
  <c r="E147" i="15"/>
  <c r="F146" i="15"/>
  <c r="E146" i="15"/>
  <c r="E145" i="15"/>
  <c r="E144" i="15"/>
  <c r="E143" i="15"/>
  <c r="F143" i="15"/>
  <c r="F139" i="15"/>
  <c r="F39" i="15"/>
  <c r="F52" i="15"/>
  <c r="F62" i="15"/>
  <c r="F100" i="15"/>
  <c r="F107" i="15"/>
  <c r="F73" i="16"/>
  <c r="F70" i="16"/>
  <c r="F52" i="16"/>
  <c r="F49" i="16"/>
  <c r="F32" i="16"/>
  <c r="F29" i="16"/>
  <c r="F12" i="16"/>
  <c r="F9" i="16"/>
  <c r="D76" i="8"/>
  <c r="P114" i="11" s="1"/>
  <c r="A79" i="8"/>
  <c r="P76" i="11" s="1"/>
  <c r="G370" i="21" s="1"/>
  <c r="F137" i="15"/>
  <c r="F136" i="15"/>
  <c r="F135" i="15"/>
  <c r="F134" i="15"/>
  <c r="F133" i="15"/>
  <c r="E137" i="15"/>
  <c r="E136" i="15"/>
  <c r="E135" i="15"/>
  <c r="E134" i="15"/>
  <c r="E133" i="15"/>
  <c r="F131" i="15"/>
  <c r="E131" i="15"/>
  <c r="F130" i="15"/>
  <c r="F129" i="15"/>
  <c r="F128" i="15"/>
  <c r="F127" i="15"/>
  <c r="E130" i="15"/>
  <c r="E129" i="15"/>
  <c r="E128" i="15"/>
  <c r="E127" i="15"/>
  <c r="F126" i="15"/>
  <c r="E126" i="15"/>
  <c r="F124" i="15"/>
  <c r="F123" i="15"/>
  <c r="F122" i="15"/>
  <c r="E124" i="15"/>
  <c r="E123" i="15"/>
  <c r="E122" i="15"/>
  <c r="F116" i="15"/>
  <c r="A160" i="8"/>
  <c r="B92" i="16" s="1"/>
  <c r="A203" i="8"/>
  <c r="A202" i="8"/>
  <c r="A201" i="8"/>
  <c r="A200" i="8"/>
  <c r="A199" i="8"/>
  <c r="A198" i="8"/>
  <c r="A197" i="8"/>
  <c r="A196" i="8"/>
  <c r="A195" i="8"/>
  <c r="A194" i="8"/>
  <c r="A193" i="8"/>
  <c r="A192" i="8"/>
  <c r="A191" i="8"/>
  <c r="A189" i="8"/>
  <c r="A186" i="8"/>
  <c r="A185" i="8"/>
  <c r="A184" i="8"/>
  <c r="A181" i="8"/>
  <c r="A180" i="8"/>
  <c r="A179" i="8"/>
  <c r="A178" i="8"/>
  <c r="A177" i="8"/>
  <c r="A176" i="8"/>
  <c r="A174" i="8"/>
  <c r="A170" i="8"/>
  <c r="A167" i="8"/>
  <c r="C175" i="8"/>
  <c r="C174" i="8"/>
  <c r="C171" i="8"/>
  <c r="C170" i="8"/>
  <c r="C169" i="8"/>
  <c r="C168" i="8"/>
  <c r="C167" i="8"/>
  <c r="C166" i="8"/>
  <c r="C165" i="8"/>
  <c r="F240" i="11"/>
  <c r="F228" i="11"/>
  <c r="F220" i="11"/>
  <c r="F211" i="11"/>
  <c r="F194" i="11"/>
  <c r="F208" i="11"/>
  <c r="F203" i="11"/>
  <c r="K203" i="11"/>
  <c r="K198" i="11"/>
  <c r="F198" i="11"/>
  <c r="F191" i="11"/>
  <c r="F168" i="11"/>
  <c r="F160" i="11"/>
  <c r="F157" i="11"/>
  <c r="F150" i="11"/>
  <c r="F125" i="11"/>
  <c r="F153" i="11"/>
  <c r="F132" i="11"/>
  <c r="F112" i="11"/>
  <c r="F105" i="11"/>
  <c r="F217" i="11"/>
  <c r="B126" i="8"/>
  <c r="B124" i="8"/>
  <c r="B122" i="8"/>
  <c r="B118" i="8"/>
  <c r="B116" i="8"/>
  <c r="B115" i="8"/>
  <c r="U84" i="8"/>
  <c r="U83" i="8"/>
  <c r="U82" i="8"/>
  <c r="U81" i="8"/>
  <c r="U80" i="8"/>
  <c r="U79" i="8"/>
  <c r="U78" i="8"/>
  <c r="U77" i="8"/>
  <c r="P231" i="11"/>
  <c r="A188" i="8" s="1"/>
  <c r="F165" i="11"/>
  <c r="G453" i="21"/>
  <c r="E404" i="15"/>
  <c r="E405" i="15"/>
  <c r="P302" i="11"/>
  <c r="E457" i="15" s="1"/>
  <c r="T67" i="8"/>
  <c r="P301" i="11" s="1"/>
  <c r="S67" i="8"/>
  <c r="P266" i="11" s="1"/>
  <c r="F255" i="11"/>
  <c r="M77" i="8"/>
  <c r="F231" i="11"/>
  <c r="T84" i="8"/>
  <c r="T83" i="8"/>
  <c r="T82" i="8"/>
  <c r="T81" i="8"/>
  <c r="T80" i="8"/>
  <c r="P219" i="11" s="1"/>
  <c r="A299" i="8" s="1"/>
  <c r="T79" i="8"/>
  <c r="T78" i="8"/>
  <c r="T77" i="8"/>
  <c r="L77" i="8"/>
  <c r="F223" i="11"/>
  <c r="O215" i="11"/>
  <c r="F213" i="11"/>
  <c r="S84" i="8"/>
  <c r="S83" i="8"/>
  <c r="S82" i="8"/>
  <c r="S81" i="8"/>
  <c r="S80" i="8"/>
  <c r="N80" i="8" s="1"/>
  <c r="S79" i="8"/>
  <c r="S78" i="8"/>
  <c r="R84" i="8"/>
  <c r="R83" i="8"/>
  <c r="R82" i="8"/>
  <c r="R81" i="8"/>
  <c r="R80" i="8"/>
  <c r="R79" i="8"/>
  <c r="R78" i="8"/>
  <c r="R77" i="8"/>
  <c r="O77" i="8"/>
  <c r="Q84" i="8"/>
  <c r="Q83" i="8"/>
  <c r="Q82" i="8"/>
  <c r="Q81" i="8"/>
  <c r="Q80" i="8"/>
  <c r="Q79" i="8"/>
  <c r="Q78" i="8"/>
  <c r="Q77" i="8"/>
  <c r="P77" i="8"/>
  <c r="P84" i="8"/>
  <c r="P83" i="8"/>
  <c r="P82" i="8"/>
  <c r="P81" i="8"/>
  <c r="P80" i="8"/>
  <c r="P79" i="8"/>
  <c r="P78" i="8"/>
  <c r="O84" i="8"/>
  <c r="O83" i="8"/>
  <c r="O82" i="8"/>
  <c r="O81" i="8"/>
  <c r="O80" i="8"/>
  <c r="O79" i="8"/>
  <c r="N79" i="8"/>
  <c r="O78" i="8"/>
  <c r="M84" i="8"/>
  <c r="M83" i="8"/>
  <c r="M82" i="8"/>
  <c r="M81" i="8"/>
  <c r="M80" i="8"/>
  <c r="P190" i="11" s="1"/>
  <c r="G432" i="21" s="1"/>
  <c r="M79" i="8"/>
  <c r="M78" i="8"/>
  <c r="E397" i="15"/>
  <c r="G446" i="21"/>
  <c r="F188" i="11"/>
  <c r="F186" i="11"/>
  <c r="F183" i="11"/>
  <c r="O179" i="11"/>
  <c r="F177" i="11"/>
  <c r="L84" i="8"/>
  <c r="L83" i="8"/>
  <c r="L82" i="8"/>
  <c r="L81" i="8"/>
  <c r="L80" i="8"/>
  <c r="L79" i="8"/>
  <c r="L78" i="8"/>
  <c r="F172" i="11"/>
  <c r="F163" i="11"/>
  <c r="K84" i="8"/>
  <c r="K83" i="8"/>
  <c r="K82" i="8"/>
  <c r="K81" i="8"/>
  <c r="K80" i="8"/>
  <c r="P159" i="11" s="1"/>
  <c r="A173" i="8" s="1"/>
  <c r="K79" i="8"/>
  <c r="K78" i="8"/>
  <c r="K77" i="8"/>
  <c r="J84" i="8"/>
  <c r="J83" i="8"/>
  <c r="J82" i="8"/>
  <c r="J81" i="8"/>
  <c r="J80" i="8"/>
  <c r="P152" i="11" s="1"/>
  <c r="J79" i="8"/>
  <c r="J78" i="8"/>
  <c r="J77" i="8"/>
  <c r="F84" i="8"/>
  <c r="F83" i="8"/>
  <c r="F82" i="8"/>
  <c r="F81" i="8"/>
  <c r="F80" i="8"/>
  <c r="F79" i="8"/>
  <c r="F78" i="8"/>
  <c r="F77" i="8"/>
  <c r="H77" i="8"/>
  <c r="H84" i="8"/>
  <c r="H83" i="8"/>
  <c r="H82" i="8"/>
  <c r="H81" i="8"/>
  <c r="H80" i="8"/>
  <c r="H79" i="8"/>
  <c r="H78" i="8"/>
  <c r="I84" i="8"/>
  <c r="I83" i="8"/>
  <c r="I82" i="8"/>
  <c r="I81" i="8"/>
  <c r="I80" i="8"/>
  <c r="I79" i="8"/>
  <c r="I78" i="8"/>
  <c r="I77" i="8"/>
  <c r="G84" i="8"/>
  <c r="G83" i="8"/>
  <c r="G82" i="8"/>
  <c r="G81" i="8"/>
  <c r="E81" i="8"/>
  <c r="G80" i="8"/>
  <c r="E80" i="8"/>
  <c r="G79" i="8"/>
  <c r="G78" i="8"/>
  <c r="G77" i="8"/>
  <c r="F147" i="11"/>
  <c r="F142" i="11"/>
  <c r="F137" i="11"/>
  <c r="F124" i="11"/>
  <c r="F120" i="11"/>
  <c r="F116" i="11"/>
  <c r="F111" i="11"/>
  <c r="F103" i="11"/>
  <c r="C83" i="8"/>
  <c r="C82" i="8"/>
  <c r="C81" i="8"/>
  <c r="C80" i="8"/>
  <c r="C79" i="8"/>
  <c r="P100" i="11" s="1"/>
  <c r="E129" i="8" s="1"/>
  <c r="D129" i="8" s="1"/>
  <c r="C78" i="8"/>
  <c r="C77" i="8"/>
  <c r="C76" i="8"/>
  <c r="F98" i="11"/>
  <c r="B78" i="8"/>
  <c r="B77" i="8"/>
  <c r="B76" i="8"/>
  <c r="A76" i="8"/>
  <c r="F96" i="11"/>
  <c r="R67" i="8"/>
  <c r="A165" i="8" s="1"/>
  <c r="G411" i="21"/>
  <c r="P92" i="11"/>
  <c r="A166" i="8" s="1"/>
  <c r="G377" i="21"/>
  <c r="G381" i="21"/>
  <c r="P167" i="11"/>
  <c r="A287" i="8" s="1"/>
  <c r="G413" i="21"/>
  <c r="G378" i="21"/>
  <c r="E400" i="15"/>
  <c r="E398" i="15"/>
  <c r="E388" i="15"/>
  <c r="E340" i="15"/>
  <c r="E341" i="15"/>
  <c r="A82" i="8"/>
  <c r="A83" i="8"/>
  <c r="A81" i="8"/>
  <c r="A80" i="8"/>
  <c r="A78" i="8"/>
  <c r="A77" i="8"/>
  <c r="G420" i="21"/>
  <c r="E370" i="15"/>
  <c r="G412" i="21"/>
  <c r="G410" i="21"/>
  <c r="E367" i="15"/>
  <c r="G405" i="21"/>
  <c r="G393" i="21"/>
  <c r="G391" i="21"/>
  <c r="E352" i="15"/>
  <c r="E374" i="15"/>
  <c r="E353" i="15"/>
  <c r="G392" i="21"/>
  <c r="E369" i="15"/>
  <c r="E368" i="15"/>
  <c r="E363" i="15"/>
  <c r="E362" i="15"/>
  <c r="E344" i="15"/>
  <c r="E346" i="15"/>
  <c r="E334" i="15"/>
  <c r="E354" i="15"/>
  <c r="E375" i="15"/>
  <c r="C73" i="11"/>
  <c r="C66" i="11"/>
  <c r="B121" i="8"/>
  <c r="P13" i="11"/>
  <c r="G332" i="21" s="1"/>
  <c r="P5" i="11"/>
  <c r="E333" i="15"/>
  <c r="G372" i="21"/>
  <c r="E332" i="15"/>
  <c r="B65" i="10"/>
  <c r="B43" i="10"/>
  <c r="B42" i="10"/>
  <c r="D131" i="8"/>
  <c r="D128" i="8"/>
  <c r="D126" i="8"/>
  <c r="D125" i="8"/>
  <c r="D122" i="8"/>
  <c r="D121" i="8"/>
  <c r="D120" i="8"/>
  <c r="D119" i="8"/>
  <c r="D118" i="8"/>
  <c r="D116" i="8"/>
  <c r="AG111" i="8"/>
  <c r="O147" i="13" s="1"/>
  <c r="AI111" i="8"/>
  <c r="O154" i="13" s="1"/>
  <c r="AJ111" i="8"/>
  <c r="O157" i="13"/>
  <c r="G757" i="21" s="1"/>
  <c r="C757" i="21" s="1"/>
  <c r="AD111" i="8"/>
  <c r="O126" i="13" s="1"/>
  <c r="AC111" i="8"/>
  <c r="AB111" i="8"/>
  <c r="Z111" i="8"/>
  <c r="O120" i="13" s="1"/>
  <c r="N110" i="13"/>
  <c r="W111" i="8"/>
  <c r="O105" i="13" s="1"/>
  <c r="V111" i="8"/>
  <c r="O100" i="13" s="1"/>
  <c r="O71" i="13"/>
  <c r="G692" i="21" s="1"/>
  <c r="C692" i="21" s="1"/>
  <c r="S111" i="8"/>
  <c r="R111" i="8"/>
  <c r="Q111" i="8"/>
  <c r="P111" i="8"/>
  <c r="L111" i="8"/>
  <c r="O41" i="13" s="1"/>
  <c r="E598" i="15" s="1"/>
  <c r="K111" i="8"/>
  <c r="O39" i="13" s="1"/>
  <c r="G111" i="8"/>
  <c r="O27" i="13"/>
  <c r="G648" i="21" s="1"/>
  <c r="H111" i="8"/>
  <c r="O29" i="13" s="1"/>
  <c r="I111" i="8"/>
  <c r="O31" i="13" s="1"/>
  <c r="E590" i="15" s="1"/>
  <c r="J111" i="8"/>
  <c r="O33" i="13" s="1"/>
  <c r="F111" i="8"/>
  <c r="O25" i="13" s="1"/>
  <c r="G646" i="21" s="1"/>
  <c r="E111" i="8"/>
  <c r="O21" i="13" s="1"/>
  <c r="C111" i="8"/>
  <c r="O17" i="13" s="1"/>
  <c r="B111" i="8"/>
  <c r="O15" i="13"/>
  <c r="A111" i="8"/>
  <c r="A122" i="8"/>
  <c r="E111" i="15"/>
  <c r="F111" i="15"/>
  <c r="F110" i="15"/>
  <c r="E110" i="15"/>
  <c r="F105" i="15"/>
  <c r="E105" i="15"/>
  <c r="F104" i="15"/>
  <c r="E104" i="15"/>
  <c r="F98" i="15"/>
  <c r="E98" i="15"/>
  <c r="F97" i="15"/>
  <c r="E97" i="15"/>
  <c r="F94" i="15"/>
  <c r="F88" i="15"/>
  <c r="F87" i="15"/>
  <c r="F86" i="15"/>
  <c r="E94" i="15"/>
  <c r="E93" i="15"/>
  <c r="E92" i="15"/>
  <c r="E91" i="15"/>
  <c r="E90" i="15"/>
  <c r="E89" i="15"/>
  <c r="E88" i="15"/>
  <c r="E87" i="15"/>
  <c r="E86" i="15"/>
  <c r="F93" i="15"/>
  <c r="F84" i="15"/>
  <c r="F83" i="15"/>
  <c r="F82" i="15"/>
  <c r="E84" i="15"/>
  <c r="E83" i="15"/>
  <c r="E82" i="15"/>
  <c r="F80" i="15"/>
  <c r="E80" i="15"/>
  <c r="F78" i="15"/>
  <c r="F77" i="15"/>
  <c r="E78" i="15"/>
  <c r="E77" i="15"/>
  <c r="F75" i="15"/>
  <c r="F74" i="15"/>
  <c r="F73" i="15"/>
  <c r="F72" i="15"/>
  <c r="E75" i="15"/>
  <c r="E74" i="15"/>
  <c r="E72" i="15"/>
  <c r="E70" i="15"/>
  <c r="F69" i="15"/>
  <c r="E69" i="15"/>
  <c r="F57" i="15"/>
  <c r="E57" i="15"/>
  <c r="F56" i="15"/>
  <c r="E56" i="15"/>
  <c r="F55" i="15"/>
  <c r="E55" i="15"/>
  <c r="F50" i="15"/>
  <c r="E50" i="15"/>
  <c r="F49" i="15"/>
  <c r="E49" i="15"/>
  <c r="E47" i="15"/>
  <c r="E46" i="15"/>
  <c r="E45" i="15"/>
  <c r="E43" i="15"/>
  <c r="E42" i="15"/>
  <c r="E37" i="15"/>
  <c r="F36" i="15"/>
  <c r="E36" i="15"/>
  <c r="F34" i="15"/>
  <c r="E34" i="15"/>
  <c r="F33" i="15"/>
  <c r="E33" i="15"/>
  <c r="E32" i="15"/>
  <c r="E31" i="15"/>
  <c r="E30" i="15"/>
  <c r="E29" i="15"/>
  <c r="E28" i="15"/>
  <c r="E25" i="15"/>
  <c r="F22" i="15"/>
  <c r="F23" i="15"/>
  <c r="E23" i="15"/>
  <c r="E22" i="15"/>
  <c r="E21" i="15"/>
  <c r="E20" i="15"/>
  <c r="F18" i="15"/>
  <c r="F17" i="15"/>
  <c r="F16" i="15"/>
  <c r="E18" i="15"/>
  <c r="E17" i="15"/>
  <c r="E16" i="15"/>
  <c r="E15" i="15"/>
  <c r="E14" i="15"/>
  <c r="G9" i="15"/>
  <c r="D7" i="15"/>
  <c r="G8" i="15"/>
  <c r="G7" i="15"/>
  <c r="G6" i="15"/>
  <c r="G5" i="15"/>
  <c r="G4" i="15"/>
  <c r="D6" i="15"/>
  <c r="D5" i="15"/>
  <c r="D4" i="15"/>
  <c r="A92" i="16"/>
  <c r="A125" i="8"/>
  <c r="A121" i="8"/>
  <c r="A120" i="8"/>
  <c r="A119" i="8"/>
  <c r="O48" i="14"/>
  <c r="G802" i="21" s="1"/>
  <c r="C802" i="21" s="1"/>
  <c r="E63" i="14"/>
  <c r="O61" i="14"/>
  <c r="E751" i="15" s="1"/>
  <c r="E50" i="14"/>
  <c r="O37" i="14"/>
  <c r="E731" i="15" s="1"/>
  <c r="O9" i="14"/>
  <c r="G767" i="21" s="1"/>
  <c r="C767" i="21" s="1"/>
  <c r="E11" i="14"/>
  <c r="L95" i="8"/>
  <c r="O76" i="12" s="1"/>
  <c r="K95" i="8"/>
  <c r="O73" i="12" s="1"/>
  <c r="N95" i="8"/>
  <c r="O86" i="12" s="1"/>
  <c r="M95" i="8"/>
  <c r="O82" i="12" s="1"/>
  <c r="J95" i="8"/>
  <c r="O48" i="12"/>
  <c r="G95" i="8"/>
  <c r="O40" i="12" s="1"/>
  <c r="F95" i="8"/>
  <c r="O36" i="12" s="1"/>
  <c r="E95" i="8"/>
  <c r="O32" i="12" s="1"/>
  <c r="C95" i="8"/>
  <c r="O28" i="12" s="1"/>
  <c r="D95" i="8"/>
  <c r="O30" i="12" s="1"/>
  <c r="B95" i="8"/>
  <c r="O25" i="12" s="1"/>
  <c r="A95" i="8"/>
  <c r="O16" i="12" s="1"/>
  <c r="G544" i="21" s="1"/>
  <c r="E481" i="15"/>
  <c r="E482" i="15"/>
  <c r="E109" i="1"/>
  <c r="E39" i="14"/>
  <c r="E485" i="15"/>
  <c r="E484" i="15"/>
  <c r="AD56" i="8"/>
  <c r="U56" i="8"/>
  <c r="P133" i="10" s="1"/>
  <c r="L65" i="10"/>
  <c r="L61" i="10"/>
  <c r="A56" i="8"/>
  <c r="P9" i="10" s="1"/>
  <c r="AI56" i="8"/>
  <c r="P198" i="10" s="1"/>
  <c r="AH56" i="8"/>
  <c r="P197" i="10" s="1"/>
  <c r="P149" i="10"/>
  <c r="E230" i="15" s="1"/>
  <c r="AB56" i="8"/>
  <c r="P170" i="10" s="1"/>
  <c r="AA56" i="8"/>
  <c r="P167" i="10"/>
  <c r="G285" i="21" s="1"/>
  <c r="C285" i="21" s="1"/>
  <c r="Z56" i="8"/>
  <c r="P159" i="10" s="1"/>
  <c r="X56" i="8"/>
  <c r="P146" i="10" s="1"/>
  <c r="W56" i="8"/>
  <c r="P140" i="10" s="1"/>
  <c r="V56" i="8"/>
  <c r="P138" i="10" s="1"/>
  <c r="T56" i="8"/>
  <c r="P125" i="10" s="1"/>
  <c r="Q56" i="8"/>
  <c r="P116" i="10" s="1"/>
  <c r="P56" i="8"/>
  <c r="P114" i="10" s="1"/>
  <c r="G267" i="21"/>
  <c r="M56" i="8"/>
  <c r="P97" i="10" s="1"/>
  <c r="G223" i="21" s="1"/>
  <c r="C223" i="21" s="1"/>
  <c r="F95" i="10"/>
  <c r="L56" i="8"/>
  <c r="P91" i="10"/>
  <c r="G216" i="21" s="1"/>
  <c r="C216" i="21" s="1"/>
  <c r="I56" i="8"/>
  <c r="P79" i="10" s="1"/>
  <c r="H56" i="8"/>
  <c r="P73" i="10" s="1"/>
  <c r="P41" i="10"/>
  <c r="G168" i="21" s="1"/>
  <c r="C56" i="8"/>
  <c r="P34" i="10" s="1"/>
  <c r="G166" i="21" s="1"/>
  <c r="C166" i="21" s="1"/>
  <c r="G217" i="21"/>
  <c r="C217" i="21" s="1"/>
  <c r="A43" i="8"/>
  <c r="A42" i="8"/>
  <c r="A41" i="8"/>
  <c r="A40" i="8"/>
  <c r="E22" i="8"/>
  <c r="O119" i="1" s="1"/>
  <c r="G132" i="21" s="1"/>
  <c r="D22" i="8"/>
  <c r="O111" i="1" s="1"/>
  <c r="A22" i="8"/>
  <c r="O39" i="1" s="1"/>
  <c r="B22" i="8"/>
  <c r="O53" i="1" s="1"/>
  <c r="E68" i="15"/>
  <c r="E66" i="15"/>
  <c r="E67" i="15"/>
  <c r="E59" i="15"/>
  <c r="E63" i="15"/>
  <c r="E62" i="15"/>
  <c r="E64" i="15"/>
  <c r="E65" i="15"/>
  <c r="B76" i="16"/>
  <c r="B55" i="16"/>
  <c r="B35" i="16"/>
  <c r="B15" i="16"/>
  <c r="F308" i="15"/>
  <c r="F306" i="15"/>
  <c r="F305" i="15"/>
  <c r="F301" i="15"/>
  <c r="F300" i="15"/>
  <c r="F298" i="15"/>
  <c r="F92" i="15"/>
  <c r="F91" i="15"/>
  <c r="F90" i="15"/>
  <c r="F89" i="15"/>
  <c r="F70" i="15"/>
  <c r="F68" i="15"/>
  <c r="F67" i="15"/>
  <c r="F66" i="15"/>
  <c r="F60" i="15"/>
  <c r="F59" i="15"/>
  <c r="F47" i="15"/>
  <c r="F46" i="15"/>
  <c r="F45" i="15"/>
  <c r="F43" i="15"/>
  <c r="F42" i="15"/>
  <c r="F37" i="15"/>
  <c r="F32" i="15"/>
  <c r="F31" i="15"/>
  <c r="F30" i="15"/>
  <c r="F29" i="15"/>
  <c r="F28" i="15"/>
  <c r="F25" i="15"/>
  <c r="F21" i="15"/>
  <c r="F20" i="15"/>
  <c r="F15" i="15"/>
  <c r="P293" i="11"/>
  <c r="G507" i="21" s="1"/>
  <c r="F262" i="11"/>
  <c r="C15" i="11"/>
  <c r="E448" i="15"/>
  <c r="A154" i="8"/>
  <c r="A155" i="8" s="1"/>
  <c r="A156" i="8" s="1"/>
  <c r="A22" i="9"/>
  <c r="F646" i="15"/>
  <c r="E695" i="15" l="1"/>
  <c r="AA111" i="8"/>
  <c r="O122" i="13" s="1"/>
  <c r="F454" i="21"/>
  <c r="D368" i="15"/>
  <c r="I453" i="21"/>
  <c r="P202" i="11"/>
  <c r="E390" i="15" s="1"/>
  <c r="AF56" i="8"/>
  <c r="P181" i="10" s="1"/>
  <c r="G516" i="21"/>
  <c r="C517" i="21" s="1"/>
  <c r="E183" i="15"/>
  <c r="G247" i="21"/>
  <c r="C247" i="21" s="1"/>
  <c r="E210" i="15"/>
  <c r="G142" i="21"/>
  <c r="G139" i="21"/>
  <c r="E694" i="15"/>
  <c r="G756" i="21"/>
  <c r="C756" i="21" s="1"/>
  <c r="E680" i="15"/>
  <c r="N3" i="13"/>
  <c r="C33" i="16" s="1"/>
  <c r="F77" i="21"/>
  <c r="E101" i="15"/>
  <c r="G121" i="21"/>
  <c r="C121" i="21" s="1"/>
  <c r="E102" i="15"/>
  <c r="G123" i="21"/>
  <c r="C123" i="21" s="1"/>
  <c r="E667" i="15"/>
  <c r="G729" i="21"/>
  <c r="C729" i="21" s="1"/>
  <c r="G57" i="21"/>
  <c r="C57" i="21" s="1"/>
  <c r="E54" i="15"/>
  <c r="E53" i="15"/>
  <c r="G56" i="21"/>
  <c r="C56" i="21" s="1"/>
  <c r="G45" i="21"/>
  <c r="C45" i="21" s="1"/>
  <c r="E41" i="15"/>
  <c r="P174" i="10"/>
  <c r="E108" i="15"/>
  <c r="E249" i="15"/>
  <c r="F63" i="21"/>
  <c r="F73" i="21"/>
  <c r="C14" i="22"/>
  <c r="J135" i="21"/>
  <c r="G131" i="21"/>
  <c r="G813" i="21"/>
  <c r="C813" i="21" s="1"/>
  <c r="E471" i="15"/>
  <c r="A116" i="8"/>
  <c r="A154" i="15"/>
  <c r="A115" i="8"/>
  <c r="E118" i="15"/>
  <c r="M653" i="21"/>
  <c r="C5" i="27"/>
  <c r="L6" i="23"/>
  <c r="L3" i="23" s="1"/>
  <c r="H9" i="23" s="1"/>
  <c r="E347" i="15"/>
  <c r="G384" i="21"/>
  <c r="E335" i="15"/>
  <c r="B63" i="16"/>
  <c r="E166" i="15"/>
  <c r="G196" i="21"/>
  <c r="C196" i="21" s="1"/>
  <c r="G195" i="21"/>
  <c r="C195" i="21" s="1"/>
  <c r="G197" i="21"/>
  <c r="C197" i="21" s="1"/>
  <c r="E165" i="15"/>
  <c r="E167" i="15"/>
  <c r="G263" i="21"/>
  <c r="E227" i="15"/>
  <c r="G265" i="21"/>
  <c r="G262" i="21"/>
  <c r="E226" i="15"/>
  <c r="E228" i="15"/>
  <c r="G264" i="21"/>
  <c r="E225" i="15"/>
  <c r="G278" i="21"/>
  <c r="C278" i="21" s="1"/>
  <c r="E240" i="15"/>
  <c r="G277" i="21"/>
  <c r="E238" i="15"/>
  <c r="G279" i="21"/>
  <c r="C279" i="21" s="1"/>
  <c r="E239" i="15"/>
  <c r="E642" i="15"/>
  <c r="G704" i="21"/>
  <c r="C703" i="21" s="1"/>
  <c r="G481" i="21"/>
  <c r="E429" i="15"/>
  <c r="C292" i="8"/>
  <c r="E430" i="15"/>
  <c r="C276" i="8"/>
  <c r="G482" i="21"/>
  <c r="C164" i="8"/>
  <c r="E253" i="15"/>
  <c r="E255" i="15"/>
  <c r="G289" i="21"/>
  <c r="C290" i="21" s="1"/>
  <c r="E256" i="15"/>
  <c r="E252" i="15"/>
  <c r="E254" i="15"/>
  <c r="C285" i="8"/>
  <c r="E442" i="15"/>
  <c r="C172" i="8"/>
  <c r="C300" i="8"/>
  <c r="C284" i="8"/>
  <c r="G495" i="21"/>
  <c r="C498" i="21" s="1"/>
  <c r="C301" i="8"/>
  <c r="C173" i="8"/>
  <c r="G252" i="21"/>
  <c r="E215" i="15"/>
  <c r="E216" i="15"/>
  <c r="G251" i="21"/>
  <c r="G253" i="21"/>
  <c r="E214" i="15"/>
  <c r="E273" i="15"/>
  <c r="E279" i="15"/>
  <c r="E277" i="15"/>
  <c r="E272" i="15"/>
  <c r="G307" i="21"/>
  <c r="C307" i="21" s="1"/>
  <c r="E280" i="15"/>
  <c r="E275" i="15"/>
  <c r="E274" i="15"/>
  <c r="E278" i="15"/>
  <c r="E276" i="15"/>
  <c r="E271" i="15"/>
  <c r="G515" i="21"/>
  <c r="E456" i="15"/>
  <c r="G514" i="21"/>
  <c r="E455" i="15"/>
  <c r="G245" i="21"/>
  <c r="C245" i="21" s="1"/>
  <c r="E208" i="15"/>
  <c r="G735" i="21"/>
  <c r="C735" i="21" s="1"/>
  <c r="E675" i="15"/>
  <c r="G297" i="21"/>
  <c r="C298" i="21" s="1"/>
  <c r="G296" i="21"/>
  <c r="C296" i="21" s="1"/>
  <c r="E260" i="15"/>
  <c r="G255" i="21"/>
  <c r="E220" i="15"/>
  <c r="G256" i="21"/>
  <c r="G257" i="21"/>
  <c r="E218" i="15"/>
  <c r="E219" i="15"/>
  <c r="E281" i="15"/>
  <c r="C320" i="21"/>
  <c r="E289" i="15"/>
  <c r="G311" i="21"/>
  <c r="C312" i="21" s="1"/>
  <c r="E588" i="15"/>
  <c r="G650" i="21"/>
  <c r="E691" i="15"/>
  <c r="G753" i="21"/>
  <c r="C753" i="21" s="1"/>
  <c r="E692" i="15"/>
  <c r="G754" i="21"/>
  <c r="C754" i="21" s="1"/>
  <c r="G180" i="21"/>
  <c r="C181" i="21" s="1"/>
  <c r="E152" i="15"/>
  <c r="E264" i="15"/>
  <c r="G301" i="21"/>
  <c r="C301" i="21" s="1"/>
  <c r="P175" i="10"/>
  <c r="E107" i="15"/>
  <c r="E39" i="15"/>
  <c r="E100" i="15"/>
  <c r="E121" i="1"/>
  <c r="G44" i="21"/>
  <c r="C44" i="21" s="1"/>
  <c r="G122" i="21"/>
  <c r="C122" i="21" s="1"/>
  <c r="G58" i="21"/>
  <c r="C58" i="21" s="1"/>
  <c r="E247" i="15"/>
  <c r="G793" i="21"/>
  <c r="C793" i="21" s="1"/>
  <c r="N3" i="1"/>
  <c r="C49" i="16" s="1"/>
  <c r="E261" i="15"/>
  <c r="B159" i="15"/>
  <c r="E159" i="15" s="1"/>
  <c r="E109" i="15"/>
  <c r="G130" i="21"/>
  <c r="G43" i="21"/>
  <c r="C43" i="21" s="1"/>
  <c r="E248" i="15"/>
  <c r="E40" i="15"/>
  <c r="E52" i="15"/>
  <c r="E182" i="15"/>
  <c r="AG56" i="8"/>
  <c r="AC56" i="8" s="1"/>
  <c r="P172" i="10" s="1"/>
  <c r="O3" i="10" s="1"/>
  <c r="B154" i="15"/>
  <c r="F405" i="21"/>
  <c r="F453" i="21"/>
  <c r="F429" i="21"/>
  <c r="D374" i="15"/>
  <c r="F418" i="21"/>
  <c r="F414" i="21"/>
  <c r="F406" i="21"/>
  <c r="F448" i="21"/>
  <c r="G419" i="21"/>
  <c r="C422" i="21" s="1"/>
  <c r="D345" i="15"/>
  <c r="M542" i="21"/>
  <c r="C269" i="21"/>
  <c r="C268" i="21"/>
  <c r="C270" i="21"/>
  <c r="P40" i="11"/>
  <c r="B123" i="8" s="1"/>
  <c r="E164" i="8"/>
  <c r="E165" i="8" s="1"/>
  <c r="B86" i="16" s="1"/>
  <c r="E276" i="8"/>
  <c r="E277" i="8" s="1"/>
  <c r="G742" i="21"/>
  <c r="G743" i="21"/>
  <c r="E672" i="15"/>
  <c r="G737" i="21"/>
  <c r="C737" i="21" s="1"/>
  <c r="G736" i="21"/>
  <c r="C736" i="21" s="1"/>
  <c r="E658" i="15"/>
  <c r="G720" i="21"/>
  <c r="E629" i="15"/>
  <c r="G691" i="21"/>
  <c r="C691" i="21" s="1"/>
  <c r="E586" i="15"/>
  <c r="G234" i="21"/>
  <c r="C230" i="21" s="1"/>
  <c r="E227" i="8"/>
  <c r="E197" i="15"/>
  <c r="E172" i="15"/>
  <c r="G202" i="21"/>
  <c r="E142" i="15"/>
  <c r="A117" i="8"/>
  <c r="B150" i="15"/>
  <c r="E150" i="15" s="1"/>
  <c r="B192" i="21"/>
  <c r="G192" i="21" s="1"/>
  <c r="A118" i="8"/>
  <c r="F391" i="21"/>
  <c r="D342" i="15"/>
  <c r="F385" i="21"/>
  <c r="P133" i="11"/>
  <c r="A171" i="8" s="1"/>
  <c r="D364" i="15"/>
  <c r="F383" i="21"/>
  <c r="E705" i="15"/>
  <c r="E681" i="15"/>
  <c r="E673" i="15"/>
  <c r="G734" i="21"/>
  <c r="C734" i="21" s="1"/>
  <c r="E674" i="15"/>
  <c r="E630" i="15"/>
  <c r="G664" i="21"/>
  <c r="G660" i="21"/>
  <c r="E596" i="15"/>
  <c r="G658" i="21"/>
  <c r="G654" i="21"/>
  <c r="E592" i="15"/>
  <c r="G652" i="21"/>
  <c r="E584" i="15"/>
  <c r="A190" i="8"/>
  <c r="G456" i="21"/>
  <c r="C457" i="21" s="1"/>
  <c r="A302" i="8"/>
  <c r="E407" i="15"/>
  <c r="G454" i="21"/>
  <c r="C454" i="21" s="1"/>
  <c r="E401" i="15"/>
  <c r="G450" i="21"/>
  <c r="C449" i="21" s="1"/>
  <c r="A183" i="8"/>
  <c r="E387" i="15"/>
  <c r="A182" i="8"/>
  <c r="G431" i="21"/>
  <c r="C432" i="21" s="1"/>
  <c r="E386" i="15"/>
  <c r="A294" i="8"/>
  <c r="A284" i="8"/>
  <c r="G407" i="21"/>
  <c r="C404" i="21" s="1"/>
  <c r="E364" i="15"/>
  <c r="E348" i="15"/>
  <c r="G385" i="21"/>
  <c r="E188" i="15"/>
  <c r="G224" i="21"/>
  <c r="C224" i="21" s="1"/>
  <c r="E189" i="15"/>
  <c r="G225" i="21"/>
  <c r="C225" i="21" s="1"/>
  <c r="E187" i="15"/>
  <c r="G165" i="21"/>
  <c r="C165" i="21" s="1"/>
  <c r="E141" i="15"/>
  <c r="E139" i="15"/>
  <c r="G167" i="21"/>
  <c r="C167" i="21" s="1"/>
  <c r="E140" i="15"/>
  <c r="B162" i="15"/>
  <c r="E162" i="15" s="1"/>
  <c r="E136" i="8"/>
  <c r="D136" i="8"/>
  <c r="B136" i="8"/>
  <c r="A94" i="16"/>
  <c r="C136" i="8"/>
  <c r="A95" i="16"/>
  <c r="A93" i="16"/>
  <c r="E116" i="15"/>
  <c r="G141" i="21"/>
  <c r="E119" i="15"/>
  <c r="G140" i="21"/>
  <c r="E117" i="15"/>
  <c r="N161" i="13"/>
  <c r="A280" i="8"/>
  <c r="D398" i="15"/>
  <c r="F433" i="21"/>
  <c r="D377" i="15"/>
  <c r="D383" i="15"/>
  <c r="E300" i="15"/>
  <c r="P89" i="11"/>
  <c r="M206" i="21"/>
  <c r="C709" i="21"/>
  <c r="M382" i="21"/>
  <c r="E308" i="15"/>
  <c r="E318" i="15"/>
  <c r="E323" i="15"/>
  <c r="E306" i="15"/>
  <c r="B90" i="16"/>
  <c r="E312" i="15"/>
  <c r="E320" i="15"/>
  <c r="E309" i="15"/>
  <c r="E319" i="15"/>
  <c r="E350" i="15"/>
  <c r="E305" i="15"/>
  <c r="E302" i="15"/>
  <c r="E310" i="15"/>
  <c r="A168" i="8"/>
  <c r="A285" i="8"/>
  <c r="A175" i="8"/>
  <c r="D422" i="15"/>
  <c r="D369" i="15"/>
  <c r="D354" i="15"/>
  <c r="A172" i="8"/>
  <c r="F473" i="21"/>
  <c r="F421" i="21"/>
  <c r="D353" i="15"/>
  <c r="D387" i="15"/>
  <c r="F34" i="16"/>
  <c r="E118" i="8"/>
  <c r="A281" i="8"/>
  <c r="A169" i="8"/>
  <c r="E228" i="8"/>
  <c r="F467" i="21"/>
  <c r="A300" i="8"/>
  <c r="D382" i="15"/>
  <c r="D367" i="15"/>
  <c r="A295" i="8"/>
  <c r="O3" i="13"/>
  <c r="D244" i="8"/>
  <c r="D132" i="8"/>
  <c r="L219" i="11"/>
  <c r="D411" i="15"/>
  <c r="F449" i="21"/>
  <c r="F431" i="21"/>
  <c r="A164" i="8"/>
  <c r="A276" i="8"/>
  <c r="A278" i="8"/>
  <c r="F470" i="21"/>
  <c r="D393" i="15"/>
  <c r="F450" i="21"/>
  <c r="F446" i="21"/>
  <c r="F420" i="21"/>
  <c r="F413" i="21"/>
  <c r="F409" i="21"/>
  <c r="F404" i="21"/>
  <c r="F424" i="21"/>
  <c r="F381" i="21"/>
  <c r="F462" i="21"/>
  <c r="A187" i="8"/>
  <c r="D347" i="15"/>
  <c r="F70" i="21"/>
  <c r="G72" i="21"/>
  <c r="C72" i="21" s="1"/>
  <c r="D65" i="15"/>
  <c r="F65" i="21"/>
  <c r="F75" i="21"/>
  <c r="D62" i="15"/>
  <c r="F14" i="16"/>
  <c r="D64" i="15"/>
  <c r="C502" i="21"/>
  <c r="M336" i="21"/>
  <c r="G336" i="21"/>
  <c r="C388" i="21"/>
  <c r="C632" i="21"/>
  <c r="G344" i="21"/>
  <c r="C392" i="21"/>
  <c r="C395" i="21"/>
  <c r="G355" i="21"/>
  <c r="C274" i="21"/>
  <c r="C147" i="21"/>
  <c r="C464" i="21"/>
  <c r="C472" i="21"/>
  <c r="C145" i="21"/>
  <c r="C304" i="21"/>
  <c r="G357" i="21"/>
  <c r="G347" i="21"/>
  <c r="G341" i="21"/>
  <c r="C390" i="21"/>
  <c r="C387" i="21"/>
  <c r="C745" i="21"/>
  <c r="C107" i="21"/>
  <c r="C294" i="21"/>
  <c r="C746" i="21"/>
  <c r="G360" i="21"/>
  <c r="C360" i="21" s="1"/>
  <c r="G354" i="21"/>
  <c r="G343" i="21"/>
  <c r="C393" i="21"/>
  <c r="C389" i="21"/>
  <c r="G387" i="21"/>
  <c r="G356" i="21"/>
  <c r="G345" i="21"/>
  <c r="G340" i="21"/>
  <c r="C394" i="21"/>
  <c r="C85" i="21"/>
  <c r="C83" i="21"/>
  <c r="C675" i="21"/>
  <c r="C559" i="21"/>
  <c r="C267" i="21"/>
  <c r="C670" i="21"/>
  <c r="C109" i="21"/>
  <c r="C220" i="21"/>
  <c r="C491" i="21"/>
  <c r="C549" i="21"/>
  <c r="C158" i="21"/>
  <c r="C272" i="21"/>
  <c r="C568" i="21"/>
  <c r="C246" i="21"/>
  <c r="C372" i="21"/>
  <c r="C54" i="21"/>
  <c r="C63" i="21"/>
  <c r="C218" i="21"/>
  <c r="C680" i="21"/>
  <c r="C533" i="21"/>
  <c r="C561" i="21"/>
  <c r="C567" i="21"/>
  <c r="C81" i="21"/>
  <c r="C370" i="21"/>
  <c r="C531" i="21"/>
  <c r="C471" i="21"/>
  <c r="C414" i="21"/>
  <c r="C96" i="21"/>
  <c r="C676" i="21"/>
  <c r="M130" i="21"/>
  <c r="M494" i="21"/>
  <c r="C144" i="21"/>
  <c r="C503" i="21"/>
  <c r="C48" i="21"/>
  <c r="C530" i="21"/>
  <c r="C271" i="21"/>
  <c r="C125" i="21"/>
  <c r="C111" i="21"/>
  <c r="C174" i="21"/>
  <c r="C199" i="21"/>
  <c r="C462" i="21"/>
  <c r="C475" i="21"/>
  <c r="C507" i="21"/>
  <c r="C684" i="21"/>
  <c r="C699" i="21"/>
  <c r="C758" i="21"/>
  <c r="M183" i="21"/>
  <c r="M651" i="21"/>
  <c r="C573" i="21"/>
  <c r="C712" i="21"/>
  <c r="C376" i="21"/>
  <c r="C88" i="21"/>
  <c r="C87" i="21"/>
  <c r="C98" i="21"/>
  <c r="C99" i="21"/>
  <c r="C171" i="21"/>
  <c r="C168" i="21"/>
  <c r="C286" i="21"/>
  <c r="C287" i="21"/>
  <c r="C369" i="21"/>
  <c r="C151" i="21"/>
  <c r="C101" i="21"/>
  <c r="C95" i="21"/>
  <c r="C665" i="21"/>
  <c r="C76" i="21"/>
  <c r="C75" i="21"/>
  <c r="C213" i="21"/>
  <c r="C212" i="21"/>
  <c r="C497" i="21"/>
  <c r="C368" i="21"/>
  <c r="C532" i="21"/>
  <c r="C468" i="21"/>
  <c r="C416" i="21"/>
  <c r="C579" i="21"/>
  <c r="C80" i="21"/>
  <c r="C65" i="21"/>
  <c r="C73" i="21"/>
  <c r="C103" i="21"/>
  <c r="C210" i="21"/>
  <c r="C474" i="21"/>
  <c r="C473" i="21"/>
  <c r="C467" i="21"/>
  <c r="C470" i="21"/>
  <c r="C469" i="21"/>
  <c r="C596" i="21"/>
  <c r="C563" i="21"/>
  <c r="C562" i="21"/>
  <c r="C613" i="21"/>
  <c r="C723" i="21"/>
  <c r="C32" i="21"/>
  <c r="C30" i="21"/>
  <c r="C118" i="21"/>
  <c r="C117" i="21"/>
  <c r="C529" i="21"/>
  <c r="C526" i="21"/>
  <c r="C630" i="21"/>
  <c r="C629" i="21"/>
  <c r="C106" i="21"/>
  <c r="C105" i="21"/>
  <c r="C128" i="21"/>
  <c r="C124" i="21"/>
  <c r="C461" i="21"/>
  <c r="C463" i="21"/>
  <c r="C685" i="21"/>
  <c r="C554" i="21"/>
  <c r="C555" i="21"/>
  <c r="C586" i="21"/>
  <c r="C584" i="21"/>
  <c r="C601" i="21"/>
  <c r="C371" i="21"/>
  <c r="C412" i="21"/>
  <c r="C492" i="21"/>
  <c r="C93" i="21"/>
  <c r="C149" i="21"/>
  <c r="C590" i="21"/>
  <c r="C672" i="21"/>
  <c r="C747" i="21"/>
  <c r="C534" i="21"/>
  <c r="I247" i="8"/>
  <c r="C620" i="21"/>
  <c r="C619" i="21"/>
  <c r="C714" i="21"/>
  <c r="C203" i="21"/>
  <c r="C235" i="21"/>
  <c r="AW83" i="8"/>
  <c r="I516" i="21" s="1"/>
  <c r="M489" i="21"/>
  <c r="AC404" i="21"/>
  <c r="C19" i="23"/>
  <c r="C409" i="21"/>
  <c r="C408" i="21"/>
  <c r="M93" i="21"/>
  <c r="C411" i="21"/>
  <c r="M476" i="21"/>
  <c r="AB655" i="21"/>
  <c r="M655" i="21" s="1"/>
  <c r="C324" i="21"/>
  <c r="C325" i="21"/>
  <c r="M65" i="21"/>
  <c r="AD414" i="21"/>
  <c r="M427" i="21"/>
  <c r="M649" i="21"/>
  <c r="M647" i="21"/>
  <c r="AB446" i="21"/>
  <c r="M446" i="21" s="1"/>
  <c r="C541" i="21"/>
  <c r="C544" i="21"/>
  <c r="N3" i="12"/>
  <c r="G625" i="21"/>
  <c r="B19" i="23" s="1"/>
  <c r="E483" i="15"/>
  <c r="E248" i="8"/>
  <c r="G27" i="23" s="1"/>
  <c r="B248" i="8"/>
  <c r="D27" i="23" s="1"/>
  <c r="C248" i="8"/>
  <c r="E27" i="23" s="1"/>
  <c r="AB414" i="21"/>
  <c r="AC409" i="21"/>
  <c r="D330" i="8"/>
  <c r="D329" i="8"/>
  <c r="C377" i="21"/>
  <c r="AF62" i="8"/>
  <c r="H301" i="21" s="1"/>
  <c r="J301" i="21" s="1"/>
  <c r="Y301" i="21" s="1"/>
  <c r="M301" i="21" s="1"/>
  <c r="M286" i="21"/>
  <c r="M635" i="21"/>
  <c r="C410" i="21"/>
  <c r="C413" i="21"/>
  <c r="C378" i="21"/>
  <c r="M145" i="21"/>
  <c r="M191" i="21"/>
  <c r="M262" i="21"/>
  <c r="M324" i="21"/>
  <c r="M488" i="21"/>
  <c r="AB645" i="21"/>
  <c r="M645" i="21" s="1"/>
  <c r="C606" i="21"/>
  <c r="C607" i="21"/>
  <c r="C614" i="21"/>
  <c r="M443" i="21"/>
  <c r="M741" i="21"/>
  <c r="M769" i="21"/>
  <c r="M272" i="21"/>
  <c r="M598" i="21"/>
  <c r="M657" i="21"/>
  <c r="I258" i="8"/>
  <c r="I272" i="8"/>
  <c r="M62" i="21"/>
  <c r="C599" i="21"/>
  <c r="M203" i="21"/>
  <c r="M307" i="21"/>
  <c r="M233" i="21"/>
  <c r="M377" i="21"/>
  <c r="M125" i="21"/>
  <c r="M470" i="21"/>
  <c r="M491" i="21"/>
  <c r="C215" i="21"/>
  <c r="C277" i="21"/>
  <c r="D248" i="8"/>
  <c r="F27" i="23" s="1"/>
  <c r="M31" i="21"/>
  <c r="M63" i="21"/>
  <c r="M75" i="21"/>
  <c r="M81" i="21"/>
  <c r="M98" i="21"/>
  <c r="M105" i="21"/>
  <c r="M147" i="21"/>
  <c r="M174" i="21"/>
  <c r="M199" i="21"/>
  <c r="M212" i="21"/>
  <c r="M220" i="21"/>
  <c r="M277" i="21"/>
  <c r="M311" i="21"/>
  <c r="M428" i="21"/>
  <c r="M442" i="21"/>
  <c r="M444" i="21"/>
  <c r="M467" i="21"/>
  <c r="D331" i="8"/>
  <c r="M745" i="21"/>
  <c r="M756" i="21"/>
  <c r="D332" i="8"/>
  <c r="M354" i="21"/>
  <c r="M107" i="21"/>
  <c r="M355" i="21"/>
  <c r="M15" i="21"/>
  <c r="M85" i="21"/>
  <c r="M109" i="21"/>
  <c r="M180" i="21"/>
  <c r="M255" i="21"/>
  <c r="M429" i="21"/>
  <c r="M742" i="21"/>
  <c r="M73" i="21"/>
  <c r="M87" i="21"/>
  <c r="M96" i="21"/>
  <c r="M103" i="21"/>
  <c r="M111" i="21"/>
  <c r="M127" i="21"/>
  <c r="M149" i="21"/>
  <c r="M168" i="21"/>
  <c r="M210" i="21"/>
  <c r="M218" i="21"/>
  <c r="M246" i="21"/>
  <c r="M274" i="21"/>
  <c r="M289" i="21"/>
  <c r="M178" i="21"/>
  <c r="M350" i="21"/>
  <c r="M362" i="21"/>
  <c r="M743" i="21"/>
  <c r="M229" i="21"/>
  <c r="C13" i="23"/>
  <c r="G325" i="8"/>
  <c r="D325" i="8" s="1"/>
  <c r="E325" i="8" s="1"/>
  <c r="M68" i="21"/>
  <c r="C9" i="16"/>
  <c r="E9" i="16" s="1"/>
  <c r="C27" i="21"/>
  <c r="C28" i="21"/>
  <c r="M27" i="21"/>
  <c r="I764" i="21"/>
  <c r="J764" i="21" s="1"/>
  <c r="K764" i="21" s="1"/>
  <c r="M659" i="21"/>
  <c r="I4" i="14"/>
  <c r="B2" i="22"/>
  <c r="B2" i="23"/>
  <c r="N3" i="14"/>
  <c r="E740" i="15"/>
  <c r="F54" i="16"/>
  <c r="H4" i="9"/>
  <c r="D2" i="18"/>
  <c r="C2" i="17"/>
  <c r="J4" i="10"/>
  <c r="B1" i="8"/>
  <c r="I4" i="1"/>
  <c r="I4" i="13"/>
  <c r="I4" i="12"/>
  <c r="F1" i="15"/>
  <c r="J4" i="11"/>
  <c r="C1" i="16"/>
  <c r="C2" i="19"/>
  <c r="M794" i="21"/>
  <c r="I823" i="21"/>
  <c r="J823" i="21" s="1"/>
  <c r="K823" i="21" s="1"/>
  <c r="M795" i="21"/>
  <c r="M804" i="21"/>
  <c r="M814" i="21"/>
  <c r="M803" i="21"/>
  <c r="M796" i="21"/>
  <c r="AB633" i="21"/>
  <c r="M633" i="21" s="1"/>
  <c r="AD418" i="21"/>
  <c r="AE414" i="21"/>
  <c r="AB409" i="21"/>
  <c r="AC414" i="21"/>
  <c r="CC29" i="8"/>
  <c r="AB404" i="21"/>
  <c r="AE418" i="21"/>
  <c r="AC418" i="21"/>
  <c r="M357" i="21"/>
  <c r="M768" i="21"/>
  <c r="M770" i="21"/>
  <c r="J625" i="21"/>
  <c r="K625" i="21" s="1"/>
  <c r="G322" i="8"/>
  <c r="D322" i="8" s="1"/>
  <c r="E322" i="8" s="1"/>
  <c r="C640" i="21"/>
  <c r="C524" i="21" l="1"/>
  <c r="C516" i="21"/>
  <c r="G437" i="21"/>
  <c r="C436" i="21" s="1"/>
  <c r="C500" i="21"/>
  <c r="C499" i="21"/>
  <c r="C496" i="21"/>
  <c r="C311" i="21"/>
  <c r="C521" i="21"/>
  <c r="C244" i="21"/>
  <c r="C518" i="21"/>
  <c r="C494" i="21"/>
  <c r="C522" i="21"/>
  <c r="C519" i="21"/>
  <c r="C495" i="21"/>
  <c r="C520" i="21"/>
  <c r="C523" i="21"/>
  <c r="C129" i="21"/>
  <c r="A257" i="8"/>
  <c r="C70" i="16"/>
  <c r="D70" i="16" s="1"/>
  <c r="D213" i="8"/>
  <c r="E213" i="8" s="1"/>
  <c r="C29" i="16"/>
  <c r="E29" i="16" s="1"/>
  <c r="A145" i="8"/>
  <c r="C132" i="21"/>
  <c r="C120" i="21"/>
  <c r="C39" i="21"/>
  <c r="C176" i="8"/>
  <c r="C177" i="8" s="1"/>
  <c r="B87" i="16" s="1"/>
  <c r="G764" i="21"/>
  <c r="B21" i="23" s="1"/>
  <c r="C664" i="21"/>
  <c r="C55" i="21"/>
  <c r="C52" i="21"/>
  <c r="C42" i="21"/>
  <c r="C515" i="21"/>
  <c r="C262" i="21"/>
  <c r="G823" i="21"/>
  <c r="B23" i="23" s="1"/>
  <c r="C297" i="21"/>
  <c r="C130" i="21"/>
  <c r="C131" i="21"/>
  <c r="C67" i="21"/>
  <c r="C69" i="21"/>
  <c r="C456" i="21"/>
  <c r="G135" i="21"/>
  <c r="B13" i="23" s="1"/>
  <c r="C263" i="21"/>
  <c r="C514" i="21"/>
  <c r="C792" i="21"/>
  <c r="C68" i="21"/>
  <c r="C380" i="21"/>
  <c r="C255" i="21"/>
  <c r="C481" i="21"/>
  <c r="C265" i="21"/>
  <c r="C261" i="21"/>
  <c r="C513" i="21"/>
  <c r="C256" i="21"/>
  <c r="C253" i="21"/>
  <c r="C482" i="21"/>
  <c r="C276" i="21"/>
  <c r="C308" i="21"/>
  <c r="C264" i="21"/>
  <c r="C254" i="21"/>
  <c r="C310" i="21"/>
  <c r="C309" i="21"/>
  <c r="C704" i="21"/>
  <c r="E314" i="15"/>
  <c r="B94" i="16"/>
  <c r="B95" i="16"/>
  <c r="G350" i="21"/>
  <c r="E316" i="15"/>
  <c r="G353" i="21"/>
  <c r="E258" i="15"/>
  <c r="G292" i="21"/>
  <c r="C480" i="21"/>
  <c r="C194" i="21"/>
  <c r="C289" i="21"/>
  <c r="D212" i="8"/>
  <c r="E212" i="8" s="1"/>
  <c r="C252" i="21"/>
  <c r="C288" i="8"/>
  <c r="C289" i="8" s="1"/>
  <c r="C180" i="21"/>
  <c r="C257" i="21"/>
  <c r="C250" i="21"/>
  <c r="C251" i="21"/>
  <c r="C304" i="8"/>
  <c r="C417" i="21"/>
  <c r="I398" i="21"/>
  <c r="AB641" i="21" s="1"/>
  <c r="M641" i="21" s="1"/>
  <c r="C446" i="21"/>
  <c r="C447" i="21"/>
  <c r="C418" i="21"/>
  <c r="C419" i="21"/>
  <c r="C420" i="21"/>
  <c r="C421" i="21"/>
  <c r="AA505" i="21"/>
  <c r="M505" i="21" s="1"/>
  <c r="C460" i="21"/>
  <c r="C139" i="21"/>
  <c r="C362" i="21"/>
  <c r="C458" i="21"/>
  <c r="C448" i="21"/>
  <c r="C450" i="21"/>
  <c r="C445" i="21"/>
  <c r="C222" i="21"/>
  <c r="C382" i="21"/>
  <c r="C384" i="21"/>
  <c r="C142" i="21"/>
  <c r="C364" i="21"/>
  <c r="A238" i="8"/>
  <c r="B235" i="8"/>
  <c r="C365" i="21"/>
  <c r="C361" i="21"/>
  <c r="C363" i="21"/>
  <c r="C690" i="21"/>
  <c r="C164" i="21"/>
  <c r="A126" i="8"/>
  <c r="P3" i="10"/>
  <c r="F50" i="16" s="1"/>
  <c r="C405" i="21"/>
  <c r="C435" i="21"/>
  <c r="E357" i="15"/>
  <c r="C431" i="21"/>
  <c r="A283" i="8"/>
  <c r="C430" i="21"/>
  <c r="G398" i="21"/>
  <c r="C400" i="21" s="1"/>
  <c r="O3" i="11"/>
  <c r="D211" i="8" s="1"/>
  <c r="E211" i="8" s="1"/>
  <c r="C406" i="21"/>
  <c r="C407" i="21"/>
  <c r="B25" i="16"/>
  <c r="B45" i="16"/>
  <c r="C459" i="21"/>
  <c r="C453" i="21"/>
  <c r="C455" i="21"/>
  <c r="C452" i="21"/>
  <c r="C434" i="21"/>
  <c r="C383" i="21"/>
  <c r="C381" i="21"/>
  <c r="C385" i="21"/>
  <c r="A277" i="8"/>
  <c r="O89" i="11"/>
  <c r="D209" i="8"/>
  <c r="E209" i="8" s="1"/>
  <c r="C13" i="16"/>
  <c r="E13" i="16" s="1"/>
  <c r="C74" i="16"/>
  <c r="D74" i="16" s="1"/>
  <c r="A149" i="8"/>
  <c r="A261" i="8"/>
  <c r="C53" i="16"/>
  <c r="D53" i="16" s="1"/>
  <c r="C433" i="21"/>
  <c r="C403" i="21"/>
  <c r="B242" i="8"/>
  <c r="A146" i="8"/>
  <c r="C50" i="16"/>
  <c r="D50" i="16" s="1"/>
  <c r="A258" i="8"/>
  <c r="C30" i="16"/>
  <c r="E30" i="16" s="1"/>
  <c r="C71" i="16"/>
  <c r="E71" i="16" s="1"/>
  <c r="C10" i="16"/>
  <c r="E10" i="16" s="1"/>
  <c r="C140" i="21"/>
  <c r="D217" i="8"/>
  <c r="D228" i="8" s="1"/>
  <c r="Q4" i="11"/>
  <c r="B16" i="16"/>
  <c r="B17" i="16" s="1"/>
  <c r="P4" i="14"/>
  <c r="O4" i="9"/>
  <c r="Q4" i="10"/>
  <c r="P4" i="13"/>
  <c r="P4" i="12"/>
  <c r="P4" i="1"/>
  <c r="R4" i="14"/>
  <c r="B56" i="16"/>
  <c r="B57" i="16" s="1"/>
  <c r="D219" i="8"/>
  <c r="S4" i="11"/>
  <c r="R4" i="13"/>
  <c r="Q4" i="9"/>
  <c r="R4" i="1"/>
  <c r="R4" i="12"/>
  <c r="S4" i="10"/>
  <c r="C138" i="21"/>
  <c r="C141" i="21"/>
  <c r="B36" i="16"/>
  <c r="B37" i="16" s="1"/>
  <c r="R4" i="11"/>
  <c r="Q4" i="12"/>
  <c r="Q4" i="1"/>
  <c r="Q4" i="13"/>
  <c r="D218" i="8"/>
  <c r="Q4" i="14"/>
  <c r="R4" i="10"/>
  <c r="P4" i="9"/>
  <c r="D220" i="8"/>
  <c r="T4" i="10"/>
  <c r="T4" i="11"/>
  <c r="R4" i="9"/>
  <c r="S4" i="1"/>
  <c r="S4" i="12"/>
  <c r="S4" i="13"/>
  <c r="B77" i="16"/>
  <c r="B78" i="16" s="1"/>
  <c r="S4" i="14"/>
  <c r="A204" i="8"/>
  <c r="A205" i="8" s="1"/>
  <c r="G375" i="21"/>
  <c r="E337" i="15"/>
  <c r="G374" i="21"/>
  <c r="E338" i="15"/>
  <c r="B130" i="8"/>
  <c r="K135" i="21"/>
  <c r="E117" i="8"/>
  <c r="F13" i="16"/>
  <c r="F53" i="16"/>
  <c r="F33" i="16"/>
  <c r="F74" i="16"/>
  <c r="D9" i="16"/>
  <c r="E70" i="16"/>
  <c r="E49" i="16"/>
  <c r="D49" i="16"/>
  <c r="M409" i="21"/>
  <c r="H292" i="21"/>
  <c r="H326" i="21" s="1"/>
  <c r="C16" i="22" s="1"/>
  <c r="M414" i="21"/>
  <c r="B20" i="22"/>
  <c r="D210" i="8"/>
  <c r="E210" i="8" s="1"/>
  <c r="A260" i="8"/>
  <c r="C32" i="16"/>
  <c r="C73" i="16"/>
  <c r="A148" i="8"/>
  <c r="C52" i="16"/>
  <c r="C12" i="16"/>
  <c r="G321" i="8"/>
  <c r="D321" i="8" s="1"/>
  <c r="E321" i="8" s="1"/>
  <c r="C21" i="23"/>
  <c r="C75" i="16"/>
  <c r="C34" i="16"/>
  <c r="A150" i="8"/>
  <c r="D208" i="8"/>
  <c r="E208" i="8" s="1"/>
  <c r="C54" i="16"/>
  <c r="A262" i="8"/>
  <c r="C14" i="16"/>
  <c r="G320" i="8"/>
  <c r="D320" i="8" s="1"/>
  <c r="E320" i="8" s="1"/>
  <c r="C23" i="23"/>
  <c r="E33" i="16"/>
  <c r="D33" i="16"/>
  <c r="C441" i="21" l="1"/>
  <c r="C440" i="21"/>
  <c r="C437" i="21"/>
  <c r="C439" i="21"/>
  <c r="C438" i="21"/>
  <c r="B66" i="16"/>
  <c r="D29" i="16"/>
  <c r="O291" i="11"/>
  <c r="B14" i="22"/>
  <c r="H1" i="15"/>
  <c r="C9" i="15" s="1"/>
  <c r="G326" i="21"/>
  <c r="B15" i="23" s="1"/>
  <c r="B24" i="22"/>
  <c r="C398" i="21"/>
  <c r="AB418" i="21"/>
  <c r="M418" i="21" s="1"/>
  <c r="AC398" i="21"/>
  <c r="AD398" i="21"/>
  <c r="AB398" i="21"/>
  <c r="G537" i="21"/>
  <c r="C293" i="21"/>
  <c r="C292" i="21"/>
  <c r="I537" i="21"/>
  <c r="I824" i="21" s="1"/>
  <c r="AD404" i="21"/>
  <c r="M404" i="21" s="1"/>
  <c r="C399" i="21"/>
  <c r="B22" i="22"/>
  <c r="F30" i="16"/>
  <c r="F10" i="16"/>
  <c r="E115" i="8"/>
  <c r="F71" i="16"/>
  <c r="D71" i="16"/>
  <c r="C51" i="16"/>
  <c r="E51" i="16" s="1"/>
  <c r="A316" i="8"/>
  <c r="A317" i="8" s="1"/>
  <c r="C11" i="16"/>
  <c r="E11" i="16" s="1"/>
  <c r="A259" i="8"/>
  <c r="A263" i="8" s="1"/>
  <c r="C31" i="16"/>
  <c r="D31" i="16" s="1"/>
  <c r="C401" i="21"/>
  <c r="C72" i="16"/>
  <c r="D72" i="16" s="1"/>
  <c r="A147" i="8"/>
  <c r="A151" i="8" s="1"/>
  <c r="C402" i="21"/>
  <c r="D13" i="16"/>
  <c r="E74" i="16"/>
  <c r="E53" i="16"/>
  <c r="B93" i="16"/>
  <c r="B65" i="16"/>
  <c r="O260" i="11"/>
  <c r="P3" i="11" s="1"/>
  <c r="D30" i="16"/>
  <c r="D10" i="16"/>
  <c r="E50" i="16"/>
  <c r="C374" i="21"/>
  <c r="C373" i="21"/>
  <c r="C375" i="21"/>
  <c r="B44" i="16"/>
  <c r="B24" i="16"/>
  <c r="J326" i="21"/>
  <c r="K326" i="21" s="1"/>
  <c r="C15" i="23"/>
  <c r="G324" i="8"/>
  <c r="D324" i="8" s="1"/>
  <c r="E324" i="8" s="1"/>
  <c r="E214" i="8"/>
  <c r="D214" i="8" s="1"/>
  <c r="E12" i="16"/>
  <c r="D12" i="16"/>
  <c r="E32" i="16"/>
  <c r="D32" i="16"/>
  <c r="D52" i="16"/>
  <c r="E52" i="16"/>
  <c r="E73" i="16"/>
  <c r="D73" i="16"/>
  <c r="E14" i="16"/>
  <c r="D14" i="16"/>
  <c r="D34" i="16"/>
  <c r="E34" i="16"/>
  <c r="D54" i="16"/>
  <c r="E54" i="16"/>
  <c r="E75" i="16"/>
  <c r="D75" i="16"/>
  <c r="B16" i="22" l="1"/>
  <c r="M398" i="21"/>
  <c r="F31" i="16"/>
  <c r="E116" i="8"/>
  <c r="F147" i="8" s="1"/>
  <c r="B42" i="16" s="1"/>
  <c r="F51" i="16"/>
  <c r="F72" i="16"/>
  <c r="F11" i="16"/>
  <c r="C55" i="16"/>
  <c r="C57" i="16" s="1"/>
  <c r="C15" i="16"/>
  <c r="C17" i="16" s="1"/>
  <c r="D51" i="16"/>
  <c r="D55" i="16" s="1"/>
  <c r="D56" i="16" s="1"/>
  <c r="E56" i="16" s="1"/>
  <c r="E72" i="16"/>
  <c r="E76" i="16" s="1"/>
  <c r="D11" i="16"/>
  <c r="D15" i="16" s="1"/>
  <c r="D16" i="16" s="1"/>
  <c r="E16" i="16" s="1"/>
  <c r="C76" i="16"/>
  <c r="C78" i="16" s="1"/>
  <c r="O4" i="11"/>
  <c r="N4" i="13"/>
  <c r="E31" i="16"/>
  <c r="E35" i="16" s="1"/>
  <c r="C35" i="16"/>
  <c r="C37" i="16" s="1"/>
  <c r="G824" i="21"/>
  <c r="B18" i="22"/>
  <c r="B27" i="22" s="1"/>
  <c r="B17" i="23"/>
  <c r="B26" i="23" s="1"/>
  <c r="D35" i="16"/>
  <c r="D36" i="16" s="1"/>
  <c r="B41" i="16" s="1"/>
  <c r="B81" i="16"/>
  <c r="M4" i="9"/>
  <c r="D216" i="8"/>
  <c r="B60" i="16"/>
  <c r="B40" i="16"/>
  <c r="B20" i="16"/>
  <c r="N4" i="12"/>
  <c r="D76" i="16"/>
  <c r="D77" i="16" s="1"/>
  <c r="B82" i="16" s="1"/>
  <c r="N4" i="1"/>
  <c r="E15" i="16"/>
  <c r="O4" i="10"/>
  <c r="N4" i="14"/>
  <c r="E55" i="16"/>
  <c r="O4" i="13" l="1"/>
  <c r="O4" i="12"/>
  <c r="O4" i="1"/>
  <c r="N4" i="9"/>
  <c r="P4" i="10"/>
  <c r="P4" i="11"/>
  <c r="O4" i="14"/>
  <c r="F259" i="8"/>
  <c r="B62" i="16"/>
  <c r="A254" i="8"/>
  <c r="B83" i="16"/>
  <c r="A142" i="8"/>
  <c r="A251" i="8" s="1"/>
  <c r="B22" i="16"/>
  <c r="E57" i="16"/>
  <c r="E36" i="16"/>
  <c r="E37" i="16" s="1"/>
  <c r="B61" i="16"/>
  <c r="E77" i="16"/>
  <c r="E78" i="16" s="1"/>
  <c r="E17" i="16"/>
  <c r="B21" i="16"/>
  <c r="A139" i="8" l="1"/>
  <c r="AO1" i="21" s="1"/>
  <c r="H8" i="23" l="1"/>
  <c r="A136" i="8"/>
  <c r="H1" i="9" s="1"/>
  <c r="Y1" i="15"/>
  <c r="A248" i="8"/>
  <c r="I1" i="12" l="1"/>
  <c r="I1" i="14"/>
  <c r="J1" i="10"/>
  <c r="J1" i="11"/>
  <c r="I1" i="1"/>
  <c r="E1" i="16"/>
  <c r="I1" i="13"/>
  <c r="AH30" i="8"/>
  <c r="AH32" i="8"/>
  <c r="AJ32" i="8" s="1"/>
  <c r="AH31" i="8"/>
  <c r="AJ31" i="8" s="1"/>
  <c r="H387" i="21"/>
  <c r="Z387" i="21" s="1"/>
  <c r="AH33" i="8"/>
  <c r="AJ33" i="8" s="1"/>
  <c r="H477" i="21" l="1"/>
  <c r="M387" i="21"/>
  <c r="AC11" i="21"/>
  <c r="H359" i="21" l="1"/>
  <c r="AB359" i="21" s="1"/>
  <c r="M359" i="21" s="1"/>
  <c r="X477" i="21"/>
  <c r="M477" i="21" s="1"/>
  <c r="H537" i="21"/>
  <c r="H824" i="21" s="1"/>
  <c r="H825" i="21" s="1"/>
  <c r="G323" i="8" l="1"/>
  <c r="G326" i="8" s="1"/>
  <c r="C18" i="22"/>
  <c r="C27" i="22" s="1"/>
  <c r="C17" i="23"/>
  <c r="C26" i="23" s="1"/>
  <c r="J537" i="21"/>
  <c r="D323" i="8" l="1"/>
  <c r="E323" i="8" s="1"/>
  <c r="E326" i="8" s="1"/>
  <c r="K537" i="21"/>
  <c r="M1" i="21"/>
  <c r="A340" i="8" l="1"/>
  <c r="D326" i="8"/>
  <c r="H826" i="21" l="1"/>
  <c r="J826" i="21" s="1"/>
  <c r="AA826" i="21"/>
  <c r="AB11" i="21" s="1"/>
  <c r="K8" i="21" s="1"/>
  <c r="I8" i="27" s="1"/>
  <c r="L826" i="21" l="1"/>
</calcChain>
</file>

<file path=xl/sharedStrings.xml><?xml version="1.0" encoding="utf-8"?>
<sst xmlns="http://schemas.openxmlformats.org/spreadsheetml/2006/main" count="6108" uniqueCount="3140">
  <si>
    <t>Current Status</t>
  </si>
  <si>
    <t>Performance Level Minimums</t>
  </si>
  <si>
    <t>Score</t>
  </si>
  <si>
    <t>Mandatory</t>
  </si>
  <si>
    <t>Bronze</t>
  </si>
  <si>
    <t>Silver</t>
  </si>
  <si>
    <t>Gold</t>
  </si>
  <si>
    <t>Emerald</t>
  </si>
  <si>
    <t>This Chapter</t>
  </si>
  <si>
    <t>N/A</t>
  </si>
  <si>
    <t>This Project</t>
  </si>
  <si>
    <t>Practice #</t>
  </si>
  <si>
    <t>Chapter 5: Lot Design, Preparation, and Development</t>
  </si>
  <si>
    <t>Points
Available</t>
  </si>
  <si>
    <t>Points
Claimed</t>
  </si>
  <si>
    <t>Approved Products</t>
  </si>
  <si>
    <t>Notes</t>
  </si>
  <si>
    <t>500 - Lot Design, Preparation, and Development</t>
  </si>
  <si>
    <t>501 - Lot Selection</t>
  </si>
  <si>
    <t>An infill lot is selected.</t>
  </si>
  <si>
    <t>--</t>
  </si>
  <si>
    <t xml:space="preserve">A lot is selected within one-half mile (805 m) of pedestrian access to a mass transit system or within five miles (8046 m) of a mass transit station with provisions for parking.
</t>
  </si>
  <si>
    <t>502 - Project Team, Mission Statement, and Goals</t>
  </si>
  <si>
    <t>503 - Lot Design</t>
  </si>
  <si>
    <t>A natural resources inventory is completed under the direction of a qualified professional.</t>
  </si>
  <si>
    <t>Items listed for protection in the resource inventory plan are protected under the direction of a qualified professional.</t>
  </si>
  <si>
    <t>Basic training in tree or other natural resource protection is provided for the on-site supervisor.</t>
  </si>
  <si>
    <t>All tree pruning on-site is conducted by a Certified Arborist.</t>
  </si>
  <si>
    <t>Underground parking uses the natural slope for parking entrances.</t>
  </si>
  <si>
    <r>
      <rPr>
        <b/>
        <sz val="10"/>
        <color rgb="FFFF0000"/>
        <rFont val="Calibri"/>
        <family val="2"/>
        <scheme val="minor"/>
      </rPr>
      <t>NOTE:</t>
    </r>
    <r>
      <rPr>
        <sz val="10"/>
        <rFont val="Calibri"/>
        <family val="2"/>
        <scheme val="minor"/>
      </rPr>
      <t xml:space="preserve"> Points must be taken in 503.3 to claim points in 504.1. (Also see Section 504.3.) </t>
    </r>
  </si>
  <si>
    <t>Construction activities are scheduled to minimize length of time that soils are exposed.</t>
  </si>
  <si>
    <t>Natural water and drainage features are preserved and used.</t>
  </si>
  <si>
    <t>Plants with similar watering needs are grouped (hydrozoning).</t>
  </si>
  <si>
    <t>An integrated pest management plan is developed to minimize chemical use in pesticides and fertilizers.</t>
  </si>
  <si>
    <t>Compromised environmentally sensitive areas are mitigated or restored.</t>
  </si>
  <si>
    <t>504 - Lot Construction</t>
  </si>
  <si>
    <r>
      <rPr>
        <b/>
        <sz val="10"/>
        <color rgb="FFFF0000"/>
        <rFont val="Calibri"/>
        <family val="2"/>
        <scheme val="minor"/>
      </rPr>
      <t>NOTE:</t>
    </r>
    <r>
      <rPr>
        <sz val="10"/>
        <rFont val="Calibri"/>
        <family val="2"/>
        <scheme val="minor"/>
      </rPr>
      <t xml:space="preserve"> Points must be taken in 503.3 to claim points in 504.1.</t>
    </r>
  </si>
  <si>
    <t>Fencing or equivalent is installed to protect trees and other vegetation.</t>
  </si>
  <si>
    <t>Damage to designated existing trees and vegetation is mitigated during construction through pruning, root pruning, fertilizing, and watering.</t>
  </si>
  <si>
    <t>Soil compaction from construction equipment is reduced by distributing the weight of the equipment over a larger area (laying lightweight geogrids, mulch, chipped wood, plywood, OSB, metal plates, or other materials capable of weight distribution in the pathway of the equipment).</t>
  </si>
  <si>
    <t>505 - Innovative Practices</t>
  </si>
  <si>
    <t>End of Chapter 5</t>
  </si>
  <si>
    <t>Proceed to Chapter 6 &gt;&gt;</t>
  </si>
  <si>
    <r>
      <rPr>
        <b/>
        <sz val="10"/>
        <rFont val="Calibri"/>
        <family val="2"/>
        <scheme val="minor"/>
      </rPr>
      <t>Intent.</t>
    </r>
    <r>
      <rPr>
        <sz val="10"/>
        <rFont val="Calibri"/>
        <family val="2"/>
        <scheme val="minor"/>
      </rPr>
      <t xml:space="preserve"> This section applies to lot development for the eventual construction of residential buildings, multi-unit buildings, or additions thereto that contain dwelling units. The buildings on the lot earn their own performance level by complying with the provisions of Sections 303, 304, or 305.5, as applicable.</t>
    </r>
  </si>
  <si>
    <t>The builder selects a lot within an NGBS certified green community or equivalent on which to build.</t>
  </si>
  <si>
    <r>
      <rPr>
        <b/>
        <sz val="10"/>
        <color rgb="FFFF0000"/>
        <rFont val="Calibri"/>
        <family val="2"/>
      </rPr>
      <t>NOTE:</t>
    </r>
    <r>
      <rPr>
        <sz val="10"/>
        <rFont val="Calibri"/>
        <family val="2"/>
      </rPr>
      <t xml:space="preserve"> List the 6 community resources in the Notes field.</t>
    </r>
  </si>
  <si>
    <t>An infill lot is selected that is a greyfield.</t>
  </si>
  <si>
    <t>An EPA-recognized brownfield lot is selected.</t>
  </si>
  <si>
    <t>A lot with an average slope calculation of less than 15% is selected.</t>
  </si>
  <si>
    <r>
      <rPr>
        <b/>
        <sz val="10"/>
        <color theme="1"/>
        <rFont val="Calibri"/>
        <family val="2"/>
        <scheme val="minor"/>
      </rPr>
      <t>Multi-modal transportation.</t>
    </r>
    <r>
      <rPr>
        <sz val="10"/>
        <color theme="1"/>
        <rFont val="Calibri"/>
        <family val="2"/>
        <scheme val="minor"/>
      </rPr>
      <t xml:space="preserve"> A range of multi-modal transportation choices are promoted by one or more of the following:
</t>
    </r>
    <r>
      <rPr>
        <b/>
        <u/>
        <sz val="10"/>
        <color theme="1"/>
        <rFont val="Calibri"/>
        <family val="2"/>
        <scheme val="minor"/>
      </rPr>
      <t>Claim points for all that apply from (1)-(3) below:</t>
    </r>
  </si>
  <si>
    <t>Walkways, street crossings, and entrances designed to promote pedestrian activity are provided. New buildings are connected to existing sidewalks and areas of development.</t>
  </si>
  <si>
    <t>A lot is selected within one-half mile (805 m) of six or more community resources [e.g., recreational facilities (such as pools, tennis courts, basketball courts), parks, grocery store, post office, place of worship, community center, daycare center, bank, school, restaurant, medical/dental office, laundromat/dry cleaner].</t>
  </si>
  <si>
    <t>Bicycle use is promoted by building on a lot located within a community that has rights-of-way specifically dedicated to bicycle use in the form of paved paths or bicycle lanes or on an infill lot located within 1/2 mile of a bicycle lane designated by the jurisdiction.</t>
  </si>
  <si>
    <r>
      <rPr>
        <b/>
        <sz val="10"/>
        <color theme="1"/>
        <rFont val="Calibri"/>
        <family val="2"/>
        <scheme val="minor"/>
      </rPr>
      <t>Project team, mission statement, and goals.</t>
    </r>
    <r>
      <rPr>
        <sz val="10"/>
        <color theme="1"/>
        <rFont val="Calibri"/>
        <family val="2"/>
        <scheme val="minor"/>
      </rPr>
      <t xml:space="preserve"> A knowledgeable team is established and team member roles are identified with respect to green lot design, preparation, and development. The project’s green goals and objectives are written into a mission statement.</t>
    </r>
  </si>
  <si>
    <r>
      <rPr>
        <b/>
        <sz val="10"/>
        <color theme="1"/>
        <rFont val="Calibri"/>
        <family val="2"/>
        <scheme val="minor"/>
      </rPr>
      <t>Intent.</t>
    </r>
    <r>
      <rPr>
        <sz val="10"/>
        <color theme="1"/>
        <rFont val="Calibri"/>
        <family val="2"/>
        <scheme val="minor"/>
      </rPr>
      <t xml:space="preserve"> The lot is designed to avoid detrimental environmental impacts first, minimize any unavoidable impacts, and mitigate for those impacts that do occur. The project is designed to minimize environmental impacts and to protect, restore, and enhance the natural features and environmental quality of the lot.</t>
    </r>
  </si>
  <si>
    <r>
      <rPr>
        <b/>
        <sz val="10"/>
        <color rgb="FFFF0000"/>
        <rFont val="Calibri"/>
        <family val="2"/>
      </rPr>
      <t>NOTE:</t>
    </r>
    <r>
      <rPr>
        <sz val="10"/>
        <rFont val="Calibri"/>
        <family val="2"/>
      </rPr>
      <t xml:space="preserve"> To be awarded points allocated for design the intent of the design is implemented.</t>
    </r>
  </si>
  <si>
    <t>A plan is implemented to conserve the elements identified by the resource inventory as high-priority resources.</t>
  </si>
  <si>
    <t>Ongoing maintenance of vegetation on the lot during construction is in accordance with TCIA A300 or locally accepted best practices.</t>
  </si>
  <si>
    <t>Where a lot adjoins a landscaped common area, a protection plan from construction activities next to the common area is implemented.</t>
  </si>
  <si>
    <r>
      <t xml:space="preserve">Natural resources. </t>
    </r>
    <r>
      <rPr>
        <sz val="10"/>
        <rFont val="Calibri"/>
        <family val="2"/>
        <scheme val="minor"/>
      </rPr>
      <t>Natural resources are conserved by one or more of the following:</t>
    </r>
    <r>
      <rPr>
        <b/>
        <sz val="10"/>
        <rFont val="Calibri"/>
        <family val="2"/>
        <scheme val="minor"/>
      </rPr>
      <t xml:space="preserve">
</t>
    </r>
    <r>
      <rPr>
        <b/>
        <u/>
        <sz val="10"/>
        <rFont val="Calibri"/>
        <family val="2"/>
        <scheme val="minor"/>
      </rPr>
      <t>Claim points for all that apply from (1)-(7) below:</t>
    </r>
  </si>
  <si>
    <t>The use of terrain adaptive architecture including terracing, retaining walls, landscaping, or other re-stabilization techniques.</t>
  </si>
  <si>
    <t>503.2_3</t>
  </si>
  <si>
    <t>a</t>
  </si>
  <si>
    <t>b</t>
  </si>
  <si>
    <t>c</t>
  </si>
  <si>
    <t>10% to 25%</t>
  </si>
  <si>
    <t>25% to 75%</t>
  </si>
  <si>
    <t>4 points</t>
  </si>
  <si>
    <t>6 points</t>
  </si>
  <si>
    <t>Long-term erosion effects are reduced through the design and implementation of terracing, retaining walls, landscaping, or restabilization techniques.</t>
  </si>
  <si>
    <r>
      <rPr>
        <b/>
        <sz val="10"/>
        <color theme="1"/>
        <rFont val="Calibri"/>
        <family val="2"/>
        <scheme val="minor"/>
      </rPr>
      <t>Soil disturbance and erosion</t>
    </r>
    <r>
      <rPr>
        <sz val="10"/>
        <color theme="1"/>
        <rFont val="Calibri"/>
        <family val="2"/>
        <scheme val="minor"/>
      </rPr>
      <t xml:space="preserve">. Soil disturbance and erosion are minimized by one or more of the following:
</t>
    </r>
    <r>
      <rPr>
        <b/>
        <u/>
        <sz val="10"/>
        <color theme="1"/>
        <rFont val="Calibri"/>
        <family val="2"/>
        <scheme val="minor"/>
      </rPr>
      <t>Claim points for all that apply from (1)-(3) below:</t>
    </r>
  </si>
  <si>
    <t>At least 75% of total length of the utilities on the lot are designed to use one or more alternative means:
    (a) tunneling instead of trenching
    (b) use of smaller (low ground pressure) equipment or geomats to spread the weight of construction equipment
    (c) shared utility trenches or easements
    (d) placement of utilities under paved surfaces instead of yards</t>
  </si>
  <si>
    <t>Limits of clearing and grading are demarcated on the lot plan.</t>
  </si>
  <si>
    <r>
      <rPr>
        <b/>
        <sz val="10"/>
        <rFont val="Calibri"/>
        <family val="2"/>
        <scheme val="minor"/>
      </rPr>
      <t>Lot</t>
    </r>
    <r>
      <rPr>
        <sz val="10"/>
        <rFont val="Calibri"/>
        <family val="2"/>
        <scheme val="minor"/>
      </rPr>
      <t>. The lot is selected to minimize environmental impact by one or more of the following.</t>
    </r>
    <r>
      <rPr>
        <b/>
        <i/>
        <sz val="10"/>
        <rFont val="Calibri"/>
        <family val="2"/>
        <scheme val="minor"/>
      </rPr>
      <t xml:space="preserve">
</t>
    </r>
    <r>
      <rPr>
        <b/>
        <u/>
        <sz val="10"/>
        <rFont val="Calibri"/>
        <family val="2"/>
        <scheme val="minor"/>
      </rPr>
      <t>Claim points for all that apply from (1)-(5) below:</t>
    </r>
  </si>
  <si>
    <r>
      <rPr>
        <b/>
        <sz val="10"/>
        <color rgb="FFFF0000"/>
        <rFont val="Calibri"/>
        <family val="2"/>
        <scheme val="minor"/>
      </rPr>
      <t>NOTE:</t>
    </r>
    <r>
      <rPr>
        <sz val="10"/>
        <rFont val="Calibri"/>
        <family val="2"/>
        <scheme val="minor"/>
      </rPr>
      <t xml:space="preserve"> For lots in a development, the points for items (1), (2), and (3) may be awarded for the lot when there is a community storm water management plan implemented and the builder does not violate that plan with respect to water leaving the lot. </t>
    </r>
  </si>
  <si>
    <r>
      <rPr>
        <b/>
        <sz val="10"/>
        <color theme="1"/>
        <rFont val="Calibri"/>
        <family val="2"/>
        <scheme val="minor"/>
      </rPr>
      <t>Storm water management.</t>
    </r>
    <r>
      <rPr>
        <sz val="10"/>
        <color theme="1"/>
        <rFont val="Calibri"/>
        <family val="2"/>
        <scheme val="minor"/>
      </rPr>
      <t xml:space="preserve"> A storm water management design includes one or more of the following low-impact development techniques:
</t>
    </r>
    <r>
      <rPr>
        <b/>
        <u/>
        <sz val="10"/>
        <color theme="1"/>
        <rFont val="Calibri"/>
        <family val="2"/>
        <scheme val="minor"/>
      </rPr>
      <t>Claim points for all that apply from (1)-(6) below:</t>
    </r>
  </si>
  <si>
    <t>Facilities that minimize concentrated flows and simulate flows found in natural hydrology by the use of vegetative swales, french drains, wetlands, drywells, rain gardens, and similar infiltration features.</t>
  </si>
  <si>
    <t>2 points</t>
  </si>
  <si>
    <t>A minimum of 50 percent of the roof is vegetated (green roof) using technology capable of withstanding the climate conditions of the jurisdiction and the microclimate conditions of the building site. Invasive plant species are not permitted.</t>
  </si>
  <si>
    <t>Stormwater management practices that manage rainfall on-site and prevent the off-site discharge from all storms up to and including the volume of the 95th percentile storm event.</t>
  </si>
  <si>
    <t>Conduct a hydrologic analysis that results in the design of a stormwater management system that maintains the pre-development (stable, natural) runoff hydrology of the site throughout the development or redevelopment process. Post-construction runoff rate, volume, and duration cannot exceed predevelopment rates.</t>
  </si>
  <si>
    <t>503.4_3</t>
  </si>
  <si>
    <t>Where a lot is less than 50% turf, a plan is formulated to restore or enhance natural vegetation that is cleared during construction. Landscaping is phased to coincide with achievement of final grades to ensure denuded areas are quickly vegetated.</t>
  </si>
  <si>
    <t>Turf grass species, other vegetation, and trees are selected and specified on the lot plan that are native or regionally appropriate for local growing conditions.</t>
  </si>
  <si>
    <r>
      <t xml:space="preserve">The percentage of turf areas that is designed to be mowed is limited and shown on the lot plan. The percentage is based on the landscaped area of the lot not including the home footprint, hardscape, and any undisturbed natural areas.
</t>
    </r>
    <r>
      <rPr>
        <b/>
        <u/>
        <sz val="10"/>
        <color theme="1"/>
        <rFont val="Calibri"/>
        <family val="2"/>
        <scheme val="minor"/>
      </rPr>
      <t>Claim points for only one from (a)-(d) below:</t>
    </r>
  </si>
  <si>
    <t>d</t>
  </si>
  <si>
    <t>0% or EPA WaterSense Water Budget Tool is used to determine the maximum percentage of turf areas</t>
  </si>
  <si>
    <t>greater than 0% to less than 20%</t>
  </si>
  <si>
    <t>40% to 60%</t>
  </si>
  <si>
    <t>20% to less than 40%</t>
  </si>
  <si>
    <t>503.5_3</t>
  </si>
  <si>
    <t>Plants and gardens that will encourage wildlife, such as bird and butterfly gardens.</t>
  </si>
  <si>
    <t>Inclusion of a certified “backyard wildlife” program.</t>
  </si>
  <si>
    <t>Lots are adjacent to wildlife corridors, fish and game parks, or preserved areas and are designed with regard for this relationship.</t>
  </si>
  <si>
    <t>Outdoor lighting techniques are utilized with regard for wildlife.</t>
  </si>
  <si>
    <t>The lot does not contain any environmentally sensitive areas that are disturbed by the construction.</t>
  </si>
  <si>
    <r>
      <rPr>
        <b/>
        <sz val="10"/>
        <color theme="1"/>
        <rFont val="Calibri"/>
        <family val="2"/>
        <scheme val="minor"/>
      </rPr>
      <t>Environmentally sensitive areas</t>
    </r>
    <r>
      <rPr>
        <sz val="10"/>
        <color theme="1"/>
        <rFont val="Calibri"/>
        <family val="2"/>
        <scheme val="minor"/>
      </rPr>
      <t xml:space="preserve">. Environmentally sensitive areas.
</t>
    </r>
    <r>
      <rPr>
        <b/>
        <u/>
        <sz val="10"/>
        <color theme="1"/>
        <rFont val="Calibri"/>
        <family val="2"/>
        <scheme val="minor"/>
      </rPr>
      <t>Claim points for all that apply from (1)-(2) below:</t>
    </r>
  </si>
  <si>
    <r>
      <rPr>
        <b/>
        <sz val="10"/>
        <color theme="1"/>
        <rFont val="Calibri"/>
        <family val="2"/>
        <scheme val="minor"/>
      </rPr>
      <t>Intent</t>
    </r>
    <r>
      <rPr>
        <sz val="10"/>
        <color theme="1"/>
        <rFont val="Calibri"/>
        <family val="2"/>
        <scheme val="minor"/>
      </rPr>
      <t>. Environmental impact during construction is avoided to the extent possible; impacts that do occur are minimized, and any significant impacts are mitigated.</t>
    </r>
  </si>
  <si>
    <r>
      <rPr>
        <b/>
        <sz val="10"/>
        <color theme="1"/>
        <rFont val="Calibri"/>
        <family val="2"/>
        <scheme val="minor"/>
      </rPr>
      <t>On-site supervision and coordination</t>
    </r>
    <r>
      <rPr>
        <sz val="10"/>
        <color theme="1"/>
        <rFont val="Calibri"/>
        <family val="2"/>
        <scheme val="minor"/>
      </rPr>
      <t>. On-site supervision and coordination is provided during clearing, grading, trenching, paving on the lot, and installation of utilities on the lot to ensure that specified green development practices are implemented. (also see Section 503.3)</t>
    </r>
  </si>
  <si>
    <r>
      <t>Trees and vegetation</t>
    </r>
    <r>
      <rPr>
        <sz val="10"/>
        <color theme="1"/>
        <rFont val="Calibri"/>
        <family val="2"/>
        <scheme val="minor"/>
      </rPr>
      <t xml:space="preserve">. Designated trees and vegetation are preserved by one or more of the following:
</t>
    </r>
    <r>
      <rPr>
        <b/>
        <u/>
        <sz val="10"/>
        <color theme="1"/>
        <rFont val="Calibri"/>
        <family val="2"/>
        <scheme val="minor"/>
      </rPr>
      <t>Claim points for all that apply from (1)-(3) below:</t>
    </r>
  </si>
  <si>
    <t>Trenching, significant changes in grade, and compaction of soil and critical root zones in all “tree save” areas as shown on the lot plan are avoided.</t>
  </si>
  <si>
    <r>
      <rPr>
        <b/>
        <sz val="10"/>
        <color theme="1"/>
        <rFont val="Calibri"/>
        <family val="2"/>
        <scheme val="minor"/>
      </rPr>
      <t>Soil disturbance and erosion implementation</t>
    </r>
    <r>
      <rPr>
        <sz val="10"/>
        <color theme="1"/>
        <rFont val="Calibri"/>
        <family val="2"/>
        <scheme val="minor"/>
      </rPr>
      <t xml:space="preserve">. On-site soil disturbance and erosion are minimized by one or more of the following in accordance with the SWPPP or applicable plan: (also see Section 503.3)
</t>
    </r>
    <r>
      <rPr>
        <b/>
        <u/>
        <sz val="10"/>
        <color theme="1"/>
        <rFont val="Calibri"/>
        <family val="2"/>
        <scheme val="minor"/>
      </rPr>
      <t>Claim points for all that apply from (1)-(9) below:</t>
    </r>
  </si>
  <si>
    <t>Sediment and erosion controls are installed on the lot and maintained in accordance with the storm water pollution prevention plan, where required.</t>
  </si>
  <si>
    <t>Limits of clearing and grading are staked out on the lot.</t>
  </si>
  <si>
    <t>“No disturbance” zones are created using fencing or flagging to protect vegetation and sensitive areas on the lot from construction activity.</t>
  </si>
  <si>
    <t>Topsoil from either the lot or the site development is stockpiled and stabilized for later use and used to establish landscape plantings on the lot.</t>
  </si>
  <si>
    <t>Disturbed areas on the lot that are complete or to be left unworked for 21 days or more are stabilized within 14 days using methods as recommended by the EPA, or in the approved storm water pollution prevention plan, where required.</t>
  </si>
  <si>
    <t>Utilities on the lot are installed using one or more alternative means (e.g., tunneling instead of trenching, use of smaller equipment, use of low ground pressure equipment, use of geomats, shared utility trenches or easements).</t>
  </si>
  <si>
    <t>Inspection reports of storm water best management practices are available.</t>
  </si>
  <si>
    <r>
      <rPr>
        <b/>
        <sz val="10"/>
        <color theme="1"/>
        <rFont val="Calibri"/>
        <family val="2"/>
        <scheme val="minor"/>
      </rPr>
      <t>Intent</t>
    </r>
    <r>
      <rPr>
        <sz val="10"/>
        <color theme="1"/>
        <rFont val="Calibri"/>
        <family val="2"/>
        <scheme val="minor"/>
      </rPr>
      <t>. Innovative lot design, preparation and development practices are used to enhance environmental performance. Waivers or variances from local development regulations are obtained, and innovative zoning practices are used to implement such practices.</t>
    </r>
  </si>
  <si>
    <r>
      <rPr>
        <b/>
        <sz val="10"/>
        <color theme="1"/>
        <rFont val="Calibri"/>
        <family val="2"/>
        <scheme val="minor"/>
      </rPr>
      <t>Driveways or parking areas</t>
    </r>
    <r>
      <rPr>
        <sz val="10"/>
        <color theme="1"/>
        <rFont val="Calibri"/>
        <family val="2"/>
        <scheme val="minor"/>
      </rPr>
      <t>. Driveways and parking areas are minimized by one or more of the following:</t>
    </r>
  </si>
  <si>
    <t>Off-street parking areas are shared or driveways are shared. Waivers or variances from local development regulations are obtained to implement such practices, if required.</t>
  </si>
  <si>
    <t>In a multi-unit project, parking capacity is not to exceed the local minimum requirements.</t>
  </si>
  <si>
    <t>Structured parking is utilized to reduce the footprint of surface parking areas.</t>
  </si>
  <si>
    <t>50% to 75%</t>
  </si>
  <si>
    <t>5 points</t>
  </si>
  <si>
    <t>505.1_3</t>
  </si>
  <si>
    <r>
      <rPr>
        <b/>
        <sz val="10"/>
        <color theme="1"/>
        <rFont val="Calibri"/>
        <family val="2"/>
        <scheme val="minor"/>
      </rPr>
      <t>Hardscape:</t>
    </r>
    <r>
      <rPr>
        <sz val="10"/>
        <color theme="1"/>
        <rFont val="Calibri"/>
        <family val="2"/>
        <scheme val="minor"/>
      </rPr>
      <t xml:space="preserve"> Not less than 50 percent of the surface area of the hardscape on the lot meets one or a combination of the following methods.
     (a) Shading of hardscaping: Shade is provided from existing or new vegetation (within five years) or from trellises. Shade of hardscaping is to be measured on the summer solstice at noon.
     (b) Light-colored hardscaping: Horizontal hardscaping materials are installed with a solar reflectance index (SRI) of 29 or greater. The SRI shall be calculated in accordance with ASTM E1980. A default SRI value of 35 for new concrete without added color pigment is allowed to be used instead of measurements.
     (c) Permeable hardscaping: Permeable hardscaping materials are installed.</t>
    </r>
  </si>
  <si>
    <r>
      <rPr>
        <b/>
        <sz val="10"/>
        <color theme="1"/>
        <rFont val="Calibri"/>
        <family val="2"/>
        <scheme val="minor"/>
      </rPr>
      <t>Roofs:</t>
    </r>
    <r>
      <rPr>
        <sz val="10"/>
        <color theme="1"/>
        <rFont val="Calibri"/>
        <family val="2"/>
        <scheme val="minor"/>
      </rPr>
      <t xml:space="preserve"> Not less than 75 percent of the exposed surface of the roof meets one or a combination of the following methods.
     (a) Minimum initial SRI of 78 for a low-sloped roof (a slope less than or equal to 2:12) and a minimum initial (SRI) of 29 for a steep-sloped roof (a slope of more than 2:12). The SRI shall be calculated in accordance with ASTM E1980. Roof products shall be labeled and certified.
     (b) Roof is vegetated using technology capable of withstanding the climate conditions of the jurisdiction and the microclimate conditions of the building site. Invasive plant species are not permitted.</t>
    </r>
  </si>
  <si>
    <r>
      <rPr>
        <b/>
        <sz val="10"/>
        <color theme="1"/>
        <rFont val="Calibri"/>
        <family val="2"/>
        <scheme val="minor"/>
      </rPr>
      <t>Density.</t>
    </r>
    <r>
      <rPr>
        <sz val="10"/>
        <color theme="1"/>
        <rFont val="Calibri"/>
        <family val="2"/>
        <scheme val="minor"/>
      </rPr>
      <t xml:space="preserve"> The average density on the lot on a net developable area basis is:</t>
    </r>
  </si>
  <si>
    <r>
      <rPr>
        <b/>
        <sz val="10"/>
        <color theme="1"/>
        <rFont val="Calibri"/>
        <family val="2"/>
        <scheme val="minor"/>
      </rPr>
      <t>Mixed-use development.</t>
    </r>
    <r>
      <rPr>
        <sz val="10"/>
        <color theme="1"/>
        <rFont val="Calibri"/>
        <family val="2"/>
        <scheme val="minor"/>
      </rPr>
      <t xml:space="preserve"> The lot contains a mixed-use building.</t>
    </r>
  </si>
  <si>
    <r>
      <rPr>
        <b/>
        <sz val="10"/>
        <color theme="1"/>
        <rFont val="Calibri"/>
        <family val="2"/>
        <scheme val="minor"/>
      </rPr>
      <t>Community garden(s).</t>
    </r>
    <r>
      <rPr>
        <sz val="10"/>
        <color theme="1"/>
        <rFont val="Calibri"/>
        <family val="2"/>
        <scheme val="minor"/>
      </rPr>
      <t xml:space="preserve"> A portion of the lot is established as a community garden(s), available to residents of the lot, to provide for local food production to residents or area consumers.</t>
    </r>
  </si>
  <si>
    <r>
      <t>7 to less than 14 dwelling units per acre (per 4047 m</t>
    </r>
    <r>
      <rPr>
        <vertAlign val="superscript"/>
        <sz val="10"/>
        <color theme="1"/>
        <rFont val="Calibri"/>
        <family val="2"/>
        <scheme val="minor"/>
      </rPr>
      <t>2</t>
    </r>
    <r>
      <rPr>
        <sz val="10"/>
        <color theme="1"/>
        <rFont val="Calibri"/>
        <family val="2"/>
        <scheme val="minor"/>
      </rPr>
      <t>)</t>
    </r>
  </si>
  <si>
    <r>
      <t>14 to less than 21 dwelling units per acre (per 4047 m</t>
    </r>
    <r>
      <rPr>
        <vertAlign val="superscript"/>
        <sz val="10"/>
        <color theme="1"/>
        <rFont val="Calibri"/>
        <family val="2"/>
        <scheme val="minor"/>
      </rPr>
      <t>2</t>
    </r>
    <r>
      <rPr>
        <sz val="10"/>
        <color theme="1"/>
        <rFont val="Calibri"/>
        <family val="2"/>
        <scheme val="minor"/>
      </rPr>
      <t>)</t>
    </r>
  </si>
  <si>
    <r>
      <t>21 or greater dwelling units per acre (per 4047 m</t>
    </r>
    <r>
      <rPr>
        <vertAlign val="superscript"/>
        <sz val="10"/>
        <color theme="1"/>
        <rFont val="Calibri"/>
        <family val="2"/>
        <scheme val="minor"/>
      </rPr>
      <t>2</t>
    </r>
    <r>
      <rPr>
        <sz val="10"/>
        <color theme="1"/>
        <rFont val="Calibri"/>
        <family val="2"/>
        <scheme val="minor"/>
      </rPr>
      <t>)</t>
    </r>
  </si>
  <si>
    <t>8 points</t>
  </si>
  <si>
    <t>11 points</t>
  </si>
  <si>
    <t>Foundation Types</t>
  </si>
  <si>
    <t>HVAC Systems</t>
  </si>
  <si>
    <t>Heating Fuel</t>
  </si>
  <si>
    <t>Renewable Energy</t>
  </si>
  <si>
    <t>Thermal Envelope Insulation</t>
  </si>
  <si>
    <t>Attic Type</t>
  </si>
  <si>
    <t>Solid Fuel Burning Applicance</t>
  </si>
  <si>
    <t>Attached Garage</t>
  </si>
  <si>
    <t>Recessed Lighting</t>
  </si>
  <si>
    <t>Passive Solar</t>
  </si>
  <si>
    <t>Mass Walls</t>
  </si>
  <si>
    <t>Tankless Water Heater</t>
  </si>
  <si>
    <t>Composting Toilet</t>
  </si>
  <si>
    <t>Basement</t>
  </si>
  <si>
    <t>Furnace</t>
  </si>
  <si>
    <t>Gas</t>
  </si>
  <si>
    <t>Photovoltaic</t>
  </si>
  <si>
    <t>None</t>
  </si>
  <si>
    <t>Wood Burning Fireplace</t>
  </si>
  <si>
    <t>Yes</t>
  </si>
  <si>
    <t>Boiler</t>
  </si>
  <si>
    <t>Propane</t>
  </si>
  <si>
    <t>Solar Hot Water</t>
  </si>
  <si>
    <t>Cellulose</t>
  </si>
  <si>
    <t>Vented</t>
  </si>
  <si>
    <t>Wood Stove</t>
  </si>
  <si>
    <t>No</t>
  </si>
  <si>
    <t>Heat Pump</t>
  </si>
  <si>
    <t>Oil</t>
  </si>
  <si>
    <t>Solar Heating</t>
  </si>
  <si>
    <t>Rigid Foam</t>
  </si>
  <si>
    <t>Sealed</t>
  </si>
  <si>
    <t>Pellet Furnace</t>
  </si>
  <si>
    <t>Electric Resistance</t>
  </si>
  <si>
    <t>Wind</t>
  </si>
  <si>
    <t>Spray Foam</t>
  </si>
  <si>
    <t>Masonry Heater</t>
  </si>
  <si>
    <t>Ground Source Heat Pump</t>
  </si>
  <si>
    <t>Other</t>
  </si>
  <si>
    <t>Wood/Biomass</t>
  </si>
  <si>
    <t>Drop Downs - Start Here!</t>
  </si>
  <si>
    <t>Drop Downs - Chapter 5</t>
  </si>
  <si>
    <t>Version</t>
  </si>
  <si>
    <t>This workbook may be updated periodically.  Before scoring a project, always check to see if you have the latest version.</t>
  </si>
  <si>
    <t xml:space="preserve">Last revision: </t>
  </si>
  <si>
    <t>See the Errata worksheet for a list of versions &amp; corrections.</t>
  </si>
  <si>
    <t>Introduction</t>
  </si>
  <si>
    <t>Builder Name:</t>
  </si>
  <si>
    <t>Builder Phone Number:</t>
  </si>
  <si>
    <t>Physical Address of Home:</t>
  </si>
  <si>
    <t>City:</t>
  </si>
  <si>
    <t>State:</t>
  </si>
  <si>
    <t>Zip:</t>
  </si>
  <si>
    <t>Community/Lot #:</t>
  </si>
  <si>
    <t>The project I am scoring is:</t>
  </si>
  <si>
    <t>Project's Climate Zone:</t>
  </si>
  <si>
    <t>See Climate Zone Map.</t>
  </si>
  <si>
    <t>Square Footage:</t>
  </si>
  <si>
    <t>s.f.</t>
  </si>
  <si>
    <t xml:space="preserve">Project Description (optional): </t>
  </si>
  <si>
    <t>Foundation Type:</t>
  </si>
  <si>
    <t>Type of HVAC System:</t>
  </si>
  <si>
    <t>Heating Fuel:</t>
  </si>
  <si>
    <t>Renewable Energy:</t>
  </si>
  <si>
    <t>Thermal Envelope Insulation:</t>
  </si>
  <si>
    <t>Attic Type:</t>
  </si>
  <si>
    <t>Solid Fuel Burning Applicance:</t>
  </si>
  <si>
    <t>Attached Garage:</t>
  </si>
  <si>
    <t>Recessed Lighting:</t>
  </si>
  <si>
    <t>Special Design Features:</t>
  </si>
  <si>
    <t>Passive Solar:</t>
  </si>
  <si>
    <t>Tankless Water Heater:</t>
  </si>
  <si>
    <t>Mass Walls:</t>
  </si>
  <si>
    <t>Composting Toilet:</t>
  </si>
  <si>
    <t>Key</t>
  </si>
  <si>
    <t>This indicates a calculation. This type of cell will calculate points based on data entered in other cells.  Do not try to enter a value in this type of cell.</t>
  </si>
  <si>
    <t>NOTE</t>
  </si>
  <si>
    <t>This indicates a special warning or instruction for scoring.  Read all cells like this very carefully.</t>
  </si>
  <si>
    <t>Instructions</t>
  </si>
  <si>
    <t>The scoring status is available at the top of each worksheet for Chapters 5-10.  This is for reference only.  Review the Scoring Analysis worksheet carefully for a detailed report of your project's status.</t>
  </si>
  <si>
    <t>The Approved Products column displays links when Green Approved Products are available for practices. Click “See Products” to review relevant products on the Green Approved Products website. An internet connection is required.</t>
  </si>
  <si>
    <t>The Designer’s Report worksheet does not allow for any data entry: it is a reflection of the data recorded in the worksheets for Chapters 5-10 and the Start Here! page.  It also reports scoring errors and missing Mandatory conditions.  To change the data on the Designer’s Report, you must make your changes on the worksheets for Chapters 5-10 and the Start Here! page.</t>
  </si>
  <si>
    <t>For advanced users of Excel, filtering has been incorporated into the Designer’s Report. If you are not familiar with filtering in Excel, please see the Help option for the Excel software.</t>
  </si>
  <si>
    <t>This spreadsheet is saved at a default magnification of 100%. If the widths of the worksheets do not fit on your computer screen, adjust the magnification or zoom in Excel until it is a size that works for you. Please note that adjusting the magnification may cut off text in some cells. Adjust the row height if this happens.</t>
  </si>
  <si>
    <t>Single or Multi</t>
  </si>
  <si>
    <t>Single-Family</t>
  </si>
  <si>
    <t>Multi-Unit</t>
  </si>
  <si>
    <t>Climate Zone</t>
  </si>
  <si>
    <t>Scoring Dashboard</t>
  </si>
  <si>
    <t>Project Level</t>
  </si>
  <si>
    <t>Bronze Min</t>
  </si>
  <si>
    <t>Gold Minimum</t>
  </si>
  <si>
    <t>Silver Minimum</t>
  </si>
  <si>
    <t>Emerald Minimum</t>
  </si>
  <si>
    <t>Final Level Reached</t>
  </si>
  <si>
    <t>Sublevel Reached</t>
  </si>
  <si>
    <t>Project Total Points</t>
  </si>
  <si>
    <t xml:space="preserve"> is the Project Total</t>
  </si>
  <si>
    <t>Chapter 5</t>
  </si>
  <si>
    <t>Chapter 6</t>
  </si>
  <si>
    <t>Chapter 8</t>
  </si>
  <si>
    <t>Chapter 9</t>
  </si>
  <si>
    <t>Chapter 10</t>
  </si>
  <si>
    <t>Chapter 7</t>
  </si>
  <si>
    <t>Chapter 6: Resource Efficiency</t>
  </si>
  <si>
    <t>Points Claimed</t>
  </si>
  <si>
    <t>Required Documentation</t>
  </si>
  <si>
    <t>601 - Quality of Construction Materials and Waste</t>
  </si>
  <si>
    <r>
      <t>less than or equal to 1,000 square feet (93 m</t>
    </r>
    <r>
      <rPr>
        <vertAlign val="superscript"/>
        <sz val="10"/>
        <rFont val="Calibri"/>
        <family val="2"/>
        <scheme val="minor"/>
      </rPr>
      <t>2</t>
    </r>
    <r>
      <rPr>
        <sz val="10"/>
        <rFont val="Calibri"/>
        <family val="2"/>
        <scheme val="minor"/>
      </rPr>
      <t>)</t>
    </r>
  </si>
  <si>
    <r>
      <t>less than or equal to 1,500 square feet (139 m</t>
    </r>
    <r>
      <rPr>
        <vertAlign val="superscript"/>
        <sz val="10"/>
        <rFont val="Calibri"/>
        <family val="2"/>
        <scheme val="minor"/>
      </rPr>
      <t>2</t>
    </r>
    <r>
      <rPr>
        <sz val="10"/>
        <rFont val="Calibri"/>
        <family val="2"/>
        <scheme val="minor"/>
      </rPr>
      <t>)</t>
    </r>
  </si>
  <si>
    <r>
      <t>less than or equal to 2,000 square feet (186 m</t>
    </r>
    <r>
      <rPr>
        <vertAlign val="superscript"/>
        <sz val="10"/>
        <rFont val="Calibri"/>
        <family val="2"/>
        <scheme val="minor"/>
      </rPr>
      <t>2</t>
    </r>
    <r>
      <rPr>
        <sz val="10"/>
        <rFont val="Calibri"/>
        <family val="2"/>
        <scheme val="minor"/>
      </rPr>
      <t>)</t>
    </r>
  </si>
  <si>
    <r>
      <t>less than or equal to 2,500 square feet (232 m</t>
    </r>
    <r>
      <rPr>
        <vertAlign val="superscript"/>
        <sz val="10"/>
        <rFont val="Calibri"/>
        <family val="2"/>
        <scheme val="minor"/>
      </rPr>
      <t>2</t>
    </r>
    <r>
      <rPr>
        <sz val="10"/>
        <rFont val="Calibri"/>
        <family val="2"/>
        <scheme val="minor"/>
      </rPr>
      <t>)</t>
    </r>
  </si>
  <si>
    <r>
      <rPr>
        <b/>
        <sz val="10"/>
        <rFont val="Calibri"/>
        <family val="2"/>
        <scheme val="minor"/>
      </rPr>
      <t>Building dimensions and layouts.</t>
    </r>
    <r>
      <rPr>
        <sz val="10"/>
        <rFont val="Calibri"/>
        <family val="2"/>
        <scheme val="minor"/>
      </rPr>
      <t xml:space="preserve"> Building dimensions and layouts are designed to reduce material cuts &amp; waste. This practice is used for a minimum of 80% of the following areas:
</t>
    </r>
    <r>
      <rPr>
        <b/>
        <u/>
        <sz val="10"/>
        <rFont val="Calibri"/>
        <family val="2"/>
        <scheme val="minor"/>
      </rPr>
      <t>Claim points for all that apply from (1)-(5) below:</t>
    </r>
  </si>
  <si>
    <t>Floor area</t>
  </si>
  <si>
    <t>Wall area</t>
  </si>
  <si>
    <t>Roof area</t>
  </si>
  <si>
    <t>Cladding or siding area</t>
  </si>
  <si>
    <t>Penetrations or trim area</t>
  </si>
  <si>
    <r>
      <rPr>
        <b/>
        <sz val="10"/>
        <rFont val="Calibri"/>
        <family val="2"/>
        <scheme val="minor"/>
      </rPr>
      <t>Framing and structural plans.</t>
    </r>
    <r>
      <rPr>
        <sz val="10"/>
        <rFont val="Calibri"/>
        <family val="2"/>
        <scheme val="minor"/>
      </rPr>
      <t xml:space="preserve"> Detailed framing or structural plans, material quantity lists and on-site cut lists for framing, structural materials, and sheathing materials are provided.</t>
    </r>
  </si>
  <si>
    <r>
      <rPr>
        <b/>
        <sz val="10"/>
        <rFont val="Calibri"/>
        <family val="2"/>
        <scheme val="minor"/>
      </rPr>
      <t>Prefabricated components.</t>
    </r>
    <r>
      <rPr>
        <sz val="10"/>
        <rFont val="Calibri"/>
        <family val="2"/>
        <scheme val="minor"/>
      </rPr>
      <t xml:space="preserve"> Precut, preassembled, panelized, or precast assemblies are utilized for a minimum of 90% for the following system or building.</t>
    </r>
  </si>
  <si>
    <r>
      <rPr>
        <b/>
        <sz val="10"/>
        <color rgb="FFFF0000"/>
        <rFont val="Calibri"/>
        <family val="2"/>
      </rPr>
      <t>NOTE:</t>
    </r>
    <r>
      <rPr>
        <sz val="10"/>
        <rFont val="Calibri"/>
        <family val="2"/>
      </rPr>
      <t xml:space="preserve"> Points can be  claimed for 601.5(1), 601.5(2), and/or 601.5(3) OR 601.5(4) OR 601.5(5).</t>
    </r>
  </si>
  <si>
    <t>floor system</t>
  </si>
  <si>
    <t>wall system</t>
  </si>
  <si>
    <t>roof system</t>
  </si>
  <si>
    <t>Modular construction for the entire building located above grade.</t>
  </si>
  <si>
    <t>Manufactured home construction for the entire building located above grade.</t>
  </si>
  <si>
    <r>
      <rPr>
        <b/>
        <sz val="10"/>
        <rFont val="Calibri"/>
        <family val="2"/>
        <scheme val="minor"/>
      </rPr>
      <t>Stacked stories.</t>
    </r>
    <r>
      <rPr>
        <sz val="10"/>
        <rFont val="Calibri"/>
        <family val="2"/>
        <scheme val="minor"/>
      </rPr>
      <t xml:space="preserve"> Stories above grade are stacked, such as in 1½-story, 2-story, or greater structures.  The area of the upper story is a minimum of 50% of the area of the story below, based on areas with a minimum ceiling height of 7 feet (2134 mm).
</t>
    </r>
    <r>
      <rPr>
        <b/>
        <u/>
        <sz val="10"/>
        <rFont val="Calibri"/>
        <family val="2"/>
        <scheme val="minor"/>
      </rPr>
      <t>Claim points for only one from (1)-(3) below:</t>
    </r>
  </si>
  <si>
    <t>1 stacked story</t>
  </si>
  <si>
    <t>2 stacked stories</t>
  </si>
  <si>
    <t>3 stacked stories</t>
  </si>
  <si>
    <t>12 points max.</t>
  </si>
  <si>
    <r>
      <rPr>
        <b/>
        <sz val="10"/>
        <rFont val="Calibri"/>
        <family val="2"/>
        <scheme val="minor"/>
      </rPr>
      <t>Above grade wall systems.</t>
    </r>
    <r>
      <rPr>
        <sz val="10"/>
        <rFont val="Calibri"/>
        <family val="2"/>
        <scheme val="minor"/>
      </rPr>
      <t xml:space="preserve"> One or more of the following above grade wall systems that provide sufficient structural and thermal characteristics are used for a minimum of 75% of the gross exterior wall area of the building:
     (1) adobe
     (2) concrete and/or masonry
     (3) logs
     (4) rammed earth</t>
    </r>
  </si>
  <si>
    <t>602 - Enhanced Durability and Reduced Maintenance</t>
  </si>
  <si>
    <t>See Figure 6(2)</t>
  </si>
  <si>
    <r>
      <t>Inches Rainfall</t>
    </r>
    <r>
      <rPr>
        <b/>
        <vertAlign val="superscript"/>
        <sz val="10"/>
        <color theme="0"/>
        <rFont val="Calibri"/>
        <family val="2"/>
        <scheme val="minor"/>
      </rPr>
      <t>1</t>
    </r>
  </si>
  <si>
    <t>Eave Overhang (Inches)</t>
  </si>
  <si>
    <t>Rake Overhang (Inches)</t>
  </si>
  <si>
    <t>41 to 70</t>
  </si>
  <si>
    <t>More than 70</t>
  </si>
  <si>
    <t>Foundation Drainage</t>
  </si>
  <si>
    <t>Where required by the ICC IRC or IBC for habitable and usable spaces below grade, exterior drain tile is installed.</t>
  </si>
  <si>
    <t>Mandatory, if applicable.</t>
  </si>
  <si>
    <t>Interior and exterior foundation perimeter drains are installed and sloped to discharge to daylight, dry well, or sump pit.</t>
  </si>
  <si>
    <r>
      <rPr>
        <b/>
        <sz val="10"/>
        <rFont val="Calibri"/>
        <family val="2"/>
        <scheme val="minor"/>
      </rPr>
      <t>Roof water discharge.</t>
    </r>
    <r>
      <rPr>
        <sz val="10"/>
        <rFont val="Calibri"/>
        <family val="2"/>
        <scheme val="minor"/>
      </rPr>
      <t xml:space="preserve"> A gutter and downspout system or splash blocks and effective grading are provided to carry water a minimum of 5 feet (1524 mm) away from perimeter foundation walls.</t>
    </r>
  </si>
  <si>
    <r>
      <rPr>
        <b/>
        <sz val="10"/>
        <rFont val="Calibri"/>
        <family val="2"/>
        <scheme val="minor"/>
      </rPr>
      <t>Termite barrier.</t>
    </r>
    <r>
      <rPr>
        <sz val="10"/>
        <rFont val="Calibri"/>
        <family val="2"/>
        <scheme val="minor"/>
      </rPr>
      <t xml:space="preserve"> Continuous physical foundation termite barrier used with or without low toxicity treatment is installed in geographical areas that have subterranean termite infestation potential determined in accordance with Figure 6(3).
</t>
    </r>
  </si>
  <si>
    <t>See Figure 6(3).</t>
  </si>
  <si>
    <r>
      <rPr>
        <b/>
        <sz val="10"/>
        <color rgb="FFFF0000"/>
        <rFont val="Calibri"/>
        <family val="2"/>
        <scheme val="minor"/>
      </rPr>
      <t>NOTE:</t>
    </r>
    <r>
      <rPr>
        <sz val="10"/>
        <rFont val="Calibri"/>
        <family val="2"/>
        <scheme val="minor"/>
      </rPr>
      <t xml:space="preserve"> Points awarded for dwellings in Very Heavy, Moderate to Heavy, and Slight to Moderate areas.  No points awarded for dwellings in None to Slight areas.</t>
    </r>
  </si>
  <si>
    <r>
      <rPr>
        <b/>
        <sz val="10"/>
        <rFont val="Calibri"/>
        <family val="2"/>
        <scheme val="minor"/>
      </rPr>
      <t>Termite-resistant materials.</t>
    </r>
    <r>
      <rPr>
        <sz val="10"/>
        <rFont val="Calibri"/>
        <family val="2"/>
        <scheme val="minor"/>
      </rPr>
      <t xml:space="preserve"> Termite-resistant materials are used as follows:
</t>
    </r>
    <r>
      <rPr>
        <b/>
        <u/>
        <sz val="10"/>
        <rFont val="Calibri"/>
        <family val="2"/>
        <scheme val="minor"/>
      </rPr>
      <t>Claim points for only one from (1)-(3) below:</t>
    </r>
  </si>
  <si>
    <t xml:space="preserve">In areas of slight to moderate termite infestion probability (as defined by Figure 6(3)) for the foundation, all structural walls, floors, concealed roof spaces not accessible for inspection, exterior decks, and exterior claddings within the first 2 feet (610 mm) above the top of the foundation. </t>
  </si>
  <si>
    <t xml:space="preserve">In areas of moderate to heavy termite infestion probability (as defined by Figure 6(3)) for the foundation, all structural walls, floors, concealed roof spaces not accessible for inspection, exterior decks, and exterior claddings within the first 3 feet (914 mm) above the top of the foundation. </t>
  </si>
  <si>
    <t xml:space="preserve">In areas of very heavy termite infestion probability [as defined by Figure 6(3)] for the foundation, all structural walls, floors, concealed roof spaces not accessible for inspection, exterior decks, and exterior claddings. </t>
  </si>
  <si>
    <r>
      <rPr>
        <b/>
        <sz val="10"/>
        <rFont val="Calibri"/>
        <family val="2"/>
        <scheme val="minor"/>
      </rPr>
      <t>Water-resistive barrier.</t>
    </r>
    <r>
      <rPr>
        <sz val="10"/>
        <rFont val="Calibri"/>
        <family val="2"/>
        <scheme val="minor"/>
      </rPr>
      <t xml:space="preserve"> Where required by the ICC IRC or IBC, a water-resistive barrier and/or drainage plane system is installed behind exterior veneer and/or siding.</t>
    </r>
  </si>
  <si>
    <r>
      <rPr>
        <b/>
        <sz val="10"/>
        <rFont val="Calibri"/>
        <family val="2"/>
        <scheme val="minor"/>
      </rPr>
      <t>Ice barrier.</t>
    </r>
    <r>
      <rPr>
        <sz val="10"/>
        <rFont val="Calibri"/>
        <family val="2"/>
        <scheme val="minor"/>
      </rPr>
      <t xml:space="preserve"> In areas where there has been a history of ice forming along the eaves causing a backup of water, an ice barrier is installed in accordance with the ICC IRC or IBC at roof eaves and extends at a minimum of 24 inches (610 mm) inside the exterior wall line of the building.</t>
    </r>
  </si>
  <si>
    <r>
      <rPr>
        <b/>
        <sz val="10"/>
        <rFont val="Calibri"/>
        <family val="2"/>
        <scheme val="minor"/>
      </rPr>
      <t>Foundation Waterproofing.</t>
    </r>
    <r>
      <rPr>
        <sz val="10"/>
        <rFont val="Calibri"/>
        <family val="2"/>
        <scheme val="minor"/>
      </rPr>
      <t xml:space="preserve"> Enhanced foundation waterproofing is installed:
     (1) rubberized coating, or
     (2) drainage mat</t>
    </r>
  </si>
  <si>
    <r>
      <rPr>
        <b/>
        <sz val="10"/>
        <rFont val="Calibri"/>
        <family val="2"/>
        <scheme val="minor"/>
      </rPr>
      <t>Recycling.</t>
    </r>
    <r>
      <rPr>
        <sz val="10"/>
        <rFont val="Calibri"/>
        <family val="2"/>
        <scheme val="minor"/>
      </rPr>
      <t xml:space="preserve"> Occupant recycling is facilitated by one or more of the following methods:
</t>
    </r>
    <r>
      <rPr>
        <b/>
        <u/>
        <sz val="10"/>
        <rFont val="Calibri"/>
        <family val="2"/>
        <scheme val="minor"/>
      </rPr>
      <t>Claim points for all that apply from (1)-(2) below:</t>
    </r>
  </si>
  <si>
    <t>A built-in collection space in each kitchen and an aggregation/pick-up space in a garage, covered outdoor space, or other area for recycling containers.</t>
  </si>
  <si>
    <t>Compost facility provided on-site.</t>
  </si>
  <si>
    <t>603 - Reused or Salvaged Materials</t>
  </si>
  <si>
    <t>Points per Table 603.1</t>
  </si>
  <si>
    <t>Table 603.1</t>
  </si>
  <si>
    <t>Square Feet</t>
  </si>
  <si>
    <t>Points</t>
  </si>
  <si>
    <t>200 - &lt;400</t>
  </si>
  <si>
    <t>400 - &lt;600</t>
  </si>
  <si>
    <t>600 - &lt;800</t>
  </si>
  <si>
    <t>800 - &lt;1000</t>
  </si>
  <si>
    <t>1000 - &lt;1200</t>
  </si>
  <si>
    <t>1200 - &lt;1400</t>
  </si>
  <si>
    <t>1400 - &lt;1600</t>
  </si>
  <si>
    <t>1600 - &lt;1800</t>
  </si>
  <si>
    <t>1800 - &lt;2000</t>
  </si>
  <si>
    <t>2000 - &lt;2200</t>
  </si>
  <si>
    <t>2200 - &lt;2400</t>
  </si>
  <si>
    <t>2400+</t>
  </si>
  <si>
    <r>
      <rPr>
        <b/>
        <sz val="10"/>
        <rFont val="Calibri"/>
        <family val="2"/>
        <scheme val="minor"/>
      </rPr>
      <t>Scrap Materials.</t>
    </r>
    <r>
      <rPr>
        <sz val="10"/>
        <rFont val="Calibri"/>
        <family val="2"/>
        <scheme val="minor"/>
      </rPr>
      <t xml:space="preserve"> Facilitation for sorting and reuse of scrap building material (e.g., provide a central storage area or dedicated bins).</t>
    </r>
  </si>
  <si>
    <t>604 - Recycled-Content Building Materials</t>
  </si>
  <si>
    <t>25 - &lt;50% = 1 pt
50 - &lt;75% = 2 pts
75%+ = 3 pts</t>
  </si>
  <si>
    <r>
      <rPr>
        <b/>
        <sz val="10"/>
        <rFont val="Calibri"/>
        <family val="2"/>
        <scheme val="minor"/>
      </rPr>
      <t>Recycled content.</t>
    </r>
    <r>
      <rPr>
        <sz val="10"/>
        <rFont val="Calibri"/>
        <family val="2"/>
        <scheme val="minor"/>
      </rPr>
      <t xml:space="preserve"> Building materials with the following percentages of recycled content are used for at least two </t>
    </r>
    <r>
      <rPr>
        <b/>
        <sz val="10"/>
        <rFont val="Calibri"/>
        <family val="2"/>
        <scheme val="minor"/>
      </rPr>
      <t>major</t>
    </r>
    <r>
      <rPr>
        <sz val="10"/>
        <rFont val="Calibri"/>
        <family val="2"/>
        <scheme val="minor"/>
      </rPr>
      <t xml:space="preserve"> components of the building.</t>
    </r>
  </si>
  <si>
    <t>25 - &lt;50% = 2 pt
50 - &lt;75% = 4 pts
75%+ = 6 pts</t>
  </si>
  <si>
    <t>605 - Recycled Construction Waste</t>
  </si>
  <si>
    <t>2 types = 3 pts
3 types = 4 pts
4 types = 5 pts
5+ types = 6 pts</t>
  </si>
  <si>
    <t>606 - Renewable Materials</t>
  </si>
  <si>
    <r>
      <rPr>
        <b/>
        <sz val="10"/>
        <rFont val="Calibri"/>
        <family val="2"/>
        <scheme val="minor"/>
      </rPr>
      <t>Biobased products.</t>
    </r>
    <r>
      <rPr>
        <sz val="10"/>
        <rFont val="Calibri"/>
        <family val="2"/>
        <scheme val="minor"/>
      </rPr>
      <t xml:space="preserve"> The following biobased products are used:
     (a) certified solid wood in accordance with Section 606.2
     (b) engineered wood
     (c) bamboo
     (d) cotton
     (e) cork
     (f) straw
     (g) natural fiber products made from crops (soy-based, corn-based)
     (h) products with the minimum biobased contents of the USDA 7 CFR Part 2902
     (i) other biobased materials with a minimum of 50% biobased content (by weight or volume)
</t>
    </r>
    <r>
      <rPr>
        <b/>
        <u/>
        <sz val="10"/>
        <rFont val="Calibri"/>
        <family val="2"/>
        <scheme val="minor"/>
      </rPr>
      <t>Claim points for all that apply from (1)-(3) below:</t>
    </r>
  </si>
  <si>
    <t>8 points max.</t>
  </si>
  <si>
    <t>Two types of biobased materials are used, each for more than 0.5% of the project's projected building material cost.</t>
  </si>
  <si>
    <t>Two types of biobased materials are used, each for more than 1% percent of the project's projected building material cost.</t>
  </si>
  <si>
    <t>Additional types of biobased materials used for more the 0.5% of the project's projected building material cost.</t>
  </si>
  <si>
    <t>1 add. type=1 pt
2 add. type=2 pts</t>
  </si>
  <si>
    <r>
      <rPr>
        <b/>
        <sz val="10"/>
        <rFont val="Calibri"/>
        <family val="2"/>
        <scheme val="minor"/>
      </rPr>
      <t>Wood-based products.</t>
    </r>
    <r>
      <rPr>
        <sz val="10"/>
        <rFont val="Calibri"/>
        <family val="2"/>
        <scheme val="minor"/>
      </rPr>
      <t xml:space="preserve"> Wood or wood-based products are certified to the requirements of one of the following recognized product programs:
     (a) American Forest Foundation's </t>
    </r>
    <r>
      <rPr>
        <i/>
        <sz val="10"/>
        <rFont val="Calibri"/>
        <family val="2"/>
        <scheme val="minor"/>
      </rPr>
      <t>American Tree Farm System</t>
    </r>
    <r>
      <rPr>
        <sz val="10"/>
        <rFont val="Calibri"/>
        <family val="2"/>
        <scheme val="minor"/>
      </rPr>
      <t xml:space="preserve">® (ATFS)
     (b) Canadian Standards Association's </t>
    </r>
    <r>
      <rPr>
        <i/>
        <sz val="10"/>
        <rFont val="Calibri"/>
        <family val="2"/>
        <scheme val="minor"/>
      </rPr>
      <t>Sustainable Forest Management System Standards</t>
    </r>
    <r>
      <rPr>
        <sz val="10"/>
        <rFont val="Calibri"/>
        <family val="2"/>
        <scheme val="minor"/>
      </rPr>
      <t xml:space="preserve"> (CSA Z809)
     (c) </t>
    </r>
    <r>
      <rPr>
        <i/>
        <sz val="10"/>
        <rFont val="Calibri"/>
        <family val="2"/>
        <scheme val="minor"/>
      </rPr>
      <t>Forest Stewardship Council</t>
    </r>
    <r>
      <rPr>
        <sz val="10"/>
        <rFont val="Calibri"/>
        <family val="2"/>
        <scheme val="minor"/>
      </rPr>
      <t xml:space="preserve"> (FSC)
     (d) </t>
    </r>
    <r>
      <rPr>
        <i/>
        <sz val="10"/>
        <rFont val="Calibri"/>
        <family val="2"/>
        <scheme val="minor"/>
      </rPr>
      <t>Program for Endorsement of Forest Certification Systems</t>
    </r>
    <r>
      <rPr>
        <sz val="10"/>
        <rFont val="Calibri"/>
        <family val="2"/>
        <scheme val="minor"/>
      </rPr>
      <t xml:space="preserve"> (PEFC)
     (e) </t>
    </r>
    <r>
      <rPr>
        <i/>
        <sz val="10"/>
        <rFont val="Calibri"/>
        <family val="2"/>
        <scheme val="minor"/>
      </rPr>
      <t>Sustainable Forestry Initiative® Program</t>
    </r>
    <r>
      <rPr>
        <sz val="10"/>
        <rFont val="Calibri"/>
        <family val="2"/>
        <scheme val="minor"/>
      </rPr>
      <t xml:space="preserve"> (SFI)
     (f) other product programs mutually recognized by PEFC
</t>
    </r>
    <r>
      <rPr>
        <b/>
        <u/>
        <sz val="10"/>
        <rFont val="Calibri"/>
        <family val="2"/>
        <scheme val="minor"/>
      </rPr>
      <t>Claim points for all that apply from (1)-(2) below:</t>
    </r>
  </si>
  <si>
    <r>
      <t xml:space="preserve">Where a minimum of two certified wood-based products are used for </t>
    </r>
    <r>
      <rPr>
        <b/>
        <sz val="10"/>
        <rFont val="Calibri"/>
        <family val="2"/>
        <scheme val="minor"/>
      </rPr>
      <t>minor</t>
    </r>
    <r>
      <rPr>
        <sz val="10"/>
        <rFont val="Calibri"/>
        <family val="2"/>
        <scheme val="minor"/>
      </rPr>
      <t xml:space="preserve"> elements of the building, such as all trim, cabinetry, or millwork.</t>
    </r>
  </si>
  <si>
    <r>
      <t xml:space="preserve">Where a minimum of two certified wood-based products are used in </t>
    </r>
    <r>
      <rPr>
        <b/>
        <sz val="10"/>
        <rFont val="Calibri"/>
        <family val="2"/>
        <scheme val="minor"/>
      </rPr>
      <t>major</t>
    </r>
    <r>
      <rPr>
        <sz val="10"/>
        <rFont val="Calibri"/>
        <family val="2"/>
        <scheme val="minor"/>
      </rPr>
      <t xml:space="preserve"> elements of the building, such as walls, floors, or roof.</t>
    </r>
  </si>
  <si>
    <t>1 mat'l = 2 pts
2 mat'l = 4 pts
3+ mat'l = 6 pts</t>
  </si>
  <si>
    <r>
      <rPr>
        <b/>
        <sz val="10"/>
        <rFont val="Calibri"/>
        <family val="2"/>
        <scheme val="minor"/>
      </rPr>
      <t>Resource-efficient materials.</t>
    </r>
    <r>
      <rPr>
        <sz val="10"/>
        <rFont val="Calibri"/>
        <family val="2"/>
        <scheme val="minor"/>
      </rPr>
      <t xml:space="preserve"> Products containing fewer materials are used to achieve the same end-use requirements as conventional products, including but not limited to:
     (1) lighter, thinner brick with bed depth less than 3 inches and/or brick with coring of more than 25%
     (2) engineered wood or engineered steel products
     (3) roof or floor trusses</t>
    </r>
  </si>
  <si>
    <t>1 prod = 3 pts
2 prod = 6 pts
3+ prod = 9 pts</t>
  </si>
  <si>
    <t>1 type = 2 pts
2 types = 4pts
3 types = 6 pts
4 types = 8 pts
5+ types = 10 pts</t>
  </si>
  <si>
    <r>
      <rPr>
        <b/>
        <sz val="10"/>
        <rFont val="Calibri"/>
        <family val="2"/>
        <scheme val="minor"/>
      </rPr>
      <t>Manufacturer's environmental management system concepts.</t>
    </r>
    <r>
      <rPr>
        <sz val="10"/>
        <rFont val="Calibri"/>
        <family val="2"/>
        <scheme val="minor"/>
      </rPr>
      <t xml:space="preserve"> Product manufacturer's operations and business practices include environmental management system concepts, and the production facility is ISO 14001 certified or equivalent.  The aggregate value of building products from ISO 14001 certified or equivalent production facilities is 1% or more of the estimated total building materials cost.</t>
    </r>
  </si>
  <si>
    <t>1% - &lt;2% = 1 pt
2% - &lt;3% = 2 pts
3% - &lt;4% = 3 pts
4% - &lt;5% = 4 pts
5% - &lt;6% = 5 pts
6% - &lt;7%  = 6 pts
7% - &lt;8% = 7 pts
8% - &lt;9% = 8 pts
9% - &lt;10% = 9 pts
10+% = 10 pts</t>
  </si>
  <si>
    <t>End of Chapter 6</t>
  </si>
  <si>
    <t>Proceed to Chapter 7 &gt;&gt;</t>
  </si>
  <si>
    <t>Square Footage and Additional Points</t>
  </si>
  <si>
    <t xml:space="preserve">701.1 - Energy Path chosen: </t>
  </si>
  <si>
    <t>Chapter 7: Energy Efficiency</t>
  </si>
  <si>
    <t>701 - Minimum Energy Efficiency Requirements</t>
  </si>
  <si>
    <r>
      <t>Mandatory requirements:</t>
    </r>
    <r>
      <rPr>
        <sz val="10"/>
        <rFont val="Calibri"/>
        <family val="2"/>
        <scheme val="minor"/>
      </rPr>
      <t xml:space="preserve"> The building shall comply with either Section 702 (Performance Path) or Section 703 (Prescriptive Path). Items listed as "mandatory" in Section 701.4 apply to both the Performance and Prescriptive Paths.</t>
    </r>
  </si>
  <si>
    <t>701.1.1</t>
  </si>
  <si>
    <t>701.1.2</t>
  </si>
  <si>
    <t>701.1.3</t>
  </si>
  <si>
    <r>
      <t xml:space="preserve">EMERALD LEVEL POINTS. </t>
    </r>
    <r>
      <rPr>
        <sz val="10"/>
        <rFont val="Calibri"/>
        <family val="2"/>
        <scheme val="minor"/>
      </rPr>
      <t>The Performance Path shall be used to achieve the Emerald Level.</t>
    </r>
  </si>
  <si>
    <r>
      <t>Adopting Entity review.</t>
    </r>
    <r>
      <rPr>
        <sz val="10"/>
        <rFont val="Calibri"/>
        <family val="2"/>
        <scheme val="minor"/>
      </rPr>
      <t xml:space="preserve"> A review by third party shall be conducted to verify design and compliance with Chapter 7 points.  </t>
    </r>
  </si>
  <si>
    <t>Mandatory Practices</t>
  </si>
  <si>
    <t>701.4.1</t>
  </si>
  <si>
    <t>HVAC systems.</t>
  </si>
  <si>
    <t>Mandatory, if applicable</t>
  </si>
  <si>
    <t>701.4.2</t>
  </si>
  <si>
    <t>Duct systems.</t>
  </si>
  <si>
    <t>701.4.2.1</t>
  </si>
  <si>
    <t>Mandatory, if there is a duct system</t>
  </si>
  <si>
    <t>701.4.2.2</t>
  </si>
  <si>
    <t>701.4.3</t>
  </si>
  <si>
    <t>Insulation and air sealing.</t>
  </si>
  <si>
    <t>701.4.3.1</t>
  </si>
  <si>
    <t>701.4.3.2</t>
  </si>
  <si>
    <t>701.4.3.3</t>
  </si>
  <si>
    <t>701.4.3.4</t>
  </si>
  <si>
    <t>701.4.4</t>
  </si>
  <si>
    <t>U-Factor</t>
  </si>
  <si>
    <t>SHGC</t>
  </si>
  <si>
    <t>702 - Performance Path</t>
  </si>
  <si>
    <t>Points from Section 702 (Performance Path) shall not be combined with points from Section 703 (Prescriptive Path).</t>
  </si>
  <si>
    <t>703 - Prescriptive Path</t>
  </si>
  <si>
    <t>Building envelope</t>
  </si>
  <si>
    <t>703.1.1</t>
  </si>
  <si>
    <t>See a map of Climate Zones by States &amp; Counties.</t>
  </si>
  <si>
    <r>
      <rPr>
        <b/>
        <sz val="10"/>
        <color rgb="FFFF0000"/>
        <rFont val="Calibri"/>
        <family val="2"/>
      </rPr>
      <t>NOTE:</t>
    </r>
    <r>
      <rPr>
        <sz val="10"/>
        <rFont val="Calibri"/>
        <family val="2"/>
      </rPr>
      <t xml:space="preserve"> If points are awarded in 703.1.1, they cannot be awarded in section 703.1.2.</t>
    </r>
  </si>
  <si>
    <t>703.1.2</t>
  </si>
  <si>
    <t>703.1.3</t>
  </si>
  <si>
    <t>Points per Table 703.1.3</t>
  </si>
  <si>
    <t>703.2.1</t>
  </si>
  <si>
    <t>Fenestration</t>
  </si>
  <si>
    <t>703.3.1</t>
  </si>
  <si>
    <t>HVAC equipment efficiency</t>
  </si>
  <si>
    <r>
      <rPr>
        <b/>
        <sz val="10"/>
        <color rgb="FFFF0000"/>
        <rFont val="Calibri"/>
        <family val="2"/>
      </rPr>
      <t>NOTE:</t>
    </r>
    <r>
      <rPr>
        <sz val="10"/>
        <rFont val="Calibri"/>
        <family val="2"/>
      </rPr>
      <t xml:space="preserve"> For </t>
    </r>
    <r>
      <rPr>
        <b/>
        <sz val="10"/>
        <color rgb="FF7030A0"/>
        <rFont val="Calibri"/>
        <family val="2"/>
      </rPr>
      <t>multi-unit buildings</t>
    </r>
    <r>
      <rPr>
        <sz val="10"/>
        <rFont val="Calibri"/>
        <family val="2"/>
      </rPr>
      <t>, each dwelling unit must comply to claim this point.</t>
    </r>
  </si>
  <si>
    <t>703.5.1</t>
  </si>
  <si>
    <t>703.5.2</t>
  </si>
  <si>
    <t>Desuperheater is installed by a qualified installer or is pre-installed in the factory.</t>
  </si>
  <si>
    <t>703.5.3</t>
  </si>
  <si>
    <r>
      <rPr>
        <sz val="10"/>
        <rFont val="Calibri"/>
        <family val="2"/>
        <scheme val="minor"/>
      </rPr>
      <t xml:space="preserve">Drain-water heat recovery system is installed in </t>
    </r>
    <r>
      <rPr>
        <b/>
        <sz val="10"/>
        <color rgb="FF7030A0"/>
        <rFont val="Calibri"/>
        <family val="2"/>
        <scheme val="minor"/>
      </rPr>
      <t>multi-family units</t>
    </r>
    <r>
      <rPr>
        <sz val="10"/>
        <rFont val="Calibri"/>
        <family val="2"/>
        <scheme val="minor"/>
      </rPr>
      <t>.</t>
    </r>
  </si>
  <si>
    <t>704 - Additional Practices</t>
  </si>
  <si>
    <r>
      <rPr>
        <b/>
        <sz val="10"/>
        <color theme="1"/>
        <rFont val="Calibri"/>
        <family val="2"/>
        <scheme val="minor"/>
      </rPr>
      <t>APPLICATION OF ADDITIONAL PRACTICE POINTS.</t>
    </r>
    <r>
      <rPr>
        <sz val="10"/>
        <color theme="1"/>
        <rFont val="Calibri"/>
        <family val="2"/>
        <scheme val="minor"/>
      </rPr>
      <t xml:space="preserve"> Points from Section 704 can be added to points earned in Section 702 (Performance Path), Section 703 (Prescriptive Path), or Section 701.1.3 (alternative bronze level compliance).</t>
    </r>
  </si>
  <si>
    <t>Lighting and appliances</t>
  </si>
  <si>
    <t>704.2.1</t>
  </si>
  <si>
    <t>704.2.2</t>
  </si>
  <si>
    <t>704.2.3</t>
  </si>
  <si>
    <t>25% of lighting</t>
  </si>
  <si>
    <t>50% of lighting</t>
  </si>
  <si>
    <r>
      <t xml:space="preserve">Passive cooling design features are in accordance with the following:
</t>
    </r>
    <r>
      <rPr>
        <b/>
        <u/>
        <sz val="10"/>
        <rFont val="Calibri"/>
        <family val="2"/>
        <scheme val="minor"/>
      </rPr>
      <t>Claim points for at least 3 from (1)-(6) below, but no more than 4:</t>
    </r>
    <r>
      <rPr>
        <sz val="10"/>
        <rFont val="Calibri"/>
        <family val="2"/>
        <scheme val="minor"/>
      </rPr>
      <t xml:space="preserve">
      </t>
    </r>
  </si>
  <si>
    <t>Windows and/or venting skylights are located to facilitate cross ventilation.</t>
  </si>
  <si>
    <t>Solar reflective roof or radiant barrier is installed in climate zones 1, 2, or 3 and roof material achieves a 3-year aged criteria of 0.50.</t>
  </si>
  <si>
    <t>704.4.2</t>
  </si>
  <si>
    <t>704.4.3</t>
  </si>
  <si>
    <t>HVAC design and installation</t>
  </si>
  <si>
    <t>704.5.3</t>
  </si>
  <si>
    <t>Installation and performance verification.</t>
  </si>
  <si>
    <t>(a)</t>
  </si>
  <si>
    <t>(b)</t>
  </si>
  <si>
    <t>(c)</t>
  </si>
  <si>
    <t>(d)</t>
  </si>
  <si>
    <t>(e)</t>
  </si>
  <si>
    <t>705 - Innovative Practices</t>
  </si>
  <si>
    <t>7 points max.</t>
  </si>
  <si>
    <t>programmable communicating thermostat</t>
  </si>
  <si>
    <t>energy-monitoring device</t>
  </si>
  <si>
    <t>energy management control system</t>
  </si>
  <si>
    <r>
      <t>Renewable energy service plan.</t>
    </r>
    <r>
      <rPr>
        <sz val="10"/>
        <rFont val="Calibri"/>
        <family val="2"/>
        <scheme val="minor"/>
      </rPr>
      <t xml:space="preserve"> Renewable energy service plan is provided as follows.
</t>
    </r>
    <r>
      <rPr>
        <b/>
        <u/>
        <sz val="10"/>
        <rFont val="Calibri"/>
        <family val="2"/>
        <scheme val="minor"/>
      </rPr>
      <t>Claim points for all that apply from (1)-(2) below:</t>
    </r>
  </si>
  <si>
    <t>End of Chapter 7</t>
  </si>
  <si>
    <t>Proceed to Chapter 8 &gt;&gt;</t>
  </si>
  <si>
    <t>Chapter 8: Water Efficiency</t>
  </si>
  <si>
    <t>801 - Indoor and Outdoor Water Use</t>
  </si>
  <si>
    <t>801.1.1</t>
  </si>
  <si>
    <t>dishwashers (multiples must all comply)</t>
  </si>
  <si>
    <r>
      <t xml:space="preserve">washing machine with a water factor of &gt;6.0 </t>
    </r>
    <r>
      <rPr>
        <b/>
        <sz val="10"/>
        <color theme="1"/>
        <rFont val="Calibri"/>
        <family val="2"/>
        <scheme val="minor"/>
      </rPr>
      <t xml:space="preserve">OR </t>
    </r>
    <r>
      <rPr>
        <sz val="10"/>
        <color theme="1"/>
        <rFont val="Calibri"/>
        <family val="2"/>
        <scheme val="minor"/>
      </rPr>
      <t>with a water factor of ≤6.0</t>
    </r>
  </si>
  <si>
    <r>
      <rPr>
        <b/>
        <sz val="10"/>
        <rFont val="Calibri"/>
        <family val="2"/>
        <scheme val="minor"/>
      </rPr>
      <t>Food waste disposers.</t>
    </r>
    <r>
      <rPr>
        <sz val="10"/>
        <rFont val="Calibri"/>
        <family val="2"/>
        <scheme val="minor"/>
      </rPr>
      <t xml:space="preserve"> A minimum of one food waste disposer is installed at the primary kitchen sink.</t>
    </r>
  </si>
  <si>
    <r>
      <rPr>
        <b/>
        <sz val="10"/>
        <rFont val="Calibri"/>
        <family val="2"/>
        <scheme val="minor"/>
      </rPr>
      <t>Showerheads.</t>
    </r>
    <r>
      <rPr>
        <sz val="10"/>
        <rFont val="Calibri"/>
        <family val="2"/>
        <scheme val="minor"/>
      </rPr>
      <t xml:space="preserve"> Showerheads are in accordance with the following:</t>
    </r>
  </si>
  <si>
    <t>1 fixture = 1 pt
2 fixtures = 2 pts
3+ fixtures = 3 pts</t>
  </si>
  <si>
    <t>2.0 to &lt;2.5 gpm</t>
  </si>
  <si>
    <t>1.6 to &lt;2.0 gpm</t>
  </si>
  <si>
    <t xml:space="preserve"> ALL lavatory faucets per bathroom comply.</t>
  </si>
  <si>
    <t>801.5.2</t>
  </si>
  <si>
    <t>Self-closing valve, motion sensor, metering, or pedal-activated faucet is installed to enable intermittent on/off operation.</t>
  </si>
  <si>
    <t>1 fix. = 1 pt
2 fix. = 2 pts
3+ fix. = 3 pts</t>
  </si>
  <si>
    <t>801.7.1</t>
  </si>
  <si>
    <t>10 points max.</t>
  </si>
  <si>
    <t>801.7.2</t>
  </si>
  <si>
    <t>802 - Innovative Practices</t>
  </si>
  <si>
    <t>Excess water flow shutoff.</t>
  </si>
  <si>
    <t>Leak detection system.</t>
  </si>
  <si>
    <t>End of Chapter 8</t>
  </si>
  <si>
    <t>Proceed to Chapter 9 &gt;&gt;</t>
  </si>
  <si>
    <t>Chapter 9: Indoor Environmental Quality</t>
  </si>
  <si>
    <t>901 - Pollutant Source Control</t>
  </si>
  <si>
    <t>Space and water heating options</t>
  </si>
  <si>
    <t>Air handling equipment or return ducts are not located in the garage, unless placed in isolated, air-sealed mechanical rooms with an outside air source.</t>
  </si>
  <si>
    <t>901.1.4</t>
  </si>
  <si>
    <t>901.2.1</t>
  </si>
  <si>
    <t>Factory-built, wood-burning fireplaces are in accordance with the certification requirements of UL 127 and are EPA certified.</t>
  </si>
  <si>
    <t>Pellet (biomass) stoves and furnaces are in accordance with the requirements of ASTM E1509 or are EPA certified.</t>
  </si>
  <si>
    <t>Masonry heaters are in accordance with the definitions in ASTM E1602 and ICC IBC, Section 2112.1.</t>
  </si>
  <si>
    <t>901.2.2</t>
  </si>
  <si>
    <t>Fireplaces, wood stoves, pellet stoves, or masonry heaters are not installed.</t>
  </si>
  <si>
    <r>
      <t>Garages</t>
    </r>
    <r>
      <rPr>
        <sz val="10"/>
        <color theme="1"/>
        <rFont val="Calibri"/>
        <family val="2"/>
        <scheme val="minor"/>
      </rPr>
      <t>. Garages are in accordance with the following:</t>
    </r>
  </si>
  <si>
    <t>Attached garage</t>
  </si>
  <si>
    <t>Where installed in the common wall between the attached garage and conditioned space, the door is tightly sealed and gasketed.</t>
  </si>
  <si>
    <r>
      <rPr>
        <b/>
        <sz val="10"/>
        <color rgb="FFFF0000"/>
        <rFont val="Calibri"/>
        <family val="2"/>
      </rPr>
      <t>NOTE:</t>
    </r>
    <r>
      <rPr>
        <sz val="10"/>
        <rFont val="Calibri"/>
        <family val="2"/>
      </rPr>
      <t xml:space="preserve"> An attached garage must be installed to claim points for 901.3(1)(a). If you claim points for 901.3(1)(a), you cannot claim points for 901.3(2).
</t>
    </r>
  </si>
  <si>
    <t>A continuous air barrier is provided between walls and ceilings separating the garage space from the conditioned living spaces.</t>
  </si>
  <si>
    <r>
      <rPr>
        <b/>
        <sz val="10"/>
        <color rgb="FFFF0000"/>
        <rFont val="Calibri"/>
        <family val="2"/>
      </rPr>
      <t>NOTE:</t>
    </r>
    <r>
      <rPr>
        <sz val="10"/>
        <rFont val="Calibri"/>
        <family val="2"/>
      </rPr>
      <t xml:space="preserve"> An attached garage must be installed to claim points. If you claim points for 901.3(1)(b), you cannot claim points for 901.3(2).
</t>
    </r>
  </si>
  <si>
    <t>See Appendix A</t>
  </si>
  <si>
    <r>
      <rPr>
        <b/>
        <sz val="10"/>
        <color rgb="FFFF0000"/>
        <rFont val="Calibri"/>
        <family val="2"/>
      </rPr>
      <t>NOTE:</t>
    </r>
    <r>
      <rPr>
        <sz val="10"/>
        <rFont val="Calibri"/>
        <family val="2"/>
      </rPr>
      <t xml:space="preserve"> If you claim points for 901.3(1)(c), you cannot claim points for 901.3(2).
</t>
    </r>
  </si>
  <si>
    <t>A carport is installed, the garage is detached from the building, or no garage is installed.</t>
  </si>
  <si>
    <r>
      <rPr>
        <b/>
        <sz val="10"/>
        <color rgb="FFFF0000"/>
        <rFont val="Calibri"/>
        <family val="2"/>
      </rPr>
      <t>NOTE:</t>
    </r>
    <r>
      <rPr>
        <sz val="10"/>
        <rFont val="Calibri"/>
        <family val="2"/>
      </rPr>
      <t xml:space="preserve"> If you claim points for 901.3(2), you cannot claim points for 901.3(1)(a), 901.3(1)(b), or 901.3(1)(c).
</t>
    </r>
  </si>
  <si>
    <t>Particleboard and MDF (medium density fiberboard) is manufactured and labeled in accordance with CPA A208.1 and CPA A208.2, respectively.</t>
  </si>
  <si>
    <r>
      <t xml:space="preserve">Composite wood or agrifiber panel products contain no added urea-formaldehyde or are in accordance with the CARB </t>
    </r>
    <r>
      <rPr>
        <i/>
        <sz val="10"/>
        <color theme="1"/>
        <rFont val="Calibri"/>
        <family val="2"/>
        <scheme val="minor"/>
      </rPr>
      <t>Composite Wood Air Toxic Contaminant Measure Standard</t>
    </r>
    <r>
      <rPr>
        <sz val="10"/>
        <color theme="1"/>
        <rFont val="Calibri"/>
        <family val="2"/>
        <scheme val="minor"/>
      </rPr>
      <t>.</t>
    </r>
  </si>
  <si>
    <t>Non-emitting products.</t>
  </si>
  <si>
    <r>
      <t>Carpets</t>
    </r>
    <r>
      <rPr>
        <sz val="10"/>
        <color theme="1"/>
        <rFont val="Calibri"/>
        <family val="2"/>
        <scheme val="minor"/>
      </rPr>
      <t>. Carpets are in accordance with the following:</t>
    </r>
  </si>
  <si>
    <t>Wall-to-wall carpeting is not installed adjacent to water closets and bathing fixtures.</t>
  </si>
  <si>
    <t>Carpet</t>
  </si>
  <si>
    <t>Carpet cushion</t>
  </si>
  <si>
    <t>901.9.1</t>
  </si>
  <si>
    <t>901.9.2</t>
  </si>
  <si>
    <t>Exterior grilles or mats are installed in a fixed manner and may be removable for cleaning.</t>
  </si>
  <si>
    <t>Interior grilles or mats are installed in a fixed manner and may be removable for cleaning.</t>
  </si>
  <si>
    <t>902 - Pollutant Control</t>
  </si>
  <si>
    <t>Spot ventilation.</t>
  </si>
  <si>
    <t>902.1.1</t>
  </si>
  <si>
    <t>Spot ventilation is in accordance with the following conditions.</t>
  </si>
  <si>
    <t>Clothes dryers are vented to the outdoors.</t>
  </si>
  <si>
    <t>Kitchen exhaust units and/or range hoods are ducted to the outdoors and have a minimum ventilation rate of 100 cfm (47.2 L/s) for intermittent operation or 25 cfm (11.8 L/s) for continuous operation.</t>
  </si>
  <si>
    <t>902.1.2</t>
  </si>
  <si>
    <t>902.1.3</t>
  </si>
  <si>
    <t>Kitchen range, bathroom, and laundry exhaust are verified to specification. Ventilation airflow at the point of exhaust is tested to a minimum of 100 cfm (47.2 L/s) intermittent or 25 cfm (11.8 L/s) continuous for kitchens, and 50 cfm (23.6 L/s) intermittent or 20 cfm (9.4 L/s) continuous for bathrooms and/or laundry.</t>
  </si>
  <si>
    <t>902.1.4</t>
  </si>
  <si>
    <t>Exhaust fans are ENERGY STAR®, as applicable.</t>
  </si>
  <si>
    <t>Building ventilation systems</t>
  </si>
  <si>
    <t>See Appendix B</t>
  </si>
  <si>
    <t>Exhaust or supply fan(s) ready for continuous operation and with appropriately labeled controls.</t>
  </si>
  <si>
    <t>Balanced exhaust and supply fans with supply intakes located in accordance with the manufacturer's guidelines to not introduce polluted air back into the building.</t>
  </si>
  <si>
    <t>Heat-recovery ventilator.</t>
  </si>
  <si>
    <t>Energy-recovery ventilator.</t>
  </si>
  <si>
    <r>
      <rPr>
        <b/>
        <sz val="10"/>
        <color rgb="FFFF0000"/>
        <rFont val="Calibri"/>
        <family val="2"/>
      </rPr>
      <t>NOTE:</t>
    </r>
    <r>
      <rPr>
        <sz val="10"/>
        <rFont val="Calibri"/>
        <family val="2"/>
      </rPr>
      <t xml:space="preserve"> Points must be claimed in 902.2.1 to claim points in 902.2.2.
</t>
    </r>
  </si>
  <si>
    <t>902.2.2</t>
  </si>
  <si>
    <t>Radon control. Radon control measures are in accordance with ICC IRC Appendix F. Radon zones are defined in Figure 9(1).</t>
  </si>
  <si>
    <t>See Figure 9(1)</t>
  </si>
  <si>
    <t>Mandatory, if located in 
Radon Zone 1</t>
  </si>
  <si>
    <t>a passive radon system is installed</t>
  </si>
  <si>
    <t>an active radon system is installed</t>
  </si>
  <si>
    <r>
      <rPr>
        <b/>
        <sz val="10"/>
        <color rgb="FFFF0000"/>
        <rFont val="Calibri"/>
        <family val="2"/>
      </rPr>
      <t>NOTE:</t>
    </r>
    <r>
      <rPr>
        <sz val="10"/>
        <rFont val="Calibri"/>
        <family val="2"/>
      </rPr>
      <t xml:space="preserve"> 902.3(1) must be "Met" to claim points for 902.3(1)(a) or 902.3(1)(b). If points are claimed for 902.3(1)(a) or 902.3(1)(b), points cannot be claimed for 902.3(2)(a).
</t>
    </r>
  </si>
  <si>
    <r>
      <rPr>
        <b/>
        <sz val="10"/>
        <color rgb="FFFF0000"/>
        <rFont val="Calibri"/>
        <family val="2"/>
      </rPr>
      <t>NOTE:</t>
    </r>
    <r>
      <rPr>
        <sz val="10"/>
        <rFont val="Calibri"/>
        <family val="2"/>
      </rPr>
      <t xml:space="preserve"> If points are claimed for 902.3(2)(a), points cannot be claimed for 902.3(1)(a) or 902.3(1)(b).</t>
    </r>
  </si>
  <si>
    <r>
      <rPr>
        <b/>
        <sz val="10"/>
        <color theme="1"/>
        <rFont val="Calibri"/>
        <family val="2"/>
        <scheme val="minor"/>
      </rPr>
      <t>HVAC system protection</t>
    </r>
    <r>
      <rPr>
        <sz val="10"/>
        <color theme="1"/>
        <rFont val="Calibri"/>
        <family val="2"/>
        <scheme val="minor"/>
      </rPr>
      <t xml:space="preserve">. One of the following HVAC system protection measures is performed.
</t>
    </r>
    <r>
      <rPr>
        <b/>
        <u/>
        <sz val="10"/>
        <color theme="1"/>
        <rFont val="Calibri"/>
        <family val="2"/>
        <scheme val="minor"/>
      </rPr>
      <t>Claim points for only one from (1)-(2) below:</t>
    </r>
  </si>
  <si>
    <t>HVAC supply registers (boots), return grilles, and rough-ins are covered during construction activities to prevent dust and other pollutants from entering the system.</t>
  </si>
  <si>
    <t>Prior to owner occupancy, HVAC supply registers (boots), return grilles, and duct terminations are inspected and vacuumed. In addition, the coils are inspected and cleaned and the filter is replaced if necessary.</t>
  </si>
  <si>
    <r>
      <rPr>
        <b/>
        <sz val="10"/>
        <color theme="1"/>
        <rFont val="Calibri"/>
        <family val="2"/>
        <scheme val="minor"/>
      </rPr>
      <t>Central vacuum systems</t>
    </r>
    <r>
      <rPr>
        <sz val="10"/>
        <color theme="1"/>
        <rFont val="Calibri"/>
        <family val="2"/>
        <scheme val="minor"/>
      </rPr>
      <t>. Central vacuum system is installed and vented to the outside.</t>
    </r>
  </si>
  <si>
    <t>903 - Moisture Management: Vapor, Rainwater, Plumbing, HVAC</t>
  </si>
  <si>
    <r>
      <t>Tile backing materials</t>
    </r>
    <r>
      <rPr>
        <sz val="10"/>
        <color theme="1"/>
        <rFont val="Calibri"/>
        <family val="2"/>
        <scheme val="minor"/>
      </rPr>
      <t>. Tile backing materials installed under tiled surfaces in wet areas are in accordance with ASTM C1178, C1278, C1288, or C1325.</t>
    </r>
  </si>
  <si>
    <t>Capillary breaks</t>
  </si>
  <si>
    <t>See Figure 6(1)</t>
  </si>
  <si>
    <t>Add a capillary break on footing to prevent moisture migration into foundation wall.</t>
  </si>
  <si>
    <t>Crawlspaces</t>
  </si>
  <si>
    <t>Walls. Damp-proof walls are provided below finished grade.</t>
  </si>
  <si>
    <t>Mandatory, if there is a crawlspace that extends below finished grade</t>
  </si>
  <si>
    <t>6 mil polyethylene sheeting, lapped a minimum of 6 inches (152 mm), and taped at the seams.</t>
  </si>
  <si>
    <t>Moisture control measures</t>
  </si>
  <si>
    <t>Building materials with visible mold are not installed or are cleaned or encapsulated prior to concealment and closing.</t>
  </si>
  <si>
    <t>The moisture content of lumber is sampled to ensure it does not exceed 19% prior to the surface and/or wall cavity enclosure.</t>
  </si>
  <si>
    <t>Moisture content of subfloor, substrate, or concrete slabs is in accordance with the appropriate industry standard for the finish flooring to be applied.</t>
  </si>
  <si>
    <t>Plumbing</t>
  </si>
  <si>
    <t>Cold water pipes in unconditioned spaces are insulated to a minimum of R-4 with pipe insulation or other covering that adequately prevents condensation.</t>
  </si>
  <si>
    <t>Plumbing is not installed in unconditioned spaces.</t>
  </si>
  <si>
    <t>Additional dehumidification system(s)</t>
  </si>
  <si>
    <t>Central HVAC system equipped with additional controls to operate in dehumidification mode</t>
  </si>
  <si>
    <t>904 - Innovative Practices</t>
  </si>
  <si>
    <t>End of Chapter 9</t>
  </si>
  <si>
    <t>Proceed to Chapter 10 &gt;&gt;</t>
  </si>
  <si>
    <t>Chapter 10: Operation, Maintenance, and Building Owner Education</t>
  </si>
  <si>
    <t>1001 - Building Owners' Manual for One- and Two-Family Dwellings</t>
  </si>
  <si>
    <t>A building owner's manual is provided that includes the following conditions, as available and applicable.</t>
  </si>
  <si>
    <t>A green building program certificate or completion document.</t>
  </si>
  <si>
    <t>Mandatory for One- &amp; Two-Family Dwellings only</t>
  </si>
  <si>
    <t>List of green building features (can include the national green building checklist).</t>
  </si>
  <si>
    <t>Product manufacturer's manuals or product data sheet for installed major equipment, fixtures, and appliances. If product data sheet is in the building owners' manual, manufacturer's manual may be attached to the appliance in lieu of inclusion in the building owners' manual.</t>
  </si>
  <si>
    <t>Information on local recycling programs.</t>
  </si>
  <si>
    <t>Information on available local utility programs that purchase a portion of energy from renewable energy providers.</t>
  </si>
  <si>
    <t>Explanation of the benefits of using energy efficient lighting systems (e.g., compact fluorescent light bulbs, light emitting diode (LED)) in high usage areas.</t>
  </si>
  <si>
    <t>A list of practices to conserve water and energy.</t>
  </si>
  <si>
    <t>Local public transporation options.</t>
  </si>
  <si>
    <t>A diagram showing the location of safety valves and controls for major building systems.</t>
  </si>
  <si>
    <t>Where frost-protected shallow foundations are used, owner is informed of precautions including:
     (a) instructions to not remove or damage insulation when modifying landscaping.
     (b) providing heat to the building as required by the ICC IRC or IBC.
     (c) keeping base materials beneath and around the building free from moisture due to broken water pipes or other water sources.</t>
  </si>
  <si>
    <t>A list of local service providers that offer regularly scheduled service and maintenance contracts to assure proper performance of equipment and the structure (e.g., HVAC, water heating equipment, sealants, caulks, gutter and downspout system, shower and/or tub surrounds, irrigation system).</t>
  </si>
  <si>
    <t>A photo record of framing with utilities installed. Photos are taken prior to installing insulation, clearly labeled, and included as part of the building owners' manual.</t>
  </si>
  <si>
    <t>Maintenance checklist.</t>
  </si>
  <si>
    <t>List of common hazardous materials often used around the building and instructions for proper handling and disposal of these materials.</t>
  </si>
  <si>
    <t>Information on organic pest control, fertilizers, deicers, and cleaning products.</t>
  </si>
  <si>
    <t>Information on native landscape materials and/or those that have low-water requirements.</t>
  </si>
  <si>
    <t>Information on methods of maintaining the building's relative humidity in the range of 30% to 60%.</t>
  </si>
  <si>
    <t>Instructions for inspecting the building for termite infestation.</t>
  </si>
  <si>
    <t>Instructions for maintaining gutters and downspouts and importance of diverting water a minimum of 5 feet away from foundation.</t>
  </si>
  <si>
    <t>A narrative detailing the importance of maintenance and operation in retaining the attributes of a green-built building.</t>
  </si>
  <si>
    <t>1002 - Training of Building Owners on Operation and Maintenance for One- and Two-Family Dwellings and Multi-Unit Buildings</t>
  </si>
  <si>
    <t>1003 - Construction, Operation, and Maintenance Manuals and Training for Multi-Unit Buildings</t>
  </si>
  <si>
    <r>
      <rPr>
        <b/>
        <sz val="10"/>
        <color theme="1"/>
        <rFont val="Calibri"/>
        <family val="2"/>
        <scheme val="minor"/>
      </rPr>
      <t>Building construction manual</t>
    </r>
    <r>
      <rPr>
        <sz val="10"/>
        <color theme="1"/>
        <rFont val="Calibri"/>
        <family val="2"/>
        <scheme val="minor"/>
      </rPr>
      <t xml:space="preserve">. A building construction manual, including </t>
    </r>
    <r>
      <rPr>
        <b/>
        <sz val="10"/>
        <color rgb="FFFF0000"/>
        <rFont val="Calibri"/>
        <family val="2"/>
        <scheme val="minor"/>
      </rPr>
      <t>five or more</t>
    </r>
    <r>
      <rPr>
        <sz val="10"/>
        <color theme="1"/>
        <rFont val="Calibri"/>
        <family val="2"/>
        <scheme val="minor"/>
      </rPr>
      <t xml:space="preserve"> of the following, is compiled and distributed in accordance with the intent of this practice.
</t>
    </r>
    <r>
      <rPr>
        <b/>
        <u/>
        <sz val="10"/>
        <color theme="1"/>
        <rFont val="Calibri"/>
        <family val="2"/>
        <scheme val="minor"/>
      </rPr>
      <t>Claim points for at least 5 items from (1)-(8) below:</t>
    </r>
  </si>
  <si>
    <r>
      <t xml:space="preserve">Points awarded per 2 items.
</t>
    </r>
    <r>
      <rPr>
        <b/>
        <i/>
        <sz val="10"/>
        <color rgb="FFFF0000"/>
        <rFont val="Calibri"/>
        <family val="2"/>
        <scheme val="minor"/>
      </rPr>
      <t>5 or more</t>
    </r>
    <r>
      <rPr>
        <b/>
        <i/>
        <sz val="10"/>
        <color theme="1"/>
        <rFont val="Calibri"/>
        <family val="2"/>
        <scheme val="minor"/>
      </rPr>
      <t xml:space="preserve"> items are required, including the mandatory items.</t>
    </r>
  </si>
  <si>
    <t>A narrative detailing the importance of constructing a green building, including a list of green building attributes included in the building. This narrative is included in all responsible parties' manuals.</t>
  </si>
  <si>
    <t>Mandatory for Multi-Unit Buildings only</t>
  </si>
  <si>
    <t>A local green building program certificate as well as a copy of the National Green Building Standard™, as adopted by the Adopting Entity, and the individual measures achieved by the building.</t>
  </si>
  <si>
    <t>Warranty, operation, and maintenance instructions for all equipment, fixtures, appliances, and finishes.</t>
  </si>
  <si>
    <t>Record drawings of the building.</t>
  </si>
  <si>
    <t>A record drawing of the site including stormwater management plans, utility lines, landscaping with common name and genus/species of plantings.</t>
  </si>
  <si>
    <t>A list of the type and wattage of light bulbs installed in light fixtures.</t>
  </si>
  <si>
    <t>A photo record of framing with utilities installed. Photos are taken prior to installing insulation and clearly labeled.</t>
  </si>
  <si>
    <t>A narrative detailing the importance of operating and living in a green building. This narrative is included in all responsible parties' manuals.</t>
  </si>
  <si>
    <t>A list of practices to conserve water and energy (e.g., turning off lights when not in use, switching the rotation of ceiling fans in changing seasons, purchasing ENERGY STAR® appliances and electronics.</t>
  </si>
  <si>
    <t>Information on opportunities to purchase renewable energy from local utilities or national green power providers and information on utility and tax incentives for the installation of on-site renewable energy systems.</t>
  </si>
  <si>
    <t>Informtation on local and on-site recycling and hazardous waste disposal programs and, if applicable, building recycling and hazardous waste handling and disposal procedures.</t>
  </si>
  <si>
    <t>Local public transportation options.</t>
  </si>
  <si>
    <t>Explanation of the benefits of using compact fluorescent light bulbs, LEDs, or other high-efficiency lighting.</t>
  </si>
  <si>
    <t>Information on native landscape materials and/or those that have low water requirements.</t>
  </si>
  <si>
    <t>Information on the radon mitigation system, where applicable.</t>
  </si>
  <si>
    <t>A procedure for educating tenants in rental properties on the proper use, benefits, and maintenance of green building systems including a maintenance staff notification process for improperly functioning equipment.</t>
  </si>
  <si>
    <t>A narrative detailing the importance of maintaining a green building. This narrative is included in all responsible parties' manuals.</t>
  </si>
  <si>
    <t>User-friendly maintenance checklist that includes: 
     (1) HVAC
     (2) thermostat operation and programming
     (3) lighting controls
     (4) appliances and settings
     (5) water heater settings
     (6) fan controls</t>
  </si>
  <si>
    <t>A procedure for rental tenant occupancy turnover that preserves the green features.</t>
  </si>
  <si>
    <t>An outline of a formal green building training program for maintenance staff.</t>
  </si>
  <si>
    <t>End of Chapter 10</t>
  </si>
  <si>
    <t>Target Level =</t>
  </si>
  <si>
    <t xml:space="preserve">DESIGNERS REPORT - NATIONAL GREEN BUILDING STANDARD </t>
  </si>
  <si>
    <t>Builder/Applicant:</t>
  </si>
  <si>
    <t>Builder Phone:</t>
  </si>
  <si>
    <t>Mailing (physical) Address w/ Zip Code of Home:</t>
  </si>
  <si>
    <t>Single-Family or Multi-Unit:</t>
  </si>
  <si>
    <t># of units:</t>
  </si>
  <si>
    <t>Climate Zone:</t>
  </si>
  <si>
    <t>HERS Index:</t>
  </si>
  <si>
    <t>Project Description:</t>
  </si>
  <si>
    <t>Practice</t>
  </si>
  <si>
    <t>500  LOT DESIGN, PREPARATION AND DEVELOPMENT</t>
  </si>
  <si>
    <t>501  LOT SELECTION</t>
  </si>
  <si>
    <t>502  PROJECT TEAM, MISSION STATEMENT AND GOALS</t>
  </si>
  <si>
    <t>503 LOT DESIGN</t>
  </si>
  <si>
    <r>
      <t xml:space="preserve">503.4(3) </t>
    </r>
    <r>
      <rPr>
        <sz val="10"/>
        <rFont val="Calibri"/>
        <family val="2"/>
        <scheme val="minor"/>
      </rPr>
      <t>All or a percentage of impervious surfaces are minimized and permeable materials are used for driveways, parking areas, walkways, and patios.</t>
    </r>
  </si>
  <si>
    <t>504 LOT CONSTRUCTION</t>
  </si>
  <si>
    <t>505  INNOVATIVE PRACTICES</t>
  </si>
  <si>
    <t>600  RESOURCE EFFICIENCY</t>
  </si>
  <si>
    <t>601 QUALITY OF CONSTRUCTION MATERIALS AND WASTE</t>
  </si>
  <si>
    <t xml:space="preserve">601.1 Conditioned floor area, is limited.  </t>
  </si>
  <si>
    <r>
      <t>601.1(1)</t>
    </r>
    <r>
      <rPr>
        <sz val="10"/>
        <rFont val="Calibri"/>
        <family val="2"/>
        <scheme val="minor"/>
      </rPr>
      <t xml:space="preserve"> less than or equal to 1,000 square feet (93 m</t>
    </r>
    <r>
      <rPr>
        <vertAlign val="superscript"/>
        <sz val="10"/>
        <rFont val="Calibri"/>
        <family val="2"/>
        <scheme val="minor"/>
      </rPr>
      <t>2</t>
    </r>
    <r>
      <rPr>
        <sz val="10"/>
        <rFont val="Calibri"/>
        <family val="2"/>
        <scheme val="minor"/>
      </rPr>
      <t>)</t>
    </r>
  </si>
  <si>
    <r>
      <t xml:space="preserve">601.1(2) </t>
    </r>
    <r>
      <rPr>
        <sz val="10"/>
        <rFont val="Calibri"/>
        <family val="2"/>
        <scheme val="minor"/>
      </rPr>
      <t>less than or equal to 1,500 square feet (139 m</t>
    </r>
    <r>
      <rPr>
        <vertAlign val="superscript"/>
        <sz val="10"/>
        <rFont val="Calibri"/>
        <family val="2"/>
        <scheme val="minor"/>
      </rPr>
      <t>2</t>
    </r>
    <r>
      <rPr>
        <sz val="10"/>
        <rFont val="Calibri"/>
        <family val="2"/>
        <scheme val="minor"/>
      </rPr>
      <t>)</t>
    </r>
  </si>
  <si>
    <r>
      <t>601.1(3)</t>
    </r>
    <r>
      <rPr>
        <sz val="10"/>
        <rFont val="Calibri"/>
        <family val="2"/>
        <scheme val="minor"/>
      </rPr>
      <t xml:space="preserve"> less than or equal to 2,000 square feet (186 m</t>
    </r>
    <r>
      <rPr>
        <vertAlign val="superscript"/>
        <sz val="10"/>
        <rFont val="Calibri"/>
        <family val="2"/>
        <scheme val="minor"/>
      </rPr>
      <t>2</t>
    </r>
    <r>
      <rPr>
        <sz val="10"/>
        <rFont val="Calibri"/>
        <family val="2"/>
        <scheme val="minor"/>
      </rPr>
      <t>)</t>
    </r>
  </si>
  <si>
    <r>
      <t>601.1(4)</t>
    </r>
    <r>
      <rPr>
        <sz val="10"/>
        <rFont val="Calibri"/>
        <family val="2"/>
        <scheme val="minor"/>
      </rPr>
      <t xml:space="preserve"> less than or equal to 2,500 square feet (232 m</t>
    </r>
    <r>
      <rPr>
        <vertAlign val="superscript"/>
        <sz val="10"/>
        <rFont val="Calibri"/>
        <family val="2"/>
        <scheme val="minor"/>
      </rPr>
      <t>2</t>
    </r>
    <r>
      <rPr>
        <sz val="10"/>
        <rFont val="Calibri"/>
        <family val="2"/>
        <scheme val="minor"/>
      </rPr>
      <t>)</t>
    </r>
  </si>
  <si>
    <r>
      <rPr>
        <b/>
        <sz val="10"/>
        <color rgb="FF7030A0"/>
        <rFont val="Calibri"/>
        <family val="2"/>
        <scheme val="minor"/>
      </rPr>
      <t>Multi-Unit Building Note</t>
    </r>
    <r>
      <rPr>
        <sz val="10"/>
        <rFont val="Calibri"/>
        <family val="2"/>
        <scheme val="minor"/>
      </rPr>
      <t>: For a multi-unit building, use a weighted average of the individual unit sizes in qualifying for available points.</t>
    </r>
  </si>
  <si>
    <t>MAX = 9</t>
  </si>
  <si>
    <r>
      <t>601.3(1)</t>
    </r>
    <r>
      <rPr>
        <sz val="10"/>
        <rFont val="Calibri"/>
        <family val="2"/>
        <scheme val="minor"/>
      </rPr>
      <t xml:space="preserve"> floor area</t>
    </r>
  </si>
  <si>
    <r>
      <t>601.3(2)</t>
    </r>
    <r>
      <rPr>
        <sz val="10"/>
        <rFont val="Calibri"/>
        <family val="2"/>
        <scheme val="minor"/>
      </rPr>
      <t xml:space="preserve"> wall area</t>
    </r>
  </si>
  <si>
    <r>
      <t>601.3(3)</t>
    </r>
    <r>
      <rPr>
        <sz val="10"/>
        <rFont val="Calibri"/>
        <family val="2"/>
        <scheme val="minor"/>
      </rPr>
      <t xml:space="preserve"> roof area</t>
    </r>
  </si>
  <si>
    <r>
      <t>601.3(4)</t>
    </r>
    <r>
      <rPr>
        <sz val="10"/>
        <rFont val="Calibri"/>
        <family val="2"/>
        <scheme val="minor"/>
      </rPr>
      <t xml:space="preserve"> cladding or siding area</t>
    </r>
  </si>
  <si>
    <r>
      <t>601.3(5)</t>
    </r>
    <r>
      <rPr>
        <sz val="10"/>
        <rFont val="Calibri"/>
        <family val="2"/>
        <scheme val="minor"/>
      </rPr>
      <t xml:space="preserve"> penetrations or trim area</t>
    </r>
  </si>
  <si>
    <r>
      <t xml:space="preserve">601.5(1) </t>
    </r>
    <r>
      <rPr>
        <sz val="10"/>
        <rFont val="Calibri"/>
        <family val="2"/>
        <scheme val="minor"/>
      </rPr>
      <t>floor system</t>
    </r>
  </si>
  <si>
    <r>
      <t xml:space="preserve">601.5(2) </t>
    </r>
    <r>
      <rPr>
        <sz val="10"/>
        <rFont val="Calibri"/>
        <family val="2"/>
        <scheme val="minor"/>
      </rPr>
      <t>wall system</t>
    </r>
  </si>
  <si>
    <r>
      <t xml:space="preserve">601.5(3) </t>
    </r>
    <r>
      <rPr>
        <sz val="10"/>
        <rFont val="Calibri"/>
        <family val="2"/>
        <scheme val="minor"/>
      </rPr>
      <t>roof system</t>
    </r>
  </si>
  <si>
    <r>
      <t xml:space="preserve">601.5(4) </t>
    </r>
    <r>
      <rPr>
        <sz val="10"/>
        <rFont val="Calibri"/>
        <family val="2"/>
        <scheme val="minor"/>
      </rPr>
      <t>modular construction above grade</t>
    </r>
  </si>
  <si>
    <r>
      <t xml:space="preserve">601.5(5) </t>
    </r>
    <r>
      <rPr>
        <sz val="10"/>
        <rFont val="Calibri"/>
        <family val="2"/>
        <scheme val="minor"/>
      </rPr>
      <t>manufactured home construction above grade</t>
    </r>
  </si>
  <si>
    <r>
      <t xml:space="preserve">601.6(1) </t>
    </r>
    <r>
      <rPr>
        <sz val="10"/>
        <rFont val="Calibri"/>
        <family val="2"/>
        <scheme val="minor"/>
      </rPr>
      <t>1 stacked story</t>
    </r>
  </si>
  <si>
    <r>
      <t xml:space="preserve">601.6(2) </t>
    </r>
    <r>
      <rPr>
        <sz val="10"/>
        <rFont val="Calibri"/>
        <family val="2"/>
        <scheme val="minor"/>
      </rPr>
      <t>2 stacked stories</t>
    </r>
  </si>
  <si>
    <r>
      <t xml:space="preserve">601.6(3) </t>
    </r>
    <r>
      <rPr>
        <sz val="10"/>
        <rFont val="Calibri"/>
        <family val="2"/>
        <scheme val="minor"/>
      </rPr>
      <t>3 or more stacked stories</t>
    </r>
  </si>
  <si>
    <t>MAX  = 12</t>
  </si>
  <si>
    <t>602 ENHANCED DURABILITY AND REDUCED MAINTENANCE</t>
  </si>
  <si>
    <t>603 REUSED OR SALVAGED MATERIALS</t>
  </si>
  <si>
    <t>MAX = 12</t>
  </si>
  <si>
    <t>604 RECYCLED CONTENT BUILDING MATERIALS</t>
  </si>
  <si>
    <t>605 RECYCLED CONSTRUCTION WASTE</t>
  </si>
  <si>
    <t>606 RENEWABLE MATERIALS</t>
  </si>
  <si>
    <t>MAX = 8</t>
  </si>
  <si>
    <t>MAX = 7</t>
  </si>
  <si>
    <r>
      <t xml:space="preserve">606.2(1) </t>
    </r>
    <r>
      <rPr>
        <sz val="10"/>
        <rFont val="Calibri"/>
        <family val="2"/>
        <scheme val="minor"/>
      </rPr>
      <t>Min. 2 products used for minor elements</t>
    </r>
  </si>
  <si>
    <r>
      <t xml:space="preserve">606.2(2) </t>
    </r>
    <r>
      <rPr>
        <sz val="10"/>
        <rFont val="Calibri"/>
        <family val="2"/>
        <scheme val="minor"/>
      </rPr>
      <t>Min. 2 products used for major elements</t>
    </r>
  </si>
  <si>
    <t>MAX = 10</t>
  </si>
  <si>
    <t>700 ENERGY EFFICIENCY</t>
  </si>
  <si>
    <t>701 MINIMUM ENERGY EFFICIENCY REQUIREMENTS</t>
  </si>
  <si>
    <r>
      <t xml:space="preserve">User must select either </t>
    </r>
    <r>
      <rPr>
        <i/>
        <sz val="10"/>
        <color theme="1"/>
        <rFont val="Calibri"/>
        <family val="2"/>
        <scheme val="minor"/>
      </rPr>
      <t>Performance (701.1.1)</t>
    </r>
    <r>
      <rPr>
        <sz val="10"/>
        <color theme="1"/>
        <rFont val="Calibri"/>
        <family val="2"/>
        <scheme val="minor"/>
      </rPr>
      <t xml:space="preserve">, </t>
    </r>
    <r>
      <rPr>
        <i/>
        <sz val="10"/>
        <color theme="1"/>
        <rFont val="Calibri"/>
        <family val="2"/>
        <scheme val="minor"/>
      </rPr>
      <t>Prescriptive (701.1.2)</t>
    </r>
    <r>
      <rPr>
        <sz val="10"/>
        <color theme="1"/>
        <rFont val="Calibri"/>
        <family val="2"/>
        <scheme val="minor"/>
      </rPr>
      <t xml:space="preserve">, or </t>
    </r>
    <r>
      <rPr>
        <i/>
        <sz val="10"/>
        <color theme="1"/>
        <rFont val="Calibri"/>
        <family val="2"/>
        <scheme val="minor"/>
      </rPr>
      <t>Alternative Bronze (701.1.3)</t>
    </r>
    <r>
      <rPr>
        <sz val="10"/>
        <color theme="1"/>
        <rFont val="Calibri"/>
        <family val="2"/>
        <scheme val="minor"/>
      </rPr>
      <t xml:space="preserve"> compliance path.
(Choose one path only)</t>
    </r>
  </si>
  <si>
    <r>
      <t xml:space="preserve">701.1 The building shall comply with either Section 702 or Section 703 </t>
    </r>
    <r>
      <rPr>
        <b/>
        <i/>
        <sz val="9"/>
        <rFont val="Arial"/>
        <family val="2"/>
      </rPr>
      <t/>
    </r>
  </si>
  <si>
    <r>
      <t>701.1 The building shall comply with either Section 702 (Performance Path) or Section 703 (Prescriptive Path). Items listed as "mandatory" in Section 701.4 apply to both the Performance and Prescriptive Paths. As an alternative, an ENERGY STAR</t>
    </r>
    <r>
      <rPr>
        <b/>
        <sz val="10"/>
        <rFont val="Calibri"/>
        <family val="2"/>
      </rPr>
      <t>® 2.0</t>
    </r>
    <r>
      <rPr>
        <b/>
        <sz val="10"/>
        <rFont val="Calibri"/>
        <family val="2"/>
        <scheme val="minor"/>
      </rPr>
      <t xml:space="preserve"> Qualified Home or equivalent can claim 30 points from 701.1.3 and meet the Bronze level for Chapter 7.
     701.1.1 Minimum Performance Path requirements.</t>
    </r>
    <r>
      <rPr>
        <sz val="10"/>
        <rFont val="Calibri"/>
        <family val="2"/>
        <scheme val="minor"/>
      </rPr>
      <t xml:space="preserve">  A building complying with Section 702 shall exceed the ICC IECC by 15%, &amp; shall include a min. of 2 practices from Sec. 704,  OR meet 701.1.2  OR 701.1.3.
     </t>
    </r>
    <r>
      <rPr>
        <b/>
        <sz val="10"/>
        <rFont val="Calibri"/>
        <family val="2"/>
        <scheme val="minor"/>
      </rPr>
      <t>701.1.2 Minimum Prescriptive Path requirements.</t>
    </r>
    <r>
      <rPr>
        <sz val="10"/>
        <rFont val="Calibri"/>
        <family val="2"/>
        <scheme val="minor"/>
      </rPr>
      <t xml:space="preserve">  A building complying with Sec. 703 shall obtain a minimum of 30 points from Sec. 703, &amp; shall include a min.  of 2 practices from Sec. 704.
     </t>
    </r>
    <r>
      <rPr>
        <b/>
        <sz val="10"/>
        <rFont val="Calibri"/>
        <family val="2"/>
        <scheme val="minor"/>
      </rPr>
      <t>701.1.3 Alternative Bronze Level compliance.</t>
    </r>
    <r>
      <rPr>
        <sz val="10"/>
        <rFont val="Calibri"/>
        <family val="2"/>
        <scheme val="minor"/>
      </rPr>
      <t xml:space="preserve">  Any ENERGY STAR Qualified Home achieves the Bronze Level for Chapter 7.</t>
    </r>
  </si>
  <si>
    <t>Performance Path
OR
Prescriptive Path
OR
Alternative Bronze
 Level Compliance</t>
  </si>
  <si>
    <r>
      <t>701.1.3  Alternative Bronze Level compliance.</t>
    </r>
    <r>
      <rPr>
        <sz val="10"/>
        <rFont val="Calibri"/>
        <family val="2"/>
        <scheme val="minor"/>
      </rPr>
      <t xml:space="preserve">  Any ENERGY STAR 2.0 Qualified Home or equivalent achieves the Bronze Level for Chapter 7.
If 30 points claimed for practice 701.1.3, this chapter and this project cannot achieve a level higher than Bronze.
If points claimed for this practice, skip the following sections:
     * 701.3 - Adopting Entity review
     * 701.4 - Mandatory Practices
     * 702 - Performance Path
     * 703 - Prescriptive Path
Points can be claimed in Section 704 that count toward additional points needed for the project to reach the bronze level.</t>
    </r>
  </si>
  <si>
    <t>701.2  Emerald Level points.  The Performance Path shall be used to achieve the Emerald Level.</t>
  </si>
  <si>
    <t>701.4  Mandatory practices.</t>
  </si>
  <si>
    <t>701.4.1 HVAC systems.</t>
  </si>
  <si>
    <r>
      <t>701.4.1.2</t>
    </r>
    <r>
      <rPr>
        <sz val="10"/>
        <rFont val="Calibri"/>
        <family val="2"/>
        <scheme val="minor"/>
      </rPr>
      <t xml:space="preserve"> Radiant/hydronic heating system designed using industry-approved guidelines</t>
    </r>
  </si>
  <si>
    <t>701.4.2 Duct systems.</t>
  </si>
  <si>
    <r>
      <t>701.4.2.2</t>
    </r>
    <r>
      <rPr>
        <sz val="10"/>
        <rFont val="Calibri"/>
        <family val="2"/>
        <scheme val="minor"/>
      </rPr>
      <t xml:space="preserve">  Building cavities are not used as supply ducts</t>
    </r>
  </si>
  <si>
    <t>701.4.3 Insulation and air sealing.</t>
  </si>
  <si>
    <t>702 PERFORMANCE PATH  
(NOTE 1: A building complying with Section 702 shall exceed the baseline minimum performance required by the ICC IECC by at least 15 percent, and shall include a minimum of two practices from Section 704; NOTE 2:   Items listed as “mandatory” in Section 701.4 apply to both the Performance and Prescriptive Paths; and NOTE 3: The Performance Path shall be used to achieve the Emerald Level.)</t>
  </si>
  <si>
    <t>702.1  Points from Section 702 (Performance Path) shall not be combined with points from Section 703 (Prescriptive Path).</t>
  </si>
  <si>
    <t>703 PRESCRIPTIVE PATH 
(NOTE: Requires a minimum of 30 points from Section 703, and a minimum of two practices from Section 704, and NOTE: Items listed as “mandatory” in Section 701.4 apply to both the Performance and Prescriptive Paths.)</t>
  </si>
  <si>
    <t>703.1 Building envelope</t>
  </si>
  <si>
    <t>per Table 703.1.1</t>
  </si>
  <si>
    <t>704 ADDITIONAL PRACTICES</t>
  </si>
  <si>
    <r>
      <t xml:space="preserve">704.2.3 </t>
    </r>
    <r>
      <rPr>
        <sz val="10"/>
        <rFont val="Calibri"/>
        <family val="2"/>
        <scheme val="minor"/>
      </rPr>
      <t xml:space="preserve">Occupancy sensors are installed on indoor lights, and photo or motion sensors are installed on outdoor lights to control lighting. </t>
    </r>
  </si>
  <si>
    <t>705 INNOVATIVE PRACTICES</t>
  </si>
  <si>
    <r>
      <t xml:space="preserve">705.1(1) </t>
    </r>
    <r>
      <rPr>
        <sz val="10"/>
        <rFont val="Calibri"/>
        <family val="2"/>
        <scheme val="minor"/>
      </rPr>
      <t>programmable communicating thermostat</t>
    </r>
  </si>
  <si>
    <r>
      <t>705.1(2)</t>
    </r>
    <r>
      <rPr>
        <sz val="10"/>
        <rFont val="Calibri"/>
        <family val="2"/>
        <scheme val="minor"/>
      </rPr>
      <t xml:space="preserve"> energy monitoring device</t>
    </r>
  </si>
  <si>
    <r>
      <t>705.1(3)</t>
    </r>
    <r>
      <rPr>
        <sz val="10"/>
        <rFont val="Calibri"/>
        <family val="2"/>
        <scheme val="minor"/>
      </rPr>
      <t xml:space="preserve"> energy management control system</t>
    </r>
  </si>
  <si>
    <t>705.2 Renewable energy service plan is provided as follows:</t>
  </si>
  <si>
    <r>
      <t xml:space="preserve">705.2(1) </t>
    </r>
    <r>
      <rPr>
        <sz val="10"/>
        <rFont val="Calibri"/>
        <family val="2"/>
        <scheme val="minor"/>
      </rPr>
      <t xml:space="preserve">Builder uses renewable energy service plan for interim electric service.  The builder’s local </t>
    </r>
    <r>
      <rPr>
        <b/>
        <sz val="10"/>
        <rFont val="Calibri"/>
        <family val="2"/>
        <scheme val="minor"/>
      </rPr>
      <t>administrative office</t>
    </r>
    <r>
      <rPr>
        <sz val="10"/>
        <rFont val="Calibri"/>
        <family val="2"/>
        <scheme val="minor"/>
      </rPr>
      <t xml:space="preserve"> has renewable energy service.</t>
    </r>
  </si>
  <si>
    <r>
      <t>705.2(2)</t>
    </r>
    <r>
      <rPr>
        <sz val="10"/>
        <rFont val="Calibri"/>
        <family val="2"/>
        <scheme val="minor"/>
      </rPr>
      <t xml:space="preserve"> The buyer of the building selects a renewable energy service plan provided by the utility</t>
    </r>
  </si>
  <si>
    <t>800 WATER EFFICIENCY</t>
  </si>
  <si>
    <t>801 INDOOR AND OUTDOOR WATER USE</t>
  </si>
  <si>
    <t>801.1 Indoor hot water usage.</t>
  </si>
  <si>
    <r>
      <t>801.2(1)</t>
    </r>
    <r>
      <rPr>
        <sz val="10"/>
        <rFont val="Calibri"/>
        <family val="2"/>
        <scheme val="minor"/>
      </rPr>
      <t xml:space="preserve"> dishwashers (multiples all must comply)</t>
    </r>
  </si>
  <si>
    <t>Required for 
Gold or Emerald Level</t>
  </si>
  <si>
    <t>802 INNOVATIVE PRACTICES</t>
  </si>
  <si>
    <t>900 INDOOR ENVIRONMENTAL QUALITY</t>
  </si>
  <si>
    <t>901 POLLUTANT SOURCE CONTROL</t>
  </si>
  <si>
    <t xml:space="preserve">901.1 Space and water heating options.  </t>
  </si>
  <si>
    <t>901.3 Garages are in accordance with the following:</t>
  </si>
  <si>
    <t>Mandatory        
2 points if applicable</t>
  </si>
  <si>
    <t xml:space="preserve">Mandatory </t>
  </si>
  <si>
    <r>
      <t>901.13(1)</t>
    </r>
    <r>
      <rPr>
        <sz val="10"/>
        <rFont val="Calibri"/>
        <family val="2"/>
        <scheme val="minor"/>
      </rPr>
      <t xml:space="preserve"> Exterior grilles or mats</t>
    </r>
  </si>
  <si>
    <r>
      <t xml:space="preserve">901.13(2) </t>
    </r>
    <r>
      <rPr>
        <sz val="10"/>
        <rFont val="Calibri"/>
        <family val="2"/>
        <scheme val="minor"/>
      </rPr>
      <t>Interior grilles or mats</t>
    </r>
  </si>
  <si>
    <t>902 POLLUTANT CONTROL</t>
  </si>
  <si>
    <t>902.1 Spot ventilation.</t>
  </si>
  <si>
    <r>
      <t xml:space="preserve">902.1.1  </t>
    </r>
    <r>
      <rPr>
        <sz val="10"/>
        <rFont val="Calibri"/>
        <family val="2"/>
        <scheme val="minor"/>
      </rPr>
      <t>Spot ventilation is in accordance with the following:</t>
    </r>
  </si>
  <si>
    <r>
      <t>902.1.1(1)</t>
    </r>
    <r>
      <rPr>
        <sz val="10"/>
        <rFont val="Calibri"/>
        <family val="2"/>
        <scheme val="minor"/>
      </rPr>
      <t xml:space="preserve"> All bathrooms are vented to the outdoors - rate = 50 cfm or 20 cfm if continuous operation</t>
    </r>
  </si>
  <si>
    <r>
      <t xml:space="preserve">902.1.1(2) </t>
    </r>
    <r>
      <rPr>
        <sz val="10"/>
        <rFont val="Calibri"/>
        <family val="2"/>
        <scheme val="minor"/>
      </rPr>
      <t>Clothes dryers are vented to the outdoors</t>
    </r>
  </si>
  <si>
    <r>
      <t>902.1.1(3)</t>
    </r>
    <r>
      <rPr>
        <sz val="10"/>
        <rFont val="Calibri"/>
        <family val="2"/>
        <scheme val="minor"/>
      </rPr>
      <t xml:space="preserve"> Kitchen exhaust units ducted outdoors &amp; rate of 100 cfm or 25 cfm if continuous operation</t>
    </r>
  </si>
  <si>
    <r>
      <t xml:space="preserve">902.1.2 </t>
    </r>
    <r>
      <rPr>
        <sz val="10"/>
        <rFont val="Calibri"/>
        <family val="2"/>
        <scheme val="minor"/>
      </rPr>
      <t>Bathroom or laundry exhaust fan is provided w/ an automatic timer or humidistat.</t>
    </r>
  </si>
  <si>
    <r>
      <t>902.1.2(1)</t>
    </r>
    <r>
      <rPr>
        <sz val="10"/>
        <rFont val="Calibri"/>
        <family val="2"/>
        <scheme val="minor"/>
      </rPr>
      <t xml:space="preserve"> 1 automatic timer/humidistat devices installed</t>
    </r>
  </si>
  <si>
    <r>
      <t xml:space="preserve">902.1.2(2) </t>
    </r>
    <r>
      <rPr>
        <sz val="10"/>
        <rFont val="Calibri"/>
        <family val="2"/>
        <scheme val="minor"/>
      </rPr>
      <t>2 automatic timer/humidistat devices installed</t>
    </r>
  </si>
  <si>
    <r>
      <t xml:space="preserve">902.1.4 </t>
    </r>
    <r>
      <rPr>
        <sz val="10"/>
        <rFont val="Calibri"/>
        <family val="2"/>
        <scheme val="minor"/>
      </rPr>
      <t>Exhaust fans are ENERGY STAR, as applicable.</t>
    </r>
  </si>
  <si>
    <r>
      <t xml:space="preserve">902.1.4(1) </t>
    </r>
    <r>
      <rPr>
        <sz val="10"/>
        <rFont val="Calibri"/>
        <family val="2"/>
        <scheme val="minor"/>
      </rPr>
      <t>ENERGY STAR fans</t>
    </r>
  </si>
  <si>
    <t>2 points per fan</t>
  </si>
  <si>
    <r>
      <t xml:space="preserve">902.1.4(2) </t>
    </r>
    <r>
      <rPr>
        <sz val="10"/>
        <rFont val="Calibri"/>
        <family val="2"/>
        <scheme val="minor"/>
      </rPr>
      <t>ENERGY STAR fans operating at 1 sone or less</t>
    </r>
  </si>
  <si>
    <t>3 points per fan</t>
  </si>
  <si>
    <t>902.2 Building ventilation systems.</t>
  </si>
  <si>
    <r>
      <t xml:space="preserve">902.2.1 </t>
    </r>
    <r>
      <rPr>
        <sz val="10"/>
        <rFont val="Calibri"/>
        <family val="2"/>
        <scheme val="minor"/>
      </rPr>
      <t xml:space="preserve">Whole building ventilation system is implemented per Appendix B.  </t>
    </r>
  </si>
  <si>
    <t>902.3 Radon control measures per ICC IRC Appendix F.</t>
  </si>
  <si>
    <r>
      <t>902.3(1)</t>
    </r>
    <r>
      <rPr>
        <sz val="10"/>
        <rFont val="Calibri"/>
        <family val="2"/>
        <scheme val="minor"/>
      </rPr>
      <t xml:space="preserve"> Buildings located in Zone 1 - radon detection system installed</t>
    </r>
  </si>
  <si>
    <r>
      <t xml:space="preserve">902.3(1)(a) </t>
    </r>
    <r>
      <rPr>
        <sz val="10"/>
        <rFont val="Calibri"/>
        <family val="2"/>
        <scheme val="minor"/>
      </rPr>
      <t>passive radon system is installed</t>
    </r>
  </si>
  <si>
    <r>
      <t xml:space="preserve">902.3(1)(b) </t>
    </r>
    <r>
      <rPr>
        <sz val="10"/>
        <rFont val="Calibri"/>
        <family val="2"/>
        <scheme val="minor"/>
      </rPr>
      <t>active radon system</t>
    </r>
    <r>
      <rPr>
        <b/>
        <sz val="10"/>
        <rFont val="Calibri"/>
        <family val="2"/>
        <scheme val="minor"/>
      </rPr>
      <t xml:space="preserve"> </t>
    </r>
    <r>
      <rPr>
        <sz val="10"/>
        <rFont val="Calibri"/>
        <family val="2"/>
        <scheme val="minor"/>
      </rPr>
      <t>is installed</t>
    </r>
  </si>
  <si>
    <r>
      <t xml:space="preserve">902.3(2) </t>
    </r>
    <r>
      <rPr>
        <sz val="10"/>
        <rFont val="Calibri"/>
        <family val="2"/>
        <scheme val="minor"/>
      </rPr>
      <t>Buildings located in Zone 2</t>
    </r>
  </si>
  <si>
    <r>
      <t xml:space="preserve">902.3(2)(a) </t>
    </r>
    <r>
      <rPr>
        <sz val="10"/>
        <rFont val="Calibri"/>
        <family val="2"/>
        <scheme val="minor"/>
      </rPr>
      <t>passive radon system for zone 2</t>
    </r>
  </si>
  <si>
    <t xml:space="preserve">902.4 One of the following HVAC system protection measures is performed. </t>
  </si>
  <si>
    <t>902.5 Central vacuum system vented to the outside.</t>
  </si>
  <si>
    <t>903 MOISTURE MANAGEMENT: VAPOR, RAINWATER, PLUMBING, HVAC</t>
  </si>
  <si>
    <t>904 INNOVATIVE PRACTICES</t>
  </si>
  <si>
    <t>1000 OPERATION, MAINTENANCE AND BUILDING OWNER EDUCATION</t>
  </si>
  <si>
    <t>1001 BUILDING OWNERS’ MANUAL FOR ONE- AND TWO-FAMILY DWELLINGS</t>
  </si>
  <si>
    <r>
      <t>1001.1(16)</t>
    </r>
    <r>
      <rPr>
        <sz val="10"/>
        <rFont val="Calibri"/>
        <family val="2"/>
        <scheme val="minor"/>
      </rPr>
      <t xml:space="preserve"> Information on native landscape materials and/or those that have low-water requirements.</t>
    </r>
  </si>
  <si>
    <t>1002 TRAINING OF BUILDING OWNERS ON OPERATION AND MAINTENANCE FOR ONE- AND TWO-FAMILY DWELLINGS AND MULTI-UNIT BUILDINGS</t>
  </si>
  <si>
    <t>1003 CONSTRUCTION, OPERATION, AND MAINTENANCE MANUALS AND TRAINING FOR MULTI-UNIT BUILDINGS</t>
  </si>
  <si>
    <t>1 point per 2 items
including (1)-(3)
MAX = 4
5+ items must be Met</t>
  </si>
  <si>
    <t>1 point per 2 items
including (1)-(3)
MAX = 5
5+ items must be Met</t>
  </si>
  <si>
    <t>1 point per 2 items
including 1003.3(1)
MAX = 4
5+ items must be Met</t>
  </si>
  <si>
    <r>
      <t xml:space="preserve">1003.3(3) </t>
    </r>
    <r>
      <rPr>
        <sz val="10"/>
        <rFont val="Calibri"/>
        <family val="2"/>
        <scheme val="minor"/>
      </rPr>
      <t xml:space="preserve">User-friendly maintenance checklist including:
      </t>
    </r>
    <r>
      <rPr>
        <b/>
        <sz val="10"/>
        <rFont val="Calibri"/>
        <family val="2"/>
        <scheme val="minor"/>
      </rPr>
      <t>(a)</t>
    </r>
    <r>
      <rPr>
        <sz val="10"/>
        <rFont val="Calibri"/>
        <family val="2"/>
        <scheme val="minor"/>
      </rPr>
      <t xml:space="preserve"> HVAC filters    
  </t>
    </r>
    <r>
      <rPr>
        <b/>
        <sz val="10"/>
        <rFont val="Calibri"/>
        <family val="2"/>
        <scheme val="minor"/>
      </rPr>
      <t xml:space="preserve">    (b)</t>
    </r>
    <r>
      <rPr>
        <sz val="10"/>
        <rFont val="Calibri"/>
        <family val="2"/>
        <scheme val="minor"/>
      </rPr>
      <t xml:space="preserve"> thermostat operation and programming
  </t>
    </r>
    <r>
      <rPr>
        <b/>
        <sz val="10"/>
        <rFont val="Calibri"/>
        <family val="2"/>
        <scheme val="minor"/>
      </rPr>
      <t xml:space="preserve">    (c)</t>
    </r>
    <r>
      <rPr>
        <sz val="10"/>
        <rFont val="Calibri"/>
        <family val="2"/>
        <scheme val="minor"/>
      </rPr>
      <t xml:space="preserve"> lighting controls
      </t>
    </r>
    <r>
      <rPr>
        <b/>
        <sz val="10"/>
        <rFont val="Calibri"/>
        <family val="2"/>
        <scheme val="minor"/>
      </rPr>
      <t>(d)</t>
    </r>
    <r>
      <rPr>
        <sz val="10"/>
        <rFont val="Calibri"/>
        <family val="2"/>
        <scheme val="minor"/>
      </rPr>
      <t xml:space="preserve"> appliances and settings 
      </t>
    </r>
    <r>
      <rPr>
        <b/>
        <sz val="10"/>
        <rFont val="Calibri"/>
        <family val="2"/>
        <scheme val="minor"/>
      </rPr>
      <t>(e)</t>
    </r>
    <r>
      <rPr>
        <sz val="10"/>
        <rFont val="Calibri"/>
        <family val="2"/>
        <scheme val="minor"/>
      </rPr>
      <t xml:space="preserve"> water heater settings
      </t>
    </r>
    <r>
      <rPr>
        <b/>
        <sz val="10"/>
        <rFont val="Calibri"/>
        <family val="2"/>
        <scheme val="minor"/>
      </rPr>
      <t>(f)</t>
    </r>
    <r>
      <rPr>
        <sz val="10"/>
        <rFont val="Calibri"/>
        <family val="2"/>
        <scheme val="minor"/>
      </rPr>
      <t xml:space="preserve"> fan controls</t>
    </r>
  </si>
  <si>
    <t>Chapter</t>
  </si>
  <si>
    <t>Required Points</t>
  </si>
  <si>
    <t>Claimed Points</t>
  </si>
  <si>
    <t>Additional Claimed Points Above Bronze</t>
  </si>
  <si>
    <t>Point Shortfall</t>
  </si>
  <si>
    <t>Mandatory Status</t>
  </si>
  <si>
    <t>Chapter 5: Lot Design, Preparation, &amp; Development</t>
  </si>
  <si>
    <t>Chapter 10: Operation, Maintenance, &amp; Building Owner Education</t>
  </si>
  <si>
    <t>Section Totals</t>
  </si>
  <si>
    <t>Additional Points Above Bronze</t>
  </si>
  <si>
    <t>Total Points</t>
  </si>
  <si>
    <t>To  achieve Bronze:</t>
  </si>
  <si>
    <t>* Reach required Bronze score for each chapter</t>
  </si>
  <si>
    <t>* Reach required Additional Points for this project</t>
  </si>
  <si>
    <t>* Meet all mandatory items</t>
  </si>
  <si>
    <t>* For Chapter 7: Energy Efficiency:</t>
  </si>
  <si>
    <r>
      <t xml:space="preserve">~ Claim at least 30 points from Section 702 (Performance Path) or Section 703 (Prescriptive Path) and select a minimum of 2 items from Section 704, </t>
    </r>
    <r>
      <rPr>
        <b/>
        <i/>
        <u/>
        <sz val="11"/>
        <color theme="1"/>
        <rFont val="Calibri"/>
        <family val="2"/>
        <scheme val="minor"/>
      </rPr>
      <t>OR</t>
    </r>
  </si>
  <si>
    <t>~ Choose the Alternative Bronze Compliance Path</t>
  </si>
  <si>
    <t>Additional Claimed Points Above Silver</t>
  </si>
  <si>
    <t>Additional Points Above Silver</t>
  </si>
  <si>
    <t>To  achieve Silver:</t>
  </si>
  <si>
    <t>* Reach required Silver score for each chapter</t>
  </si>
  <si>
    <t>~ Claim at least 30 points from Section 702 (Performance Path) or Section 703 (Prescriptive Path)</t>
  </si>
  <si>
    <t>~ Select a minimum of 2 items from Section 704</t>
  </si>
  <si>
    <t>Additional Claimed Points Above Gold</t>
  </si>
  <si>
    <t>Additional Points Above Gold</t>
  </si>
  <si>
    <t>To  achieve Gold:</t>
  </si>
  <si>
    <t>* Reach required Gold score for each chapter</t>
  </si>
  <si>
    <t>Additional Claimed Points Above Emerald</t>
  </si>
  <si>
    <t>Additional Points Above Emerald</t>
  </si>
  <si>
    <t>To  achieve Emerald:</t>
  </si>
  <si>
    <t>* Reach required Emerald score for each chapter</t>
  </si>
  <si>
    <t>~ Claim at least 30 points from Section 702 (Performance Path)</t>
  </si>
  <si>
    <t>Additional Points</t>
  </si>
  <si>
    <t>Energy Efficiency Path</t>
  </si>
  <si>
    <t>According to Section 601.1, a dwelling &gt;4,000 s.f. will require an increase in the Additional Points needed to reach a particular level (1 point per every 100 s.f. over 4,000).</t>
  </si>
  <si>
    <t>For this project:</t>
  </si>
  <si>
    <t>Section 703.1.2: Building Envelope - Installation Insulation Grading</t>
  </si>
  <si>
    <t>See Practice 703.1.2</t>
  </si>
  <si>
    <t>Building orientation, sizing of glazing, and design of overhangs are in accordance with all of the following:</t>
  </si>
  <si>
    <r>
      <rPr>
        <b/>
        <sz val="10"/>
        <color theme="1"/>
        <rFont val="Calibri"/>
        <family val="2"/>
        <scheme val="minor"/>
      </rPr>
      <t>6.</t>
    </r>
    <r>
      <rPr>
        <sz val="10"/>
        <color theme="1"/>
        <rFont val="Calibri"/>
        <family val="2"/>
        <scheme val="minor"/>
      </rPr>
      <t xml:space="preserve"> Skylights, where installed, are in accordance with the following:</t>
    </r>
  </si>
  <si>
    <r>
      <rPr>
        <b/>
        <sz val="10"/>
        <color theme="1"/>
        <rFont val="Calibri"/>
        <family val="2"/>
        <scheme val="minor"/>
      </rPr>
      <t>a.</t>
    </r>
    <r>
      <rPr>
        <sz val="10"/>
        <color theme="1"/>
        <rFont val="Calibri"/>
        <family val="2"/>
        <scheme val="minor"/>
      </rPr>
      <t xml:space="preserve"> shades and insulated wells are used, and all glazing is ENERGY STAR compliant or equivalent</t>
    </r>
  </si>
  <si>
    <t>See a map of Climate Zones by States and Counties.</t>
  </si>
  <si>
    <t>Vertical distance between bottom of overhang and top of window sill</t>
  </si>
  <si>
    <t>≤ 7 feet 4 inches</t>
  </si>
  <si>
    <t>≤ 6 feet 4 inches</t>
  </si>
  <si>
    <t>≤ 5 feet 4 inches</t>
  </si>
  <si>
    <t>≤ 4 feet 4 inches</t>
  </si>
  <si>
    <t>≤ 3 feet 4 inches</t>
  </si>
  <si>
    <t>1, 2, 3</t>
  </si>
  <si>
    <t>2 feet 8 inches</t>
  </si>
  <si>
    <t>2 feet 4 inches</t>
  </si>
  <si>
    <t>2 feet</t>
  </si>
  <si>
    <t>4, 5, 6</t>
  </si>
  <si>
    <t>1 foot 8 inches</t>
  </si>
  <si>
    <t>7, 8</t>
  </si>
  <si>
    <t>1 foot 4 inches</t>
  </si>
  <si>
    <t>1 foot</t>
  </si>
  <si>
    <t>For SI: 25.4 mm</t>
  </si>
  <si>
    <r>
      <rPr>
        <b/>
        <sz val="10"/>
        <color theme="1"/>
        <rFont val="Calibri"/>
        <family val="2"/>
        <scheme val="minor"/>
      </rPr>
      <t>b.</t>
    </r>
    <r>
      <rPr>
        <sz val="10"/>
        <color theme="1"/>
        <rFont val="Calibri"/>
        <family val="2"/>
        <scheme val="minor"/>
      </rPr>
      <t xml:space="preserve"> Thermal mass directly exposed to sunlight is provided in accordance with the following minimum ratios:</t>
    </r>
  </si>
  <si>
    <t>Figure 6(1): Climate Zones</t>
  </si>
  <si>
    <t>See 703.1.1</t>
  </si>
  <si>
    <t>Source: 2006 International Residential Code. International Code Council, Inc., Country Club Hills, Illinois. Reproduced with permission. All rights reserved. http://www.iccsafe.org</t>
  </si>
  <si>
    <t>Figure 6(2): Average Annual Precipitation</t>
  </si>
  <si>
    <t>To see a more detailed map, go to www.nationalatlas.gov, and follow these instructions:</t>
  </si>
  <si>
    <t>Click the "Map Maker" link</t>
  </si>
  <si>
    <t>Click on "Climate"</t>
  </si>
  <si>
    <t>Check the box for "Average Annual Precipitation 1961-1990"</t>
  </si>
  <si>
    <t>Click the "Redraw Map" button</t>
  </si>
  <si>
    <t>In the dropdown box, select "Zoom to State(s)" option</t>
  </si>
  <si>
    <t>Source: www.nationalatlas.gov</t>
  </si>
  <si>
    <t>Figure 6(3): Termite Infestation Probability Map</t>
  </si>
  <si>
    <t>Source: 2006 International Residential Code. International Code Council, Inc., Country Club Hill, Illinois. Reproduced with permission. All rights reserved. www.iccsafe.org</t>
  </si>
  <si>
    <t>See the EPA Map of Radon Zones to find the level of radon potential for your project area.</t>
  </si>
  <si>
    <t>Appendix A: Ducted Garage Exhaust Fan Sizing Criteria</t>
  </si>
  <si>
    <t>See Practice 901.3(1)(c)</t>
  </si>
  <si>
    <t>A100 - Scope and Applicability</t>
  </si>
  <si>
    <r>
      <rPr>
        <b/>
        <sz val="11"/>
        <color theme="1"/>
        <rFont val="Calibri"/>
        <family val="2"/>
        <scheme val="minor"/>
      </rPr>
      <t>A101.1 - Applicability of Appendix A</t>
    </r>
    <r>
      <rPr>
        <sz val="11"/>
        <color theme="1"/>
        <rFont val="Calibri"/>
        <family val="2"/>
        <scheme val="minor"/>
      </rPr>
      <t>. Appendix A is part of this Standard.</t>
    </r>
  </si>
  <si>
    <t>A101.2 - Scope. The provisions contained in Appendix A provide the criteria necessary for complying with Section 901.3(1)(c) for the installation of ducted exhaust fans in garages. To receive points for implementing Practice 901.3(1)(c), the fan airflow rating and duct sizing for ducted exhaust fans are to be in accordance with the applicable criteria of Appendix A.</t>
  </si>
  <si>
    <t>A101.3 - Acknowledgement. The text of Appendix A, Section A200 and related Table are extracted from ASHRAE (American Society of Heating, Refrigerating and Air-Conditioning Engineers, Inc.) standard 62.2 Ventilation and Acceptable Indoor Air Quality in Low-Rise  Residential Buildings, Section 7.3 and Table 7.1, respectively, and is used with the permission of ASHRAE. The reference Section and Table numbers within the extracted text are modified to be applicable to Appendix A of this Standard.</t>
  </si>
  <si>
    <t>A200 - Airflow Rating</t>
  </si>
  <si>
    <r>
      <rPr>
        <b/>
        <sz val="11"/>
        <color theme="1"/>
        <rFont val="Calibri"/>
        <family val="2"/>
        <scheme val="minor"/>
      </rPr>
      <t>A201.1 - Airflow Rating</t>
    </r>
    <r>
      <rPr>
        <sz val="11"/>
        <color theme="1"/>
        <rFont val="Calibri"/>
        <family val="2"/>
        <scheme val="minor"/>
      </rPr>
      <t>. The airflows required by this Standard refer to the delivered airflow of the system as installed an tested using a flow hood, flow grid, or other airflow measuring device. Alternatively, the airflow rating at a pressure of 0.25 in. w.c. (62.5 Pa) may be used, provided the duct sizing meets the prescriptive requirements of Table A201 or manufacturers' design criteria.</t>
    </r>
  </si>
  <si>
    <t>Table A201
Prescriptive Duct Sizing</t>
  </si>
  <si>
    <t>Duct Type</t>
  </si>
  <si>
    <t>Fan Rating</t>
  </si>
  <si>
    <t>Flex Duct</t>
  </si>
  <si>
    <t>Smooth Duct</t>
  </si>
  <si>
    <t>cfm @ 0.25 in. w.g.
(L/s) @ 62.5 Pa)</t>
  </si>
  <si>
    <t>50
(25)</t>
  </si>
  <si>
    <t>80
(40)</t>
  </si>
  <si>
    <t>100
(50)</t>
  </si>
  <si>
    <t>125
(65)</t>
  </si>
  <si>
    <t>Diameter, in. (mm)</t>
  </si>
  <si>
    <t>Maximum Length, ft (m)</t>
  </si>
  <si>
    <t>3 (75)</t>
  </si>
  <si>
    <t>X</t>
  </si>
  <si>
    <t>5 (2)</t>
  </si>
  <si>
    <t>4 (100)</t>
  </si>
  <si>
    <t>70 (27)</t>
  </si>
  <si>
    <t>3 (1)</t>
  </si>
  <si>
    <t>105 (35)</t>
  </si>
  <si>
    <t>35 (12)</t>
  </si>
  <si>
    <t>5 (125)</t>
  </si>
  <si>
    <t>NL</t>
  </si>
  <si>
    <t>20 (7)</t>
  </si>
  <si>
    <t>135 (45)</t>
  </si>
  <si>
    <t>85 (28)</t>
  </si>
  <si>
    <t>55 (18)</t>
  </si>
  <si>
    <t>6 (150)</t>
  </si>
  <si>
    <t>125 (42)</t>
  </si>
  <si>
    <t>95 (32)</t>
  </si>
  <si>
    <t>145 (48)</t>
  </si>
  <si>
    <t>7 (175) and above</t>
  </si>
  <si>
    <t>This table assumes no elbows. Deduct 15 ft (5 m) of allowable duct length  for each elbow.</t>
  </si>
  <si>
    <t>NL = no limit on duct length of this size.</t>
  </si>
  <si>
    <t>X = not allowed, any length of duct of this size with assumed turns and fitting will exceed the rated pressure drop.</t>
  </si>
  <si>
    <t>Appendix B: Whole Building Ventiation System Specifications</t>
  </si>
  <si>
    <t>B100 - Scope and Applicability</t>
  </si>
  <si>
    <r>
      <rPr>
        <b/>
        <sz val="11"/>
        <color theme="1"/>
        <rFont val="Calibri"/>
        <family val="2"/>
        <scheme val="minor"/>
      </rPr>
      <t>B101.1 - Applicability of Appendix B</t>
    </r>
    <r>
      <rPr>
        <sz val="11"/>
        <color theme="1"/>
        <rFont val="Calibri"/>
        <family val="2"/>
        <scheme val="minor"/>
      </rPr>
      <t>. Appendix B is part of this Standard.</t>
    </r>
  </si>
  <si>
    <r>
      <rPr>
        <b/>
        <sz val="11"/>
        <color theme="1"/>
        <rFont val="Calibri"/>
        <family val="2"/>
        <scheme val="minor"/>
      </rPr>
      <t>B101.2 - Scope.</t>
    </r>
    <r>
      <rPr>
        <sz val="11"/>
        <color theme="1"/>
        <rFont val="Calibri"/>
        <family val="2"/>
        <scheme val="minor"/>
      </rPr>
      <t xml:space="preserve"> The provisions contained in Appendix B provide the specification necessary for complying with Section 902.2.1 for the installation of whole building ventilation systems. To receive points for implementing Practice 902.2.1, the chosen whole building ventilation system is to be in accordance with the applicable specification of Appendix B.</t>
    </r>
  </si>
  <si>
    <r>
      <rPr>
        <b/>
        <sz val="11"/>
        <color theme="1"/>
        <rFont val="Calibri"/>
        <family val="2"/>
        <scheme val="minor"/>
      </rPr>
      <t>B101.3 - Acknowledgement.</t>
    </r>
    <r>
      <rPr>
        <sz val="11"/>
        <color theme="1"/>
        <rFont val="Calibri"/>
        <family val="2"/>
        <scheme val="minor"/>
      </rPr>
      <t xml:space="preserve"> The text of Appendix B, Section B200 and related Tables are extracted from ASHRAE (American Society of Heating, Refrigerating and Air-Conditioning Engineers, Inc.) Standard 62.2-2007 Ventilation and Acceptable Indoor Air Quality in Low-Rise Residential Buildings, Section 4, and is used with the permission of ASHRAE. The referenced Section and Table numbers within the extracted text are modified to be applicable to Appendix B of this Standard. "*" indicates added reference to ICC or ASHRAE 62.2 to provide clarity.</t>
    </r>
  </si>
  <si>
    <t>B200 - Whole Building Ventilation</t>
  </si>
  <si>
    <r>
      <rPr>
        <b/>
        <sz val="11"/>
        <color theme="1"/>
        <rFont val="Calibri"/>
        <family val="2"/>
        <scheme val="minor"/>
      </rPr>
      <t>B201.1 - Ventilation Rate</t>
    </r>
    <r>
      <rPr>
        <sz val="11"/>
        <color theme="1"/>
        <rFont val="Calibri"/>
        <family val="2"/>
        <scheme val="minor"/>
      </rPr>
      <t>. A mechanical exhaust system, supply system, or combination thereof shall be installed for each dwelling unit to provide whole building ventilation with outdoor air each hour at no less than the rate specified in Tables B201.1a and B201.1b or, equivalently, Equations B201.1a and B201.1b, based on the floor area of the conditioned space and number of bedrooms.</t>
    </r>
  </si>
  <si>
    <r>
      <rPr>
        <b/>
        <sz val="11"/>
        <color theme="1"/>
        <rFont val="Calibri"/>
        <family val="2"/>
        <scheme val="minor"/>
      </rPr>
      <t>Exceptions</t>
    </r>
    <r>
      <rPr>
        <sz val="11"/>
        <color theme="1"/>
        <rFont val="Calibri"/>
        <family val="2"/>
        <scheme val="minor"/>
      </rPr>
      <t>: Whole building mechanical systems are not required provided that at least one of the following conditions is met:</t>
    </r>
  </si>
  <si>
    <r>
      <rPr>
        <b/>
        <sz val="11"/>
        <color theme="1"/>
        <rFont val="Calibri"/>
        <family val="2"/>
        <scheme val="minor"/>
      </rPr>
      <t>(a)</t>
    </r>
    <r>
      <rPr>
        <sz val="11"/>
        <color theme="1"/>
        <rFont val="Calibri"/>
        <family val="2"/>
        <scheme val="minor"/>
      </rPr>
      <t xml:space="preserve"> the building is in zone 3B ir 3C of the ICC* IECC 2004 Climate Zone Map (see ASHRAE 62.2*, Figure 8.2),</t>
    </r>
  </si>
  <si>
    <r>
      <rPr>
        <b/>
        <sz val="11"/>
        <color theme="1"/>
        <rFont val="Calibri"/>
        <family val="2"/>
        <scheme val="minor"/>
      </rPr>
      <t>(b)</t>
    </r>
    <r>
      <rPr>
        <sz val="11"/>
        <color theme="1"/>
        <rFont val="Calibri"/>
        <family val="2"/>
        <scheme val="minor"/>
      </rPr>
      <t xml:space="preserve"> the building has no mechanical cooling and is in zone 1 or 2 of the ICC* IECC Climate Zone Map (see ASHRAE 62.2*, Figure 8.2), or</t>
    </r>
  </si>
  <si>
    <r>
      <rPr>
        <b/>
        <sz val="11"/>
        <color theme="1"/>
        <rFont val="Calibri"/>
        <family val="2"/>
        <scheme val="minor"/>
      </rPr>
      <t>(c)</t>
    </r>
    <r>
      <rPr>
        <sz val="11"/>
        <color theme="1"/>
        <rFont val="Calibri"/>
        <family val="2"/>
        <scheme val="minor"/>
      </rPr>
      <t xml:space="preserve"> the building is thermally conditioned for human occupancy for less than 876 hours per year,</t>
    </r>
  </si>
  <si>
    <r>
      <rPr>
        <i/>
        <sz val="11"/>
        <color theme="1"/>
        <rFont val="Calibri"/>
        <family val="2"/>
        <scheme val="minor"/>
      </rPr>
      <t>and</t>
    </r>
    <r>
      <rPr>
        <sz val="11"/>
        <color theme="1"/>
        <rFont val="Calibri"/>
        <family val="2"/>
        <scheme val="minor"/>
      </rPr>
      <t xml:space="preserve"> if the authority having jurisdiction determines that window operation is a locally permissible method of providing ventilation.</t>
    </r>
  </si>
  <si>
    <r>
      <rPr>
        <b/>
        <sz val="11"/>
        <color theme="1"/>
        <rFont val="Calibri"/>
        <family val="2"/>
        <scheme val="minor"/>
      </rPr>
      <t>B201.1.1 - Different Occupant Density.</t>
    </r>
    <r>
      <rPr>
        <sz val="11"/>
        <color theme="1"/>
        <rFont val="Calibri"/>
        <family val="2"/>
        <scheme val="minor"/>
      </rPr>
      <t xml:space="preserve"> Tables B201.1a and B201.1b and Equations B201.1a and B201.1b assume two persons in a studio or one-bedroom dwelling unit and an additional person for each additional bedroom. Where higher occupant densities are known, the rate shall be increased by 7.5 cfm (3.5 L/s) for each additional person. When approved by the authority having jurisdiction, lower occupant densities may be used.</t>
    </r>
  </si>
  <si>
    <r>
      <rPr>
        <b/>
        <sz val="11"/>
        <color theme="1"/>
        <rFont val="Calibri"/>
        <family val="2"/>
        <scheme val="minor"/>
      </rPr>
      <t>B201.1.2 - Alternative Ventilation</t>
    </r>
    <r>
      <rPr>
        <sz val="11"/>
        <color theme="1"/>
        <rFont val="Calibri"/>
        <family val="2"/>
        <scheme val="minor"/>
      </rPr>
      <t>. Other methods may be used to provide the required ventilation rates (of Tables B201.1a and B201.1b) when approved by a licensed design professional.</t>
    </r>
  </si>
  <si>
    <r>
      <rPr>
        <b/>
        <sz val="11"/>
        <color theme="1"/>
        <rFont val="Calibri"/>
        <family val="2"/>
        <scheme val="minor"/>
      </rPr>
      <t>B201.1.3 - Infiltration Credit.</t>
    </r>
    <r>
      <rPr>
        <sz val="11"/>
        <color theme="1"/>
        <rFont val="Calibri"/>
        <family val="2"/>
        <scheme val="minor"/>
      </rPr>
      <t xml:space="preserve"> Section B201.1 includes a default credit for ventilation provided by infiltration of 2 cfm/100 ft2 (10 L/s per 100 m2) of occupiable floor space. For buildings built prior to the application of this standard, when excess infiltration has been measured using ANSI/ASHRAE Standard 136, A Method of Determining Air Change Rates in Detached Dwellings,1 the rates in Section B201.1 may be decreased by half of the excess of the rate calculated from Standard 136 that is above the default rate.</t>
    </r>
  </si>
  <si>
    <t>Equation B201.1a</t>
  </si>
  <si>
    <t>Qfan</t>
  </si>
  <si>
    <t>=</t>
  </si>
  <si>
    <r>
      <t>0.01</t>
    </r>
    <r>
      <rPr>
        <i/>
        <sz val="11"/>
        <color theme="1"/>
        <rFont val="Calibri"/>
        <family val="2"/>
        <scheme val="minor"/>
      </rPr>
      <t>Afloor</t>
    </r>
    <r>
      <rPr>
        <sz val="11"/>
        <color theme="1"/>
        <rFont val="Calibri"/>
        <family val="2"/>
        <scheme val="minor"/>
      </rPr>
      <t xml:space="preserve"> + 7.5(Nbr +1)</t>
    </r>
  </si>
  <si>
    <t>where</t>
  </si>
  <si>
    <t>fan flow rate, cfm</t>
  </si>
  <si>
    <t>Afloor</t>
  </si>
  <si>
    <r>
      <t>floor area, ft</t>
    </r>
    <r>
      <rPr>
        <vertAlign val="superscript"/>
        <sz val="11"/>
        <color theme="1"/>
        <rFont val="Calibri"/>
        <family val="2"/>
        <scheme val="minor"/>
      </rPr>
      <t>2</t>
    </r>
  </si>
  <si>
    <t>Nbr</t>
  </si>
  <si>
    <t>number of bedrooms; not to be less than one</t>
  </si>
  <si>
    <t>Equation B201.1b</t>
  </si>
  <si>
    <r>
      <t>0.05</t>
    </r>
    <r>
      <rPr>
        <i/>
        <sz val="11"/>
        <color theme="1"/>
        <rFont val="Calibri"/>
        <family val="2"/>
        <scheme val="minor"/>
      </rPr>
      <t>Afloor</t>
    </r>
    <r>
      <rPr>
        <sz val="11"/>
        <color theme="1"/>
        <rFont val="Calibri"/>
        <family val="2"/>
        <scheme val="minor"/>
      </rPr>
      <t xml:space="preserve"> + 3.5(Nbr +1)</t>
    </r>
  </si>
  <si>
    <t>fan flow rate, L/s</t>
  </si>
  <si>
    <r>
      <t>floor area, m</t>
    </r>
    <r>
      <rPr>
        <vertAlign val="superscript"/>
        <sz val="11"/>
        <color theme="1"/>
        <rFont val="Calibri"/>
        <family val="2"/>
        <scheme val="minor"/>
      </rPr>
      <t>2</t>
    </r>
  </si>
  <si>
    <t>TABLE B201.1a (I-P)
Ventilation Air Requirements, cfm</t>
  </si>
  <si>
    <t>Floor Area</t>
  </si>
  <si>
    <t>Bedrooms</t>
  </si>
  <si>
    <r>
      <t>(ft</t>
    </r>
    <r>
      <rPr>
        <vertAlign val="superscript"/>
        <sz val="11"/>
        <color theme="0"/>
        <rFont val="Calibri"/>
        <family val="2"/>
        <scheme val="minor"/>
      </rPr>
      <t>2</t>
    </r>
    <r>
      <rPr>
        <sz val="11"/>
        <color theme="0"/>
        <rFont val="Calibri"/>
        <family val="2"/>
        <scheme val="minor"/>
      </rPr>
      <t>)</t>
    </r>
  </si>
  <si>
    <t>0-1</t>
  </si>
  <si>
    <t>2-3</t>
  </si>
  <si>
    <t>4-5</t>
  </si>
  <si>
    <t>6-7</t>
  </si>
  <si>
    <t>&gt;7</t>
  </si>
  <si>
    <t>&lt;1500</t>
  </si>
  <si>
    <t>1501-3000</t>
  </si>
  <si>
    <t>3001-4500</t>
  </si>
  <si>
    <t>4501-6000</t>
  </si>
  <si>
    <t>6001-7500</t>
  </si>
  <si>
    <t>&gt;7500</t>
  </si>
  <si>
    <t>TABLE B201.1b (SI)
Ventilation Air Requirements, L/s</t>
  </si>
  <si>
    <r>
      <t>(m</t>
    </r>
    <r>
      <rPr>
        <vertAlign val="superscript"/>
        <sz val="11"/>
        <color theme="0"/>
        <rFont val="Calibri"/>
        <family val="2"/>
        <scheme val="minor"/>
      </rPr>
      <t>2</t>
    </r>
    <r>
      <rPr>
        <sz val="11"/>
        <color theme="0"/>
        <rFont val="Calibri"/>
        <family val="2"/>
        <scheme val="minor"/>
      </rPr>
      <t>)</t>
    </r>
  </si>
  <si>
    <t>&lt;139</t>
  </si>
  <si>
    <t>139.1-279</t>
  </si>
  <si>
    <t>279.1-418</t>
  </si>
  <si>
    <t>418.1-557</t>
  </si>
  <si>
    <t>557.1-697</t>
  </si>
  <si>
    <t>&gt;697</t>
  </si>
  <si>
    <r>
      <rPr>
        <b/>
        <sz val="11"/>
        <color theme="1"/>
        <rFont val="Calibri"/>
        <family val="2"/>
        <scheme val="minor"/>
      </rPr>
      <t>B201.2 - System Type.</t>
    </r>
    <r>
      <rPr>
        <sz val="11"/>
        <color theme="1"/>
        <rFont val="Calibri"/>
        <family val="2"/>
        <scheme val="minor"/>
      </rPr>
      <t xml:space="preserve"> The whole house ventilation system shall consist of one or more supply of exhaust fans and associated ducts and controls. Local exhaust fans shall be permitted to be part of a mechanical exhaust system. Outdoor air ducts connected to the return side of an air handler shall be permitted as supply ventilation if manufacturers' requirements for return air temperature are met. See ASHRAE 62.2*, Appendix B for guidance on selection of methods.</t>
    </r>
  </si>
  <si>
    <r>
      <rPr>
        <b/>
        <sz val="11"/>
        <color theme="1"/>
        <rFont val="Calibri"/>
        <family val="2"/>
        <scheme val="minor"/>
      </rPr>
      <t>B201.3 - Control and Operation.</t>
    </r>
    <r>
      <rPr>
        <sz val="11"/>
        <color theme="1"/>
        <rFont val="Calibri"/>
        <family val="2"/>
        <scheme val="minor"/>
      </rPr>
      <t xml:space="preserve"> The "fan on" switch on a heating or air-conditioning system shall be permitted as an operational control for systems introducing ventilation air through a duct to the return side of an HVAC system. Readily accessible override control must be provided to the occupant. Local exhaust fan switches and "fan on" switches shall be permitted as override controls. Controls, including the "fan on" switch of a conditioning system, must be appropriately labeled.</t>
    </r>
  </si>
  <si>
    <r>
      <rPr>
        <b/>
        <sz val="11"/>
        <color theme="1"/>
        <rFont val="Calibri"/>
        <family val="2"/>
        <scheme val="minor"/>
      </rPr>
      <t>Exception:</t>
    </r>
    <r>
      <rPr>
        <sz val="11"/>
        <color theme="1"/>
        <rFont val="Calibri"/>
        <family val="2"/>
        <scheme val="minor"/>
      </rPr>
      <t xml:space="preserve"> An intermittently operating, whole-house mechanical ventilation system may be used if the ventilation rate is adjusted according to the exception of Section B201.4. The system must be designed so that it can operate automatically based on a timer. The intermittent mechanical ventilation system must operate at least one hour out of every twelve.</t>
    </r>
  </si>
  <si>
    <r>
      <rPr>
        <b/>
        <sz val="11"/>
        <color theme="1"/>
        <rFont val="Calibri"/>
        <family val="2"/>
        <scheme val="minor"/>
      </rPr>
      <t>B201.4 - Delivered Ventilation</t>
    </r>
    <r>
      <rPr>
        <sz val="11"/>
        <color theme="1"/>
        <rFont val="Calibri"/>
        <family val="2"/>
        <scheme val="minor"/>
      </rPr>
      <t>. The delivered ventilation rate shall be calculated as the larger of the total supply or total exhaust and shall be no less than specified in Section B201.1 during each hour of operation.</t>
    </r>
  </si>
  <si>
    <r>
      <rPr>
        <b/>
        <sz val="11"/>
        <color theme="1"/>
        <rFont val="Calibri"/>
        <family val="2"/>
        <scheme val="minor"/>
      </rPr>
      <t>Exception</t>
    </r>
    <r>
      <rPr>
        <sz val="11"/>
        <color theme="1"/>
        <rFont val="Calibri"/>
        <family val="2"/>
        <scheme val="minor"/>
      </rPr>
      <t>: The effective ventilation rate of an intermittent system is the combination of its delivered capacity, its daily fractional on-time, and the ventilation effectiveness from Table B201.2.</t>
    </r>
  </si>
  <si>
    <t>Equation B201.2</t>
  </si>
  <si>
    <r>
      <t>Qr / (</t>
    </r>
    <r>
      <rPr>
        <sz val="11"/>
        <color theme="1"/>
        <rFont val="Century Gothic"/>
        <family val="2"/>
      </rPr>
      <t>ε</t>
    </r>
    <r>
      <rPr>
        <sz val="11"/>
        <color theme="1"/>
        <rFont val="Calibri"/>
        <family val="2"/>
      </rPr>
      <t xml:space="preserve"> f)</t>
    </r>
  </si>
  <si>
    <t>Qf</t>
  </si>
  <si>
    <t>fan flow rate</t>
  </si>
  <si>
    <t>Qr</t>
  </si>
  <si>
    <t>ventilation air requirement (from Table B201.1a or B201.1b</t>
  </si>
  <si>
    <t>ε</t>
  </si>
  <si>
    <t>ventilation effectiveness (from Table B201.2)</t>
  </si>
  <si>
    <t>f</t>
  </si>
  <si>
    <t>fractional on-time</t>
  </si>
  <si>
    <t>If the system runs at least once every three hours, 1.0 can be used as the ventilation effectiveness. (See ASHRAE 62.2*, Appendix B for an example of this calculation.)</t>
  </si>
  <si>
    <t>TABLE B201.2
Ventilation Effectiveness for Intermittent Fans</t>
  </si>
  <si>
    <r>
      <t xml:space="preserve">Daily Fractional On-Time, </t>
    </r>
    <r>
      <rPr>
        <i/>
        <sz val="11"/>
        <color theme="0"/>
        <rFont val="Calibri"/>
        <family val="2"/>
        <scheme val="minor"/>
      </rPr>
      <t>f</t>
    </r>
  </si>
  <si>
    <r>
      <t xml:space="preserve">Ventilation Effectiveness, </t>
    </r>
    <r>
      <rPr>
        <b/>
        <i/>
        <sz val="11"/>
        <color theme="0"/>
        <rFont val="Calibri"/>
        <family val="2"/>
        <scheme val="minor"/>
      </rPr>
      <t>ε</t>
    </r>
  </si>
  <si>
    <r>
      <rPr>
        <i/>
        <sz val="11"/>
        <color theme="1"/>
        <rFont val="Calibri"/>
        <family val="2"/>
        <scheme val="minor"/>
      </rPr>
      <t>f</t>
    </r>
    <r>
      <rPr>
        <sz val="11"/>
        <color theme="1"/>
        <rFont val="Calibri"/>
        <family val="2"/>
        <scheme val="minor"/>
      </rPr>
      <t xml:space="preserve"> ≤ 25%</t>
    </r>
  </si>
  <si>
    <r>
      <t xml:space="preserve">35% ≤ </t>
    </r>
    <r>
      <rPr>
        <i/>
        <sz val="11"/>
        <color theme="1"/>
        <rFont val="Calibri"/>
        <family val="2"/>
        <scheme val="minor"/>
      </rPr>
      <t>f</t>
    </r>
    <r>
      <rPr>
        <sz val="11"/>
        <color theme="1"/>
        <rFont val="Calibri"/>
        <family val="2"/>
        <scheme val="minor"/>
      </rPr>
      <t xml:space="preserve"> &lt; 60%</t>
    </r>
  </si>
  <si>
    <r>
      <t xml:space="preserve">60% ≤ </t>
    </r>
    <r>
      <rPr>
        <i/>
        <sz val="11"/>
        <color theme="1"/>
        <rFont val="Calibri"/>
        <family val="2"/>
        <scheme val="minor"/>
      </rPr>
      <t>f</t>
    </r>
    <r>
      <rPr>
        <sz val="11"/>
        <color theme="1"/>
        <rFont val="Calibri"/>
        <family val="2"/>
        <scheme val="minor"/>
      </rPr>
      <t xml:space="preserve"> &lt; 80%</t>
    </r>
  </si>
  <si>
    <r>
      <t xml:space="preserve">80% ≤ </t>
    </r>
    <r>
      <rPr>
        <i/>
        <sz val="11"/>
        <color theme="1"/>
        <rFont val="Calibri"/>
        <family val="2"/>
        <scheme val="minor"/>
      </rPr>
      <t>f</t>
    </r>
  </si>
  <si>
    <r>
      <rPr>
        <b/>
        <sz val="11"/>
        <color theme="1"/>
        <rFont val="Calibri"/>
        <family val="2"/>
        <scheme val="minor"/>
      </rPr>
      <t>B201.5 - Restrictions on System Type</t>
    </r>
    <r>
      <rPr>
        <sz val="11"/>
        <color theme="1"/>
        <rFont val="Calibri"/>
        <family val="2"/>
        <scheme val="minor"/>
      </rPr>
      <t>. Use of certain ventilation strategies is restricted in specific climates as follows.</t>
    </r>
  </si>
  <si>
    <r>
      <rPr>
        <b/>
        <sz val="11"/>
        <color theme="1"/>
        <rFont val="Calibri"/>
        <family val="2"/>
        <scheme val="minor"/>
      </rPr>
      <t>B201.5.1 - Hot, Humid Climates</t>
    </r>
    <r>
      <rPr>
        <sz val="11"/>
        <color theme="1"/>
        <rFont val="Calibri"/>
        <family val="2"/>
        <scheme val="minor"/>
      </rPr>
      <t>. In hot, humid climates, whole house mechanical net exhaust flow shall not exceed 7.5 cfm per 100 ft</t>
    </r>
    <r>
      <rPr>
        <vertAlign val="superscript"/>
        <sz val="11"/>
        <color theme="1"/>
        <rFont val="Calibri"/>
        <family val="2"/>
        <scheme val="minor"/>
      </rPr>
      <t>2</t>
    </r>
    <r>
      <rPr>
        <sz val="11"/>
        <color theme="1"/>
        <rFont val="Calibri"/>
        <family val="2"/>
        <scheme val="minor"/>
      </rPr>
      <t xml:space="preserve"> (35 L/s per 100 m</t>
    </r>
    <r>
      <rPr>
        <vertAlign val="superscript"/>
        <sz val="11"/>
        <color theme="1"/>
        <rFont val="Calibri"/>
        <family val="2"/>
        <scheme val="minor"/>
      </rPr>
      <t>2</t>
    </r>
    <r>
      <rPr>
        <sz val="11"/>
        <color theme="1"/>
        <rFont val="Calibri"/>
        <family val="2"/>
        <scheme val="minor"/>
      </rPr>
      <t>). (see ASHRAE 62.2*, Section 8 for a listing of hot, humid US climates.)</t>
    </r>
  </si>
  <si>
    <r>
      <rPr>
        <b/>
        <sz val="11"/>
        <color theme="1"/>
        <rFont val="Calibri"/>
        <family val="2"/>
        <scheme val="minor"/>
      </rPr>
      <t>B201.5.2 - Very Cold Climates</t>
    </r>
    <r>
      <rPr>
        <sz val="11"/>
        <color theme="1"/>
        <rFont val="Calibri"/>
        <family val="2"/>
        <scheme val="minor"/>
      </rPr>
      <t>. Mechanical supply systems exceeding 7.5 cfm per 100 ft</t>
    </r>
    <r>
      <rPr>
        <vertAlign val="superscript"/>
        <sz val="11"/>
        <color theme="1"/>
        <rFont val="Calibri"/>
        <family val="2"/>
        <scheme val="minor"/>
      </rPr>
      <t>2</t>
    </r>
    <r>
      <rPr>
        <sz val="11"/>
        <color theme="1"/>
        <rFont val="Calibri"/>
        <family val="2"/>
        <scheme val="minor"/>
      </rPr>
      <t xml:space="preserve"> (35 L/s per 100 m</t>
    </r>
    <r>
      <rPr>
        <vertAlign val="superscript"/>
        <sz val="11"/>
        <color theme="1"/>
        <rFont val="Calibri"/>
        <family val="2"/>
        <scheme val="minor"/>
      </rPr>
      <t>2</t>
    </r>
    <r>
      <rPr>
        <sz val="11"/>
        <color theme="1"/>
        <rFont val="Calibri"/>
        <family val="2"/>
        <scheme val="minor"/>
      </rPr>
      <t>) shall not be used in very cold climates. (see ASHRAE 62.2*, Section 8 for a listing of very cold US climates.)</t>
    </r>
  </si>
  <si>
    <r>
      <rPr>
        <b/>
        <sz val="11"/>
        <color theme="1"/>
        <rFont val="Calibri"/>
        <family val="2"/>
        <scheme val="minor"/>
      </rPr>
      <t>Exception</t>
    </r>
    <r>
      <rPr>
        <sz val="11"/>
        <color theme="1"/>
        <rFont val="Calibri"/>
        <family val="2"/>
        <scheme val="minor"/>
      </rPr>
      <t>: These ventilation strategies are not restricted if the authority having jurisdiction approves the envelope design as being moisture resistant.</t>
    </r>
  </si>
  <si>
    <r>
      <rPr>
        <vertAlign val="superscript"/>
        <sz val="11"/>
        <color theme="1"/>
        <rFont val="Calibri"/>
        <family val="2"/>
        <scheme val="minor"/>
      </rPr>
      <t>1</t>
    </r>
    <r>
      <rPr>
        <sz val="11"/>
        <color theme="1"/>
        <rFont val="Calibri"/>
        <family val="2"/>
        <scheme val="minor"/>
      </rPr>
      <t xml:space="preserve"> </t>
    </r>
    <r>
      <rPr>
        <i/>
        <sz val="11"/>
        <color theme="1"/>
        <rFont val="Calibri"/>
        <family val="2"/>
        <scheme val="minor"/>
      </rPr>
      <t>ANSI/ASHRAE Standard 136-1993 (RA2006), A Method of Determining Air Change Rates in Detached Dwellings</t>
    </r>
    <r>
      <rPr>
        <sz val="11"/>
        <color theme="1"/>
        <rFont val="Calibri"/>
        <family val="2"/>
        <scheme val="minor"/>
      </rPr>
      <t>. American Society of Heating, Refrigerating and Air-Conditioning Engineers, Inc., Atlanta, GA.</t>
    </r>
  </si>
  <si>
    <t>Errata</t>
  </si>
  <si>
    <t>Date</t>
  </si>
  <si>
    <t>Correction</t>
  </si>
  <si>
    <t>Chapter 5 - Landscape Formulas</t>
  </si>
  <si>
    <t>Full Landscape Plan</t>
  </si>
  <si>
    <t>Front Only Landscape Plan</t>
  </si>
  <si>
    <t>Rear Only Landscape Plan</t>
  </si>
  <si>
    <t>dd Landscape Types</t>
  </si>
  <si>
    <t>&lt;25%</t>
  </si>
  <si>
    <t>&gt;75%</t>
  </si>
  <si>
    <t>25% to &lt;50%</t>
  </si>
  <si>
    <t>7 to &lt;14 units</t>
  </si>
  <si>
    <t>14 to &lt;21 units</t>
  </si>
  <si>
    <t>21 or more units</t>
  </si>
  <si>
    <t>Drop Downs - Chapter 6</t>
  </si>
  <si>
    <t>Formulas - Chapter 6</t>
  </si>
  <si>
    <r>
      <rPr>
        <b/>
        <sz val="10"/>
        <rFont val="Calibri"/>
        <family val="2"/>
        <scheme val="minor"/>
      </rPr>
      <t>Conditioned floor area.</t>
    </r>
    <r>
      <rPr>
        <sz val="10"/>
        <rFont val="Calibri"/>
        <family val="2"/>
        <scheme val="minor"/>
      </rPr>
      <t xml:space="preserve"> Finished floor area of a dwelling unit is limited. Finished floor area is calculated in accordance with NAHBRC Z765. Only the finished floor area for stories above grade plane is included in the calculation.
</t>
    </r>
    <r>
      <rPr>
        <b/>
        <sz val="10"/>
        <color rgb="FF7030A0"/>
        <rFont val="Calibri"/>
        <family val="2"/>
        <scheme val="minor"/>
      </rPr>
      <t>For a multi-unit building, use a weighted average of the individual unit sizes in qualifying for available points.</t>
    </r>
    <r>
      <rPr>
        <b/>
        <i/>
        <sz val="10"/>
        <rFont val="Calibri"/>
        <family val="2"/>
        <scheme val="minor"/>
      </rPr>
      <t xml:space="preserve">
</t>
    </r>
    <r>
      <rPr>
        <b/>
        <u/>
        <sz val="10"/>
        <rFont val="Calibri"/>
        <family val="2"/>
        <scheme val="minor"/>
      </rPr>
      <t>Claim points for only one from (1)-(4) below:</t>
    </r>
  </si>
  <si>
    <t>15 points</t>
  </si>
  <si>
    <t>12 points</t>
  </si>
  <si>
    <t>9 points</t>
  </si>
  <si>
    <t>Minimum structural member or element sizes necessary for strength and stiffness in accordance with advanced framing techniques or structural design standards are selected.</t>
  </si>
  <si>
    <t>Higher-grade or higher-strength of the same materials than commonly specified for structural elements and components in the building are used and element or component sizes are reduced accordingly.</t>
  </si>
  <si>
    <t>Performance-based structural design is used to optimize lateral force-resisting systems.</t>
  </si>
  <si>
    <r>
      <rPr>
        <b/>
        <sz val="10"/>
        <rFont val="Calibri"/>
        <family val="2"/>
        <scheme val="minor"/>
      </rPr>
      <t>Material usage.</t>
    </r>
    <r>
      <rPr>
        <sz val="10"/>
        <rFont val="Calibri"/>
        <family val="2"/>
        <scheme val="minor"/>
      </rPr>
      <t xml:space="preserve"> Structural systems are designed or construction techniques are implemented that reduce and optimize material usage.
</t>
    </r>
    <r>
      <rPr>
        <b/>
        <u/>
        <sz val="10"/>
        <rFont val="Calibri"/>
        <family val="2"/>
        <scheme val="minor"/>
      </rPr>
      <t>Claim points for all that apply from (1)-(3) below:</t>
    </r>
  </si>
  <si>
    <r>
      <rPr>
        <b/>
        <sz val="10"/>
        <rFont val="Calibri"/>
        <family val="2"/>
        <scheme val="minor"/>
      </rPr>
      <t>Site-applied finishing materials.</t>
    </r>
    <r>
      <rPr>
        <sz val="10"/>
        <rFont val="Calibri"/>
        <family val="2"/>
        <scheme val="minor"/>
      </rPr>
      <t xml:space="preserve"> Building materials or assemblies listed below that do not require additional site-applied material for finishing are incorporated in the building. These include:
(a) pigmented, stamped, decorative, or final finish concrete or masonry
(b) interior trim not requiring paint or stain
(c) exterior trim not requiring paint or stain
(d) window, skylight, and door assemblies not requiring paint or stain on one of the following surfaces:
     i. exterior surfaces
     ii. interior surfaces
(e) interior wall coverings or systems not requiring paint or stain or other type of finishing application
(f) exterior wall coverings or systems not requiring paint or stain or other type of finishing application
(g) pre-finished hardwood flooring
For example: of all of the exterior trim, less than 10% needs to be painted.</t>
    </r>
  </si>
  <si>
    <r>
      <rPr>
        <b/>
        <sz val="10"/>
        <color rgb="FFFF0000"/>
        <rFont val="Calibri"/>
        <family val="2"/>
      </rPr>
      <t>NOTE:</t>
    </r>
    <r>
      <rPr>
        <sz val="10"/>
        <rFont val="Calibri"/>
        <family val="2"/>
      </rPr>
      <t xml:space="preserve"> Indicate types of materials or assemblies in the assigned Notes area. Note if used at 90%, 50%, or 35 to less than 50% level.
Qualifying materials limited to: pigmented, stamped, decorative, or final finish concrete or masonry; trim not requiring paint or stain; window, skylight, and door assemblies not requiring paint/stain on exterior and/or interior; wall coverings/systems not requiring paint/stain or other type of finishing.</t>
    </r>
  </si>
  <si>
    <r>
      <rPr>
        <b/>
        <sz val="10"/>
        <color rgb="FFFF0000"/>
        <rFont val="Calibri"/>
        <family val="2"/>
      </rPr>
      <t>NOTE:</t>
    </r>
    <r>
      <rPr>
        <sz val="10"/>
        <rFont val="Calibri"/>
        <family val="2"/>
      </rPr>
      <t xml:space="preserve"> Indicate in the assigned Notes area the type designed and constructed: frost-protected shallow foundations, pier and pad foundations, post foundations, or other similar foundation type.</t>
    </r>
  </si>
  <si>
    <r>
      <rPr>
        <b/>
        <sz val="10"/>
        <color rgb="FFFF0000"/>
        <rFont val="Calibri"/>
        <family val="2"/>
      </rPr>
      <t>NOTE:</t>
    </r>
    <r>
      <rPr>
        <sz val="10"/>
        <rFont val="Calibri"/>
        <family val="2"/>
      </rPr>
      <t xml:space="preserve"> Indicate in the assigned Notes area the type of wall system used.</t>
    </r>
  </si>
  <si>
    <r>
      <rPr>
        <b/>
        <sz val="10"/>
        <rFont val="Calibri"/>
        <family val="2"/>
        <scheme val="minor"/>
      </rPr>
      <t>Foundations.</t>
    </r>
    <r>
      <rPr>
        <sz val="10"/>
        <rFont val="Calibri"/>
        <family val="2"/>
        <scheme val="minor"/>
      </rPr>
      <t xml:space="preserve"> A foundation system that minimizes soil disturbance, excavation quantities and material usage, such as frost-protected shallow foundations, isolated pier and pad foundations, deep foundations, post foundations, or helical piles is selected, designed, and constructed. The foundation is used on 50 percent or more of the building footprint.</t>
    </r>
  </si>
  <si>
    <r>
      <rPr>
        <b/>
        <sz val="10"/>
        <color theme="1"/>
        <rFont val="Calibri"/>
        <family val="2"/>
        <scheme val="minor"/>
      </rPr>
      <t>Intent.</t>
    </r>
    <r>
      <rPr>
        <sz val="10"/>
        <color theme="1"/>
        <rFont val="Calibri"/>
        <family val="2"/>
        <scheme val="minor"/>
      </rPr>
      <t xml:space="preserve"> Design and construction practices are implemented that enhance the durability of materials and reduce in-service maintenance.</t>
    </r>
  </si>
  <si>
    <t>Moisture Mangement - Building Envelope</t>
  </si>
  <si>
    <t>602.1.1</t>
  </si>
  <si>
    <t>602.1.1.1</t>
  </si>
  <si>
    <t>Met</t>
  </si>
  <si>
    <t>Not Met</t>
  </si>
  <si>
    <t xml:space="preserve">A capillary break and vapor retarder are installed at concrete slabs in accordance with ICC IRC Sections R506.2.2 and R506.2.3 or ICC IBC Sections 1910 and 1805.4.1.
    </t>
  </si>
  <si>
    <t>602.1.1.2</t>
  </si>
  <si>
    <t>602.1.2</t>
  </si>
  <si>
    <t>602.1.3</t>
  </si>
  <si>
    <t>602.1.3.1</t>
  </si>
  <si>
    <t>602.1.3.2</t>
  </si>
  <si>
    <t>602.1.4.1</t>
  </si>
  <si>
    <t>602.1.4.2</t>
  </si>
  <si>
    <t>Vapor retarder in unconditioned vented crawlspace is in accordance with the following, as applicable. Joints of vapor retarder overlap a minimum of 6 inches (152 mm) and are taped.</t>
  </si>
  <si>
    <t>Floors. Minimum 6 mil vapor retarder installed on the crawlspace floor and extended at least 6 inches up the wall and is attached and sealed to the wall.</t>
  </si>
  <si>
    <t>a concrete slab over 6 mil polyethylene or polystyrene sheeting lapped a minimum of 6 inches (152 mm) and taped or sealed at the seams.</t>
  </si>
  <si>
    <t>602.1.4</t>
  </si>
  <si>
    <t>602.1.4.1_2</t>
  </si>
  <si>
    <t>602.1.4.2_2</t>
  </si>
  <si>
    <t>602.1.5</t>
  </si>
  <si>
    <t>602.1.6</t>
  </si>
  <si>
    <t>slight to moderate termite infestion probability</t>
  </si>
  <si>
    <t>moderate to heavy termite infestion probability</t>
  </si>
  <si>
    <t>very heavy termite infestion probability</t>
  </si>
  <si>
    <t>602.1.7</t>
  </si>
  <si>
    <t>602.1.7.1</t>
  </si>
  <si>
    <t>Insulation in cavities is dry in accordance with manufacturer’s installation instructions when enclosed (e.g., with drywall).</t>
  </si>
  <si>
    <t>602.1.7.1_2</t>
  </si>
  <si>
    <t>602.1.7.2</t>
  </si>
  <si>
    <t>602.1.8</t>
  </si>
  <si>
    <t>602.1.9</t>
  </si>
  <si>
    <r>
      <rPr>
        <b/>
        <sz val="10"/>
        <rFont val="Calibri"/>
        <family val="2"/>
        <scheme val="minor"/>
      </rPr>
      <t>Flashing.</t>
    </r>
    <r>
      <rPr>
        <sz val="10"/>
        <rFont val="Calibri"/>
        <family val="2"/>
        <scheme val="minor"/>
      </rPr>
      <t xml:space="preserve"> Flashing is provided to minimize water entry into wall and roof assemblies and to direct water to exterior surfaces or exterior water-resistive barriers for drainage. Flashing details are provided in the construction documents and are in accordance with the fenestration manufacturer’s instructions, the flashing manufacturer’s instructions, or as detailed by a registered design professional.</t>
    </r>
  </si>
  <si>
    <t>Flashing are installed at all of the following locations, as applicable:
(a) around exterior fenestrations, skylights and doors
(b) at roof valleys
(c) at deck, balcony, porch or stair to building intersections
(d) at roof-to-wall intersections, at roof-to-chimney intersections, at wall-to-chimney intersections, and at parapets.
(e) at ends of and under masonry, wood, or metal copings and sills
(f) above projecting wood trim
(g) at built-in roof gutters
(h) drip edge is installed at eaves and rake edges.</t>
  </si>
  <si>
    <t>602.1.9_1</t>
  </si>
  <si>
    <t>All window head and jamb flashing are self-adhered flashing complying with AAMA 711-07.</t>
  </si>
  <si>
    <t>Pan flashing is installed at sills of all exterior windows and doors.</t>
  </si>
  <si>
    <t>Seamless, preformed kickout flashing, or prefabricated metal with soldered seams is provided at all roof-to-wall intersections. The type and thickness of the material used for roof flashing including but not limited kickout and step flashing is commensurate with the anticipated service life of the roofing material.</t>
  </si>
  <si>
    <t>Flashing is installed at expansion joints in stucco walls.</t>
  </si>
  <si>
    <t>Through wall flashing is installed at transitions between wall cladding materials, or wall construction types.</t>
  </si>
  <si>
    <r>
      <t xml:space="preserve">A rainscreen wall design is used for exterior wall assemblies.
</t>
    </r>
    <r>
      <rPr>
        <b/>
        <sz val="10"/>
        <color theme="1"/>
        <rFont val="Calibri"/>
        <family val="2"/>
        <scheme val="minor"/>
      </rPr>
      <t>Claim points for only one from (a) or (b) below:</t>
    </r>
  </si>
  <si>
    <t>A system designed with minimum ¼” inch air space exterior to the water-resistive barrier, vented to the exterior at top and bottom of the wall and integrated with flashing details.</t>
  </si>
  <si>
    <t>Either a cladding material or a water-resistive barrier with enhanced drainage, meeting 75% drainage efficiency requirement of ASTM E2273.</t>
  </si>
  <si>
    <t>602.1.9_5</t>
  </si>
  <si>
    <t>System designed with air space</t>
  </si>
  <si>
    <t>Cladding material or a water-resistive barrier</t>
  </si>
  <si>
    <t>602.1.10</t>
  </si>
  <si>
    <r>
      <rPr>
        <b/>
        <sz val="10"/>
        <rFont val="Calibri"/>
        <family val="2"/>
        <scheme val="minor"/>
      </rPr>
      <t>Exterior doors.</t>
    </r>
    <r>
      <rPr>
        <sz val="10"/>
        <rFont val="Calibri"/>
        <family val="2"/>
        <scheme val="minor"/>
      </rPr>
      <t xml:space="preserve"> Entries at exterior door assemblies, inclusive of side lights, are covered by one of the following methods to protect the building from the effects of precipitation and solar radiation. A projection factor of 0.375 minimum is provided. Eastern- and western-facing entries in Climate Zones 1, 2, and 3, as determined in accordance with Figure 6(1) or Appendix C, have a projection factor of 1.0 minimum, unless otherwise protected from direct solar radiation by other means (e.g., screen wall, vegetation).
     (a) installing a porch roof or awning
     (b) extending the roof overhang
     (c) recessing the exterior door
</t>
    </r>
    <r>
      <rPr>
        <b/>
        <u/>
        <sz val="10"/>
        <rFont val="Calibri"/>
        <family val="2"/>
        <scheme val="minor"/>
      </rPr>
      <t>Claim points for only one from (1)-(3) below:</t>
    </r>
  </si>
  <si>
    <t>1 exterior door</t>
  </si>
  <si>
    <t>2 exterior doors</t>
  </si>
  <si>
    <t>3+ exterior doors</t>
  </si>
  <si>
    <t>3 or more exterior doors</t>
  </si>
  <si>
    <t>602.1.11</t>
  </si>
  <si>
    <t>602.1.12</t>
  </si>
  <si>
    <r>
      <rPr>
        <b/>
        <sz val="10"/>
        <rFont val="Calibri"/>
        <family val="2"/>
        <scheme val="minor"/>
      </rPr>
      <t>Roof overhangs.</t>
    </r>
    <r>
      <rPr>
        <sz val="10"/>
        <rFont val="Calibri"/>
        <family val="2"/>
        <scheme val="minor"/>
      </rPr>
      <t xml:space="preserve"> Roof overhangs, based on inches of rainfall in Table 602.1.12, are provided over a minimum of 90% of exterior walls to protect the building envelope.</t>
    </r>
  </si>
  <si>
    <t>40 or less</t>
  </si>
  <si>
    <r>
      <rPr>
        <vertAlign val="superscript"/>
        <sz val="9"/>
        <color theme="1"/>
        <rFont val="Calibri"/>
        <family val="2"/>
        <scheme val="minor"/>
      </rPr>
      <t>1</t>
    </r>
    <r>
      <rPr>
        <sz val="9"/>
        <color theme="1"/>
        <rFont val="Calibri"/>
        <family val="2"/>
        <scheme val="minor"/>
      </rPr>
      <t xml:space="preserve"> Average annual inches of rainfall are in accordance with Figure 6(2)
For SI: 12 inches = 304.8 mm</t>
    </r>
  </si>
  <si>
    <t>602.1.14</t>
  </si>
  <si>
    <r>
      <rPr>
        <b/>
        <sz val="10"/>
        <rFont val="Calibri"/>
        <family val="2"/>
        <scheme val="minor"/>
      </rPr>
      <t>Architectural Features.</t>
    </r>
    <r>
      <rPr>
        <sz val="10"/>
        <rFont val="Calibri"/>
        <family val="2"/>
        <scheme val="minor"/>
      </rPr>
      <t xml:space="preserve"> Architectural features that increase the potential for water intrusion are avoided:
</t>
    </r>
    <r>
      <rPr>
        <b/>
        <u/>
        <sz val="10"/>
        <rFont val="Calibri"/>
        <family val="2"/>
        <scheme val="minor"/>
      </rPr>
      <t>Claim points for all that apply from (1)-(2) below:</t>
    </r>
  </si>
  <si>
    <t>No roof configurations that create horizontal valleys in roof design.</t>
  </si>
  <si>
    <t>No recessed windows and architectural features that trap water on horizontal surfaces.</t>
  </si>
  <si>
    <t>All horizontal ledgers are sloped away to provide gravity drainage as appropriate for the application.</t>
  </si>
  <si>
    <t>602.1.15_3</t>
  </si>
  <si>
    <r>
      <rPr>
        <b/>
        <sz val="10"/>
        <rFont val="Calibri"/>
        <family val="2"/>
        <scheme val="minor"/>
      </rPr>
      <t>Roof surfaces.</t>
    </r>
    <r>
      <rPr>
        <sz val="10"/>
        <rFont val="Calibri"/>
        <family val="2"/>
        <scheme val="minor"/>
      </rPr>
      <t xml:space="preserve"> A minimum of 90 percent of roof surfaces, not used for roof penetrations and associated equipment, on-site renewable energy systems such as photovoltaics or solar thermal energy collectors, or rooftop decks, amenities and walkways, are constructed of one or both of the following:
     (1) products that are in accordance with the ENERGY STAR® cool roof certification or equivalent
     (2) a vegetated roof system</t>
    </r>
  </si>
  <si>
    <t>ENERGY STAR® cool roof</t>
  </si>
  <si>
    <t>Vegetated roof system</t>
  </si>
  <si>
    <t>Both</t>
  </si>
  <si>
    <t>Finished grade.</t>
  </si>
  <si>
    <t>602.4.1</t>
  </si>
  <si>
    <t>Finished grade at all sides of a building is sloped to provide a minimum of 6 inches (150 mm) of fall within 10 feet (3048 mm) of the edge of the building. Where lot lines, walls, slopes, or other physical barriers prohibit 6 inches (152 mm) of fall within 10 feet (3048 mm), the final grade is sloped away from the edge of the building at a minimum slope of 2 percent.</t>
  </si>
  <si>
    <t>602.4.2</t>
  </si>
  <si>
    <t>Water is directed to drains or swales to ensure drainage away from the structure.</t>
  </si>
  <si>
    <t>602.4.3</t>
  </si>
  <si>
    <r>
      <rPr>
        <b/>
        <sz val="10"/>
        <color theme="1"/>
        <rFont val="Calibri"/>
        <family val="2"/>
        <scheme val="minor"/>
      </rPr>
      <t>Intent.</t>
    </r>
    <r>
      <rPr>
        <sz val="10"/>
        <color theme="1"/>
        <rFont val="Calibri"/>
        <family val="2"/>
        <scheme val="minor"/>
      </rPr>
      <t xml:space="preserve"> Practices that reuse or modify existing structures, salvage materials for other uses, or use salvaged materials in the building's construction are implemented.</t>
    </r>
  </si>
  <si>
    <t>200 - &lt;400 sf</t>
  </si>
  <si>
    <t>400 - &lt;600 sf</t>
  </si>
  <si>
    <t>600 - &lt;800 sf</t>
  </si>
  <si>
    <t>800 - &lt;1000 sf</t>
  </si>
  <si>
    <t>1000 - &lt;1200 sf</t>
  </si>
  <si>
    <t>1200 - &lt;1400 sf</t>
  </si>
  <si>
    <t>1400 - &lt;1600 sf</t>
  </si>
  <si>
    <t>1600 - &lt;1800 sf</t>
  </si>
  <si>
    <t>1800 - &lt;2000 sf</t>
  </si>
  <si>
    <t>2000 - &lt;2200 sf</t>
  </si>
  <si>
    <t>2200 - &lt;2400 sf</t>
  </si>
  <si>
    <t>2400+ sf</t>
  </si>
  <si>
    <r>
      <rPr>
        <b/>
        <sz val="10"/>
        <rFont val="Calibri"/>
        <family val="2"/>
        <scheme val="minor"/>
      </rPr>
      <t>Salvaged materials.</t>
    </r>
    <r>
      <rPr>
        <sz val="10"/>
        <rFont val="Calibri"/>
        <family val="2"/>
        <scheme val="minor"/>
      </rPr>
      <t xml:space="preserve"> Reclaimed and/or salvaged materials and components are used. The total material value and labor cost of salvaged materials is equal to or exceeds 1 percent of the total construction cost.
</t>
    </r>
    <r>
      <rPr>
        <b/>
        <sz val="10"/>
        <rFont val="Calibri"/>
        <family val="2"/>
        <scheme val="minor"/>
      </rPr>
      <t>Points awarded per 1% of salvaged materials used based on the total construction cost.</t>
    </r>
  </si>
  <si>
    <r>
      <rPr>
        <b/>
        <sz val="10"/>
        <rFont val="Calibri"/>
        <family val="2"/>
        <scheme val="minor"/>
      </rPr>
      <t>Reuse of existing building.</t>
    </r>
    <r>
      <rPr>
        <sz val="10"/>
        <rFont val="Calibri"/>
        <family val="2"/>
        <scheme val="minor"/>
      </rPr>
      <t xml:space="preserve"> Existing buildings and structures are reused, modified, or deconstructed in lieu of demolition.</t>
    </r>
    <r>
      <rPr>
        <sz val="8"/>
        <rFont val="Calibri"/>
        <family val="2"/>
        <scheme val="minor"/>
      </rPr>
      <t xml:space="preserve"> </t>
    </r>
    <r>
      <rPr>
        <sz val="10"/>
        <rFont val="Calibri"/>
        <family val="2"/>
        <scheme val="minor"/>
      </rPr>
      <t xml:space="preserve">
</t>
    </r>
    <r>
      <rPr>
        <b/>
        <sz val="10"/>
        <rFont val="Calibri"/>
        <family val="2"/>
        <scheme val="minor"/>
      </rPr>
      <t>Points awarded for every 200 square feet (18.5 m</t>
    </r>
    <r>
      <rPr>
        <b/>
        <vertAlign val="superscript"/>
        <sz val="10"/>
        <rFont val="Calibri"/>
        <family val="2"/>
        <scheme val="minor"/>
      </rPr>
      <t>2</t>
    </r>
    <r>
      <rPr>
        <b/>
        <sz val="10"/>
        <rFont val="Calibri"/>
        <family val="2"/>
        <scheme val="minor"/>
      </rPr>
      <t>) of floor area.</t>
    </r>
  </si>
  <si>
    <r>
      <rPr>
        <b/>
        <sz val="10"/>
        <color rgb="FFFF0000"/>
        <rFont val="Calibri"/>
        <family val="2"/>
        <scheme val="minor"/>
      </rPr>
      <t>NOTE:</t>
    </r>
    <r>
      <rPr>
        <sz val="10"/>
        <rFont val="Calibri"/>
        <family val="2"/>
        <scheme val="minor"/>
      </rPr>
      <t xml:space="preserve"> In the assigned Notes area, list materials used for minor building components.</t>
    </r>
  </si>
  <si>
    <r>
      <rPr>
        <b/>
        <sz val="10"/>
        <color rgb="FFFF0000"/>
        <rFont val="Calibri"/>
        <family val="2"/>
        <scheme val="minor"/>
      </rPr>
      <t>NOTE:</t>
    </r>
    <r>
      <rPr>
        <sz val="10"/>
        <rFont val="Calibri"/>
        <family val="2"/>
        <scheme val="minor"/>
      </rPr>
      <t xml:space="preserve"> In the assigned Notes area, list materials used for major building components.</t>
    </r>
  </si>
  <si>
    <t>Recycled content.</t>
  </si>
  <si>
    <r>
      <t xml:space="preserve">Building materials with the following percentages of recycled content are used for at least two </t>
    </r>
    <r>
      <rPr>
        <b/>
        <sz val="10"/>
        <rFont val="Calibri"/>
        <family val="2"/>
        <scheme val="minor"/>
      </rPr>
      <t xml:space="preserve">minor </t>
    </r>
    <r>
      <rPr>
        <sz val="10"/>
        <rFont val="Calibri"/>
        <family val="2"/>
        <scheme val="minor"/>
      </rPr>
      <t>components of the building.</t>
    </r>
  </si>
  <si>
    <t>604.1.1</t>
  </si>
  <si>
    <t>604.1.2</t>
  </si>
  <si>
    <t>25 - &lt;50%</t>
  </si>
  <si>
    <t>50 - &lt;75%</t>
  </si>
  <si>
    <t>75%+</t>
  </si>
  <si>
    <r>
      <rPr>
        <b/>
        <sz val="10"/>
        <color theme="1"/>
        <rFont val="Calibri"/>
        <family val="2"/>
        <scheme val="minor"/>
      </rPr>
      <t>Intent.</t>
    </r>
    <r>
      <rPr>
        <sz val="10"/>
        <color theme="1"/>
        <rFont val="Calibri"/>
        <family val="2"/>
        <scheme val="minor"/>
      </rPr>
      <t xml:space="preserve"> Building materials derived from renewable resources are used.</t>
    </r>
  </si>
  <si>
    <r>
      <rPr>
        <b/>
        <sz val="10"/>
        <color theme="1"/>
        <rFont val="Calibri"/>
        <family val="2"/>
        <scheme val="minor"/>
      </rPr>
      <t>Intent.</t>
    </r>
    <r>
      <rPr>
        <sz val="10"/>
        <color theme="1"/>
        <rFont val="Calibri"/>
        <family val="2"/>
        <scheme val="minor"/>
      </rPr>
      <t xml:space="preserve"> Waste generated during construction is recycled. All waste classified as hazardous shall be properly handled and disposed.
</t>
    </r>
    <r>
      <rPr>
        <b/>
        <sz val="10"/>
        <color theme="1"/>
        <rFont val="Calibri"/>
        <family val="2"/>
        <scheme val="minor"/>
      </rPr>
      <t>(Points not awarded for hazardous waste removal.)</t>
    </r>
  </si>
  <si>
    <r>
      <rPr>
        <b/>
        <sz val="10"/>
        <rFont val="Calibri"/>
        <family val="2"/>
        <scheme val="minor"/>
      </rPr>
      <t>Construction waste management plan.</t>
    </r>
    <r>
      <rPr>
        <sz val="10"/>
        <rFont val="Calibri"/>
        <family val="2"/>
        <scheme val="minor"/>
      </rPr>
      <t xml:space="preserve"> A construction waste management plan is developed, posted at the jobsite, and implemented with a goal of recycling or salvaging a minimum of 50 percent (by weight) of construction waste.</t>
    </r>
  </si>
  <si>
    <r>
      <rPr>
        <b/>
        <sz val="10"/>
        <rFont val="Calibri"/>
        <family val="2"/>
        <scheme val="minor"/>
      </rPr>
      <t>On-site recycling.</t>
    </r>
    <r>
      <rPr>
        <sz val="10"/>
        <rFont val="Calibri"/>
        <family val="2"/>
        <scheme val="minor"/>
      </rPr>
      <t xml:space="preserve"> On-site recycling measures following applicable regulations and codes are implemented, such as the following:
     (a) Materials are ground or otherwise safely applied on-site as soil amendment or fill. A minimum of 50 percent (by weight) of construction and land-clearing waste is diverted from landfill.
     (b) Alternative compliance methods approved by the Adopting Entity.
     (c) Compatible untreated biomass material (lumber, posts, beams etc.) are set aside for combustion if a solid fuel burning appliance as per Section 901.2.1(2) will be available for on-site renewable energy.</t>
    </r>
  </si>
  <si>
    <r>
      <rPr>
        <b/>
        <sz val="10"/>
        <rFont val="Calibri"/>
        <family val="2"/>
        <scheme val="minor"/>
      </rPr>
      <t xml:space="preserve">Recycled construction materials. </t>
    </r>
    <r>
      <rPr>
        <sz val="10"/>
        <rFont val="Calibri"/>
        <family val="2"/>
        <scheme val="minor"/>
      </rPr>
      <t>Construction materials (e.g., wood, cardboard, metals, drywall, plastic, asphalt roofing shingles, or concrete) are recycled offsite.</t>
    </r>
  </si>
  <si>
    <t>5+ types</t>
  </si>
  <si>
    <t>4 types</t>
  </si>
  <si>
    <t>3 types</t>
  </si>
  <si>
    <t>2 types</t>
  </si>
  <si>
    <r>
      <rPr>
        <b/>
        <sz val="10"/>
        <color rgb="FFFF0000"/>
        <rFont val="Calibri"/>
        <family val="2"/>
      </rPr>
      <t>NOTE:</t>
    </r>
    <r>
      <rPr>
        <sz val="10"/>
        <rFont val="Calibri"/>
        <family val="2"/>
      </rPr>
      <t xml:space="preserve"> List types of materials recycled in the assigned Notes area.
Examples: Wood, carboard, metal, drywall, plastic, concrete, shingles, other materials</t>
    </r>
  </si>
  <si>
    <r>
      <rPr>
        <b/>
        <sz val="10"/>
        <color rgb="FFFF0000"/>
        <rFont val="Calibri"/>
        <family val="2"/>
      </rPr>
      <t>NOTE:</t>
    </r>
    <r>
      <rPr>
        <sz val="10"/>
        <rFont val="Calibri"/>
        <family val="2"/>
      </rPr>
      <t xml:space="preserve"> Additional points claimed in 606.1(3) will not be awarded unless points are claimed for 606.1(1) and/or 606.1(2).
In the assigned Notes area, list biobased materials used.
Examples: Certified wood, engineered wood, bamboo, cotton, cork, straw, fiber from crops, min. biobased per CFR2902, other biobased with &gt;50% biobased content</t>
    </r>
  </si>
  <si>
    <r>
      <rPr>
        <b/>
        <sz val="10"/>
        <color rgb="FFFF0000"/>
        <rFont val="Calibri"/>
        <family val="2"/>
      </rPr>
      <t>NOTE:</t>
    </r>
    <r>
      <rPr>
        <sz val="10"/>
        <rFont val="Calibri"/>
        <family val="2"/>
      </rPr>
      <t xml:space="preserve"> In the assigned Notes area, list certified wood/wood-based products used. Note if they are minor or major elements of the building.
Examples: AFF American Tree Farm System®, CSA Sustainable Forest Management System Standards (CA Z809), Forest Stewardship Councils (FSC), Program for Endorsement of Forest Certification Systems (PEFC), Sustainable Forestry Initiative® Program (SFI), other product programs mutually recognized by PEFC</t>
    </r>
  </si>
  <si>
    <r>
      <rPr>
        <b/>
        <sz val="10"/>
        <color rgb="FFFF0000"/>
        <rFont val="Calibri"/>
        <family val="2"/>
      </rPr>
      <t>NOTE:</t>
    </r>
    <r>
      <rPr>
        <sz val="10"/>
        <rFont val="Calibri"/>
        <family val="2"/>
      </rPr>
      <t xml:space="preserve"> In the assigned Notes area, list materials used that comply with 606.3.</t>
    </r>
  </si>
  <si>
    <r>
      <rPr>
        <b/>
        <sz val="10"/>
        <rFont val="Calibri"/>
        <family val="2"/>
        <scheme val="minor"/>
      </rPr>
      <t>Manufacturing energy.</t>
    </r>
    <r>
      <rPr>
        <sz val="10"/>
        <rFont val="Calibri"/>
        <family val="2"/>
        <scheme val="minor"/>
      </rPr>
      <t xml:space="preserve"> Materials are used for major components of the building that are manufactured using a minimum of 33 percent of the primary manufacturing process energy derived from renewable sources, combustible waste sources, or renewable energy credits (RECs).</t>
    </r>
  </si>
  <si>
    <t>1 material</t>
  </si>
  <si>
    <t>608 - Resource-Efficient Materials</t>
  </si>
  <si>
    <t>1 product</t>
  </si>
  <si>
    <t>2 products</t>
  </si>
  <si>
    <t>3+ products</t>
  </si>
  <si>
    <t>609 - Regional Materials</t>
  </si>
  <si>
    <r>
      <rPr>
        <b/>
        <sz val="10"/>
        <rFont val="Calibri"/>
        <family val="2"/>
        <scheme val="minor"/>
      </rPr>
      <t>Regional materials.</t>
    </r>
    <r>
      <rPr>
        <sz val="10"/>
        <rFont val="Calibri"/>
        <family val="2"/>
        <scheme val="minor"/>
      </rPr>
      <t xml:space="preserve"> Regional materials are used for major elements or components of the building.</t>
    </r>
  </si>
  <si>
    <t>1 type</t>
  </si>
  <si>
    <t>610 - Life Cycle Analysis</t>
  </si>
  <si>
    <t>610.1.1</t>
  </si>
  <si>
    <t>610.1.2</t>
  </si>
  <si>
    <t>4 impact measures</t>
  </si>
  <si>
    <t>610.1.2_1</t>
  </si>
  <si>
    <t>610.1.2_2</t>
  </si>
  <si>
    <t>5 impact measures</t>
  </si>
  <si>
    <t>611 - Innovative Practices</t>
  </si>
  <si>
    <t>1% - &lt;2%</t>
  </si>
  <si>
    <t>2% - &lt;3%</t>
  </si>
  <si>
    <t>3% - &lt;4%</t>
  </si>
  <si>
    <t>4% - &lt;5%</t>
  </si>
  <si>
    <t>5% - &lt;6%</t>
  </si>
  <si>
    <t>6% - &lt;7%</t>
  </si>
  <si>
    <t>7% - &lt;8%</t>
  </si>
  <si>
    <t>8% - &lt;9%</t>
  </si>
  <si>
    <t>9% - &lt;10%</t>
  </si>
  <si>
    <t>10% or more</t>
  </si>
  <si>
    <r>
      <rPr>
        <b/>
        <sz val="10"/>
        <rFont val="Calibri"/>
        <family val="2"/>
        <scheme val="minor"/>
      </rPr>
      <t>Sustainable products.</t>
    </r>
    <r>
      <rPr>
        <sz val="10"/>
        <rFont val="Calibri"/>
        <family val="2"/>
        <scheme val="minor"/>
      </rPr>
      <t xml:space="preserve"> One or more of the following products are used for at least 30% of the floor or wall area of the entire dwelling unit, as applicable. Certification third-party agency is ISO Guide 65 accredited.
</t>
    </r>
    <r>
      <rPr>
        <b/>
        <u/>
        <sz val="10"/>
        <rFont val="Calibri"/>
        <family val="2"/>
        <scheme val="minor"/>
      </rPr>
      <t>Claim points for all that apply from (1)-(7) below:</t>
    </r>
  </si>
  <si>
    <t>9 points max.</t>
  </si>
  <si>
    <t>50% or more of carpet installed (by square feet) is third-party certified to NSF/ANSI 140.</t>
  </si>
  <si>
    <t>50% or more of resilient flooring installed (by square feet) is third-party certified to NSF/ANSI 332.</t>
  </si>
  <si>
    <t>50% or more of the insulation installed (by square feet) is third-party certified to EcoLogo CCD-016.</t>
  </si>
  <si>
    <t>50% or more of interior wall coverings installed (by square feet) is third-party certified to NSF/ANSI 342.</t>
  </si>
  <si>
    <t>50% or more of the gypsum board installed (by square feet) is third-party certified to ULE ISR 100.</t>
  </si>
  <si>
    <t>50% or more of the door leafs installed (by number of door leafs) is third-party certified to ULE ISR 102.</t>
  </si>
  <si>
    <t>50% or more of the tile installed (by square feet) is third-party certified to ANSI A138.1 Specifications for Sustainable Ceramic Tiles, Glass Tiles and Tile Installation Materials.</t>
  </si>
  <si>
    <r>
      <t xml:space="preserve">Universal design elements. </t>
    </r>
    <r>
      <rPr>
        <sz val="10"/>
        <rFont val="Calibri"/>
        <family val="2"/>
        <scheme val="minor"/>
      </rPr>
      <t>Dwelling incorporates one or more of the following universal design elements:</t>
    </r>
    <r>
      <rPr>
        <b/>
        <sz val="10"/>
        <rFont val="Calibri"/>
        <family val="2"/>
        <scheme val="minor"/>
      </rPr>
      <t xml:space="preserve">
</t>
    </r>
    <r>
      <rPr>
        <b/>
        <u/>
        <sz val="10"/>
        <rFont val="Calibri"/>
        <family val="2"/>
        <scheme val="minor"/>
      </rPr>
      <t>Claim points for all that apply from (1)-(4) below:</t>
    </r>
  </si>
  <si>
    <t>Any no-step entrance into the dwelling which is accessible from a substantially level parking or drop-off area (no more than 2%) via an accessible path which has no individual change in elevation or other obstruction of more than 1-1/2 inches in height, whose pitch does not exceed 1 in 12 and which provides a minimum 32-inch wide clearance into the dwelling.</t>
  </si>
  <si>
    <t>Minimum 36-inch wide accessible route from the no-step entrance into at least one visiting room in the dwelling and into at least one full or half bathroom which has a minimum 32 inch clear door width and a 30 inch by 48 inch clear area inside the bathroom outside the door swing.</t>
  </si>
  <si>
    <t>Minimum 36-inch wide accessible route from the no-step entrance into at least one bedroom which has a minimum 32 inch clear door width.</t>
  </si>
  <si>
    <t>Blocking or equivalent installed in the accessible bathroom walls for future installation of grab bars at commode and bathing fixture, if applicable.</t>
  </si>
  <si>
    <r>
      <rPr>
        <b/>
        <sz val="10"/>
        <color theme="1"/>
        <rFont val="Calibri"/>
        <family val="2"/>
        <scheme val="minor"/>
      </rPr>
      <t>Intent.</t>
    </r>
    <r>
      <rPr>
        <sz val="10"/>
        <color theme="1"/>
        <rFont val="Calibri"/>
        <family val="2"/>
        <scheme val="minor"/>
      </rPr>
      <t xml:space="preserve"> Design and construction practices that minimize the environmental impact of the building materials are incorporated, environmentally efficient building systems and materials are incorporated, and waste generated during construction is reduced.</t>
    </r>
  </si>
  <si>
    <t>606.1_3</t>
  </si>
  <si>
    <t>10%-25% = 3 pts
25%-75% = 4 pts
&gt;75% = 6 pts</t>
  </si>
  <si>
    <t xml:space="preserve">All or a percentage of driveways and parking are aligned with natural topography to reduce cut and fill.
</t>
  </si>
  <si>
    <t>&lt;25% = 2 pts
25%-75% = 4pts
&gt;75% = 6 pts</t>
  </si>
  <si>
    <t>All or a percentage of impervious surfaces are minimized and permeable materials are used for driveways, parking areas, walkways, and patios.</t>
  </si>
  <si>
    <r>
      <rPr>
        <b/>
        <sz val="10"/>
        <color theme="1"/>
        <rFont val="Calibri"/>
        <family val="2"/>
        <scheme val="minor"/>
      </rPr>
      <t>Wildlife habitat</t>
    </r>
    <r>
      <rPr>
        <sz val="10"/>
        <color theme="1"/>
        <rFont val="Calibri"/>
        <family val="2"/>
        <scheme val="minor"/>
      </rPr>
      <t>. Measures are planned that will support wildlife habitat and include at least two of the following:</t>
    </r>
  </si>
  <si>
    <t>Claim points at least 2 from (1)-(4) below:</t>
  </si>
  <si>
    <r>
      <rPr>
        <b/>
        <sz val="10"/>
        <color rgb="FFFF0000"/>
        <rFont val="Calibri"/>
        <family val="2"/>
      </rPr>
      <t>NOTE:</t>
    </r>
    <r>
      <rPr>
        <sz val="10"/>
        <rFont val="Calibri"/>
        <family val="2"/>
      </rPr>
      <t xml:space="preserve"> List alternative means of installing utilities in the assigned Notes area.</t>
    </r>
  </si>
  <si>
    <t>25% - &lt;50% = 4 pts
50% - 75% = 5 pts
&gt;75% = 6 pts</t>
  </si>
  <si>
    <r>
      <rPr>
        <b/>
        <sz val="10"/>
        <color rgb="FFFF0000"/>
        <rFont val="Calibri"/>
        <family val="2"/>
      </rPr>
      <t>NOTE:</t>
    </r>
    <r>
      <rPr>
        <sz val="10"/>
        <rFont val="Calibri"/>
        <family val="2"/>
      </rPr>
      <t xml:space="preserve"> In the assigned Notes area, indicate whether (a), (b), (c), or a combination is provided.</t>
    </r>
  </si>
  <si>
    <r>
      <rPr>
        <b/>
        <sz val="10"/>
        <color rgb="FFFF0000"/>
        <rFont val="Calibri"/>
        <family val="2"/>
      </rPr>
      <t>NOTE:</t>
    </r>
    <r>
      <rPr>
        <sz val="10"/>
        <rFont val="Calibri"/>
        <family val="2"/>
      </rPr>
      <t xml:space="preserve"> In the Notes assigned area, indicate whether (a) or (b) or both are provided.</t>
    </r>
  </si>
  <si>
    <t>Points per table</t>
  </si>
  <si>
    <t>5 pts each</t>
  </si>
  <si>
    <t>2 pts each</t>
  </si>
  <si>
    <t>1 point each</t>
  </si>
  <si>
    <t>Enter number of types of materials or assemblies where at least 90% are pre-finished:</t>
  </si>
  <si>
    <t>Enter number of types of materials or assemblies where at least 50% are pre-finished:</t>
  </si>
  <si>
    <t>Enter number of types of materials/assemblies where at least 35% to &lt;50% are pre-finished:</t>
  </si>
  <si>
    <t>Slab on grade</t>
  </si>
  <si>
    <t>On the Start Here! Tab, you selected this foundation type:</t>
  </si>
  <si>
    <t>Crawlspace that is built as a conditioned area is sealed to prevent outside air infiltration and provided with conditioned air at a rate not less than 0.02 cfm (.009 L/s) per square foot of horizontal area and one of the following is implemented:</t>
  </si>
  <si>
    <t>1% = 1 point
2% = 2 pts
3% = 3 pts
4% = 4 pts
5% = 5 pts
6% = 6 pts
7% = 7 pts
8% = 8 pts
9%+ = 9 pts</t>
  </si>
  <si>
    <t>9%+</t>
  </si>
  <si>
    <r>
      <rPr>
        <b/>
        <sz val="10"/>
        <color rgb="FFFF0000"/>
        <rFont val="Calibri"/>
        <family val="2"/>
      </rPr>
      <t>NOTE:</t>
    </r>
    <r>
      <rPr>
        <sz val="10"/>
        <rFont val="Calibri"/>
        <family val="2"/>
      </rPr>
      <t xml:space="preserve"> In the assigned Notes area, describe the types of products that comply with 608.1.</t>
    </r>
  </si>
  <si>
    <r>
      <rPr>
        <b/>
        <sz val="10"/>
        <color rgb="FFFF0000"/>
        <rFont val="Calibri"/>
        <family val="2"/>
      </rPr>
      <t>NOTE:</t>
    </r>
    <r>
      <rPr>
        <sz val="10"/>
        <rFont val="Calibri"/>
        <family val="2"/>
      </rPr>
      <t xml:space="preserve"> In the assigned Notes area, list major materials used that comply with 608.1.</t>
    </r>
  </si>
  <si>
    <r>
      <rPr>
        <b/>
        <sz val="10"/>
        <color rgb="FFFF0000"/>
        <rFont val="Calibri"/>
        <family val="2"/>
      </rPr>
      <t>NOTE:</t>
    </r>
    <r>
      <rPr>
        <sz val="10"/>
        <rFont val="Calibri"/>
        <family val="2"/>
      </rPr>
      <t xml:space="preserve"> In the assigned Notes area, list products that comply with 610.1, manufacturers, and ISO registrars. </t>
    </r>
  </si>
  <si>
    <r>
      <rPr>
        <b/>
        <sz val="9"/>
        <rFont val="Calibri"/>
        <family val="2"/>
        <scheme val="minor"/>
      </rPr>
      <t>Life cycle analysis.</t>
    </r>
    <r>
      <rPr>
        <sz val="9"/>
        <rFont val="Calibri"/>
        <family val="2"/>
        <scheme val="minor"/>
      </rPr>
      <t xml:space="preserve"> A life cycle analysis (LCA) tool is used to select environmentally preferable products or assemblies, or an LCA is conducted on the entire building. Points are awarded in accordance with 610.1.1 and 610.1.2. </t>
    </r>
    <r>
      <rPr>
        <b/>
        <sz val="9"/>
        <rFont val="Calibri"/>
        <family val="2"/>
        <scheme val="minor"/>
      </rPr>
      <t>Only one method of analysis or tool may be utilized.</t>
    </r>
    <r>
      <rPr>
        <sz val="9"/>
        <rFont val="Calibri"/>
        <family val="2"/>
        <scheme val="minor"/>
      </rPr>
      <t xml:space="preserve"> A reference service life for the building is to be 60 years for any life cycle analysis tool. Results of the LCA are reported in the manual required in Section 1003.1(1) of this standard in terms of the environmental impacts listed in this practice and it states if operating energy was included in its preparation.</t>
    </r>
  </si>
  <si>
    <r>
      <rPr>
        <b/>
        <sz val="9"/>
        <rFont val="Calibri"/>
        <family val="2"/>
        <scheme val="minor"/>
      </rPr>
      <t>Whole-building life cycle analysis.</t>
    </r>
    <r>
      <rPr>
        <sz val="9"/>
        <rFont val="Calibri"/>
        <family val="2"/>
        <scheme val="minor"/>
      </rPr>
      <t xml:space="preserve"> A whole-building LCA is performed using a life cycle assessment and data compliant with ISO 14044 or other recognized standards.</t>
    </r>
  </si>
  <si>
    <r>
      <rPr>
        <b/>
        <sz val="9"/>
        <rFont val="Calibri"/>
        <family val="2"/>
        <scheme val="minor"/>
      </rPr>
      <t>Life cycle analysis for a product or assembly.</t>
    </r>
    <r>
      <rPr>
        <sz val="9"/>
        <rFont val="Calibri"/>
        <family val="2"/>
        <scheme val="minor"/>
      </rPr>
      <t xml:space="preserve"> An environmentally preferable product or assembly is selected for an application based upon the use of an LCA tool that incorporates data methods compliant with ISO 14044 or other recognized standards that compare the environmental impact of products or assemblies. </t>
    </r>
    <r>
      <rPr>
        <b/>
        <sz val="10"/>
        <rFont val="Calibri"/>
        <family val="2"/>
        <scheme val="minor"/>
      </rPr>
      <t>Claim all that apply from (1) and (2) below:</t>
    </r>
  </si>
  <si>
    <t>No Slabs</t>
  </si>
  <si>
    <t>No habitable or usable space below grade</t>
  </si>
  <si>
    <t>Vented crawlspace</t>
  </si>
  <si>
    <t>Conditioned crawlspace</t>
  </si>
  <si>
    <t>Basement &amp; vented crawlspace</t>
  </si>
  <si>
    <t>Basement &amp; slab on grade</t>
  </si>
  <si>
    <t>No crawlspace</t>
  </si>
  <si>
    <t>No below grade crawlspace walls</t>
  </si>
  <si>
    <r>
      <rPr>
        <b/>
        <sz val="10"/>
        <color rgb="FFFF0000"/>
        <rFont val="Calibri"/>
        <family val="2"/>
      </rPr>
      <t>NOTE:</t>
    </r>
    <r>
      <rPr>
        <sz val="10"/>
        <rFont val="Calibri"/>
        <family val="2"/>
      </rPr>
      <t xml:space="preserve"> If "N/A" is selected, explain why in the assigned Notes area.</t>
    </r>
  </si>
  <si>
    <t>3rd Type:</t>
  </si>
  <si>
    <t>2nd Type:</t>
  </si>
  <si>
    <t>Vegetative wind breaks or channels are designed as appropriate for local conditions to protect the lot and immediate surrounding lots as appropriate for local conditions.</t>
  </si>
  <si>
    <t>On-site (or community generated) tree trimmings or stump grinding of regionally appropriate trees are used on the site to provide protective mulch during construction or for landscaping.</t>
  </si>
  <si>
    <t>Summer shading by planting installed to shade a minimum of 30% of building walls. To conform to summer shading, the effective shade coverage is the arithmetic mean of the shade coverage calculated at 10 am for eastward facing walls, noon for southward facing walls, and 3 pm for westward facing walls on the summer solstice five years after planting.</t>
  </si>
  <si>
    <r>
      <rPr>
        <b/>
        <sz val="10"/>
        <color rgb="FFFF0000"/>
        <rFont val="Calibri"/>
        <family val="2"/>
      </rPr>
      <t xml:space="preserve">NOTE: </t>
    </r>
    <r>
      <rPr>
        <sz val="10"/>
        <rFont val="Calibri"/>
        <family val="2"/>
      </rPr>
      <t xml:space="preserve">Describe materials used in the assigned Notes area. </t>
    </r>
    <r>
      <rPr>
        <i/>
        <sz val="10"/>
        <rFont val="Calibri"/>
        <family val="2"/>
      </rPr>
      <t>Materials, elements, or components awarded points under Section 603.1 shall not be awarded points under Section 603.2.</t>
    </r>
  </si>
  <si>
    <r>
      <rPr>
        <b/>
        <sz val="10"/>
        <color rgb="FFFF0000"/>
        <rFont val="Calibri"/>
        <family val="2"/>
      </rPr>
      <t>NOTE:</t>
    </r>
    <r>
      <rPr>
        <sz val="10"/>
        <rFont val="Calibri"/>
        <family val="2"/>
      </rPr>
      <t xml:space="preserve"> Describe materials used in the assigned Notes area. </t>
    </r>
    <r>
      <rPr>
        <i/>
        <sz val="10"/>
        <rFont val="Calibri"/>
        <family val="2"/>
      </rPr>
      <t>Materials, elements, or components awarded points under Section 603.1 shall not be awarded points under Section 603.2.</t>
    </r>
  </si>
  <si>
    <r>
      <rPr>
        <b/>
        <sz val="10"/>
        <rFont val="Calibri"/>
        <family val="2"/>
        <scheme val="minor"/>
      </rPr>
      <t>Intent.</t>
    </r>
    <r>
      <rPr>
        <sz val="10"/>
        <rFont val="Calibri"/>
        <family val="2"/>
        <scheme val="minor"/>
      </rPr>
      <t xml:space="preserve"> Measures that reduce indoor and outdoor water usage are implemented.</t>
    </r>
  </si>
  <si>
    <t>The maximum volume from the water heater to the termination of the fixture supply at furthest fixture is 128 ounces (1 gallon or 3.78 liters).</t>
  </si>
  <si>
    <t>The maximum volume from the water heater to the termination of the fixture supply at furthest fixture is 64 ounces (0.5 gallon or 1.89 liters).</t>
  </si>
  <si>
    <t>The maximum volume from the water heater to the termination of the fixture supply at furthest fixture is 32 ounces (0.25 gallon or 0.945 liters).</t>
  </si>
  <si>
    <t>17 points</t>
  </si>
  <si>
    <t>29 points</t>
  </si>
  <si>
    <t>A demand controlled hot water priming pump is installed on the main supply pipe of the circulation loop and the maximum volume from this supply pipe to the furthest fixture is 24 ounces (0.19 gallons or 0.71 liters).</t>
  </si>
  <si>
    <t>35 points</t>
  </si>
  <si>
    <t>(4a)</t>
  </si>
  <si>
    <t>39 points</t>
  </si>
  <si>
    <t>Drop Downs - Chapter 8</t>
  </si>
  <si>
    <t>128 oz max. volume</t>
  </si>
  <si>
    <t>64 oz max. volume</t>
  </si>
  <si>
    <t>32 oz max. volume</t>
  </si>
  <si>
    <t>24 oz max. volume, priming pump installed</t>
  </si>
  <si>
    <t>Formulas - Chapter 8</t>
  </si>
  <si>
    <t>801.2_2</t>
  </si>
  <si>
    <t>&gt;6.0</t>
  </si>
  <si>
    <t>&lt;=6.0</t>
  </si>
  <si>
    <t>&gt;6.0 = 13 pts
≤6.0 = 24 pts</t>
  </si>
  <si>
    <r>
      <rPr>
        <b/>
        <sz val="10"/>
        <color theme="1"/>
        <rFont val="Calibri"/>
        <family val="2"/>
        <scheme val="minor"/>
      </rPr>
      <t>Water-conserving appliances.</t>
    </r>
    <r>
      <rPr>
        <sz val="10"/>
        <color theme="1"/>
        <rFont val="Calibri"/>
        <family val="2"/>
        <scheme val="minor"/>
      </rPr>
      <t xml:space="preserve"> ENERGY STAR or equivalent water-conserving appliances are installed.
</t>
    </r>
    <r>
      <rPr>
        <b/>
        <u/>
        <sz val="10"/>
        <color theme="1"/>
        <rFont val="Calibri"/>
        <family val="2"/>
        <scheme val="minor"/>
      </rPr>
      <t>Claim points for all that apply from (1)-(2) below:</t>
    </r>
  </si>
  <si>
    <r>
      <rPr>
        <b/>
        <sz val="10"/>
        <color rgb="FFFF0000"/>
        <rFont val="Calibri"/>
        <family val="2"/>
      </rPr>
      <t>NOTE:</t>
    </r>
    <r>
      <rPr>
        <sz val="10"/>
        <rFont val="Calibri"/>
        <family val="2"/>
      </rPr>
      <t xml:space="preserve"> If multiple dishwashers and washing machines are installed, ALL instances must meet the above conditions to be awarded points.
</t>
    </r>
    <r>
      <rPr>
        <b/>
        <sz val="10"/>
        <color rgb="FFFF0000"/>
        <rFont val="Calibri"/>
        <family val="2"/>
      </rPr>
      <t>Multi-Unit Building Note:</t>
    </r>
    <r>
      <rPr>
        <sz val="10"/>
        <rFont val="Calibri"/>
        <family val="2"/>
      </rPr>
      <t xml:space="preserve"> Washing machines are installed in individual units or provided in common areas of multi-unit buildings.</t>
    </r>
  </si>
  <si>
    <t>Points awarded per shower compartment. In multi-unit buildings, the average of the points assigned to individual dwelling units may be used as the number of points available for this practice (rounded to the nearest whole number).</t>
  </si>
  <si>
    <t>1 fixture = 4 pts
2 fixtures = 5 pts
3 fixtures = 6 pts
4+ fixtures = 7 pts</t>
  </si>
  <si>
    <t>1 fixture</t>
  </si>
  <si>
    <t>2 fixtures</t>
  </si>
  <si>
    <t>3 fixtures</t>
  </si>
  <si>
    <t>4+ fixtures</t>
  </si>
  <si>
    <t>801.4_1</t>
  </si>
  <si>
    <t>2.0 to &lt;2.5 gpm = 11 pts
1.6 to &lt;2.0 gpm = 14 pts</t>
  </si>
  <si>
    <t>801.4_2</t>
  </si>
  <si>
    <t>Any control that can shut off water flow without affecting temperature is installed.</t>
  </si>
  <si>
    <t>Points awarded per shutoff.</t>
  </si>
  <si>
    <t>1 shutoff = 1 pt
2 shutoffs = 2 pts
3 shutoffs = 3 pts</t>
  </si>
  <si>
    <t>801.4_3</t>
  </si>
  <si>
    <t>1 shutoff</t>
  </si>
  <si>
    <t>2 shutoffs</t>
  </si>
  <si>
    <t>3 shutoffs</t>
  </si>
  <si>
    <r>
      <rPr>
        <b/>
        <sz val="10"/>
        <color rgb="FFFF0000"/>
        <rFont val="Calibri"/>
        <family val="2"/>
      </rPr>
      <t>NOTE:</t>
    </r>
    <r>
      <rPr>
        <sz val="10"/>
        <rFont val="Calibri"/>
        <family val="2"/>
      </rPr>
      <t xml:space="preserve"> Points must be claimed for 801.1.1(1-5) in order to claim points for 801.1.1(6).</t>
    </r>
  </si>
  <si>
    <r>
      <t xml:space="preserve">The total maximum combined flow rate of all showerheads controlled by a single valve at any point in time in a shower compartment is 1.6 to less than 2.5 gpm. Maximum of two valves are installed per shower compartment. The flow rate is tested at 80 psi (552 kPa) in accordance with ASME A112.18.1. Showerheads are served by an automatic compensating valve that complies with ASSE 1016 or ASME A112.18.1 and specifically designed to provide thermal shock and scald protection at the flow rate of the showerhead.  </t>
    </r>
    <r>
      <rPr>
        <i/>
        <sz val="10"/>
        <color theme="1"/>
        <rFont val="Calibri"/>
        <family val="2"/>
        <scheme val="minor"/>
      </rPr>
      <t>For SI: 1 gallon per minute = 3.785 L/m</t>
    </r>
  </si>
  <si>
    <t>Water-efficient lavatory faucets with 1.5 gpm (5.68 L/m) or less maximum flow rate when tested at 60 psi (414 kPa) in accordance with ASME A112.18.1 are installed:</t>
  </si>
  <si>
    <t>Points awarded for each bathroom. In multi-unit buildings, the average of the points assigned to individual dwelling units may be used as the number of points available for this practice (rounded to the nearest whole number).</t>
  </si>
  <si>
    <t>801.5.1_1</t>
  </si>
  <si>
    <t>1 bath</t>
  </si>
  <si>
    <t>2 baths</t>
  </si>
  <si>
    <t>3+ baths</t>
  </si>
  <si>
    <t>1 bath = 1 pt
2 baths = 2pts
3+ baths = 3 pts</t>
  </si>
  <si>
    <t>3+ fixtures</t>
  </si>
  <si>
    <r>
      <rPr>
        <b/>
        <sz val="10"/>
        <color theme="1"/>
        <rFont val="Calibri"/>
        <family val="2"/>
        <scheme val="minor"/>
      </rPr>
      <t>Water closets and urinals.</t>
    </r>
    <r>
      <rPr>
        <sz val="10"/>
        <color theme="1"/>
        <rFont val="Calibri"/>
        <family val="2"/>
        <scheme val="minor"/>
      </rPr>
      <t xml:space="preserve"> Water closets and urinals are in accordance with the following: </t>
    </r>
  </si>
  <si>
    <t>1 fixture = 2 pts
2 fixtures = 4 pts
3+ fixtures = 6 pts</t>
  </si>
  <si>
    <t>Points awarded per fixture. In multi-unit buildings, the average of the points assigned to individual dwelling units may be used as the number of points available for this practice (rounded to the nearest whole number).</t>
  </si>
  <si>
    <t>A water closet is installed with an effective flush volume of 1.28 gallons (4.85 L) or less when tested in accordance with ASME A112.19.2/CSA B45.1 (all water closets) or when tested in accordance with ASME A112.19.14 (all dual flush water closets), and is in accordance with EPA WaterSense Tank-Type High-Efficiency Toilet.</t>
  </si>
  <si>
    <t>Points awarded per toilet. In multi-unit buildings, the average of the points assigned to individual dwelling units may be used as the number of points available for this practice (rounded to the nearest whole number).</t>
  </si>
  <si>
    <t>801.6_1</t>
  </si>
  <si>
    <t>Met - Project eligible for Gold or Emerald</t>
  </si>
  <si>
    <t>Not met - Project eligible for Bronze or Silver only</t>
  </si>
  <si>
    <t>801.6_2</t>
  </si>
  <si>
    <t>801.6_3a</t>
  </si>
  <si>
    <t>Irrigation systems</t>
  </si>
  <si>
    <t>Multi-stream, multi-trajectory rotating nozzles are installed in lieu of spray nozzles for turf or landscaping.</t>
  </si>
  <si>
    <t>Drip irrigation is installed.</t>
  </si>
  <si>
    <t>Drip irrigation is installed for landscape beds.</t>
  </si>
  <si>
    <t>Subsurface drip is installed for turf grass areas.</t>
  </si>
  <si>
    <t>Landscape Plan &amp; Implementation are executed by a certified WaterSense Professional or equivalent as approved by adopting entity.</t>
  </si>
  <si>
    <t>Drip Irrigation Zones Implemented show plant type by name and water use or need for each emitter.</t>
  </si>
  <si>
    <t>No irrigation is installed and a landscape plan is developed in accordance with Section 503.5, as applicable.</t>
  </si>
  <si>
    <r>
      <rPr>
        <b/>
        <sz val="10"/>
        <color theme="1"/>
        <rFont val="Calibri"/>
        <family val="2"/>
        <scheme val="minor"/>
      </rPr>
      <t>Sediment filters.</t>
    </r>
    <r>
      <rPr>
        <sz val="10"/>
        <color theme="1"/>
        <rFont val="Calibri"/>
        <family val="2"/>
        <scheme val="minor"/>
      </rPr>
      <t xml:space="preserve"> Water filter is installed to reduce sediment and protect plumbing fixtures for the whole building or whole dwelling unit.</t>
    </r>
  </si>
  <si>
    <r>
      <rPr>
        <b/>
        <sz val="10"/>
        <color theme="1"/>
        <rFont val="Calibri"/>
        <family val="2"/>
        <scheme val="minor"/>
      </rPr>
      <t>Reclaimed, gray, or recycled water.</t>
    </r>
    <r>
      <rPr>
        <sz val="10"/>
        <color theme="1"/>
        <rFont val="Calibri"/>
        <family val="2"/>
        <scheme val="minor"/>
      </rPr>
      <t xml:space="preserve"> Reclaimed, gray, or recycled water is used as permitted by applicable code.</t>
    </r>
  </si>
  <si>
    <t>water closet flushed by reclaimed, gray, or recycled water</t>
  </si>
  <si>
    <t>irrigation from reclaimed, gray, or recycled water on-site</t>
  </si>
  <si>
    <t>5 points each, 20 points maximum</t>
  </si>
  <si>
    <t>10 points</t>
  </si>
  <si>
    <t>1 water closet</t>
  </si>
  <si>
    <t>2 water closets</t>
  </si>
  <si>
    <t>3 water closets</t>
  </si>
  <si>
    <t>4+ water closets</t>
  </si>
  <si>
    <t>Irrigation system</t>
  </si>
  <si>
    <r>
      <rPr>
        <b/>
        <sz val="10"/>
        <color theme="1"/>
        <rFont val="Calibri"/>
        <family val="2"/>
        <scheme val="minor"/>
      </rPr>
      <t>Automatic shutoff water devices</t>
    </r>
    <r>
      <rPr>
        <sz val="10"/>
        <color theme="1"/>
        <rFont val="Calibri"/>
        <family val="2"/>
        <scheme val="minor"/>
      </rPr>
      <t>. One of following automatic shutoff water supply devices is installed. Where a fire sprinkler system is present, installer is to ensure the device will not interfere with the operation of the fire sprinkler system.</t>
    </r>
  </si>
  <si>
    <t>Excess water flow automatic shutoff</t>
  </si>
  <si>
    <t>Leak detention system with automatic shutoff</t>
  </si>
  <si>
    <r>
      <rPr>
        <b/>
        <sz val="10"/>
        <color theme="1"/>
        <rFont val="Calibri"/>
        <family val="2"/>
        <scheme val="minor"/>
      </rPr>
      <t>Engineered Biological System or Intensive Bioremediation System.</t>
    </r>
    <r>
      <rPr>
        <sz val="10"/>
        <color theme="1"/>
        <rFont val="Calibri"/>
        <family val="2"/>
        <scheme val="minor"/>
      </rPr>
      <t xml:space="preserve"> An Engineered Biological System or Intensive Bioremediation System is installed and the treated water is used on site. Design and implementation is approved by appropriate regional authority.</t>
    </r>
  </si>
  <si>
    <r>
      <rPr>
        <b/>
        <sz val="10"/>
        <color theme="1"/>
        <rFont val="Calibri"/>
        <family val="2"/>
        <scheme val="minor"/>
      </rPr>
      <t>Recirculating humidifier.</t>
    </r>
    <r>
      <rPr>
        <sz val="10"/>
        <color theme="1"/>
        <rFont val="Calibri"/>
        <family val="2"/>
        <scheme val="minor"/>
      </rPr>
      <t xml:space="preserve"> Where a humidifier is required, a recirculating humidifier is used in lieu of a traditional “flow through” type.</t>
    </r>
  </si>
  <si>
    <r>
      <rPr>
        <b/>
        <sz val="10"/>
        <color theme="1"/>
        <rFont val="Calibri"/>
        <family val="2"/>
        <scheme val="minor"/>
      </rPr>
      <t xml:space="preserve">Advanced wastewater treatment system. </t>
    </r>
    <r>
      <rPr>
        <sz val="10"/>
        <color theme="1"/>
        <rFont val="Calibri"/>
        <family val="2"/>
        <scheme val="minor"/>
      </rPr>
      <t>Advanced wastewater (aerobic) treatment system is installed and treated water is used on site.</t>
    </r>
  </si>
  <si>
    <r>
      <rPr>
        <b/>
        <sz val="10"/>
        <color theme="1"/>
        <rFont val="Calibri"/>
        <family val="2"/>
        <scheme val="minor"/>
      </rPr>
      <t>Rainwater collection and distribution</t>
    </r>
    <r>
      <rPr>
        <sz val="10"/>
        <color theme="1"/>
        <rFont val="Calibri"/>
        <family val="2"/>
        <scheme val="minor"/>
      </rPr>
      <t>. Rainwater collection and distribution is provided.</t>
    </r>
  </si>
  <si>
    <r>
      <rPr>
        <b/>
        <sz val="10"/>
        <color rgb="FFFF0000"/>
        <rFont val="Calibri"/>
        <family val="2"/>
      </rPr>
      <t xml:space="preserve">NOTE: </t>
    </r>
    <r>
      <rPr>
        <sz val="10"/>
        <rFont val="Calibri"/>
        <family val="2"/>
      </rPr>
      <t>Points awarded for either Section 802.5 or 802.1, not both.</t>
    </r>
  </si>
  <si>
    <r>
      <rPr>
        <b/>
        <sz val="10"/>
        <color rgb="FFFF0000"/>
        <rFont val="Calibri"/>
        <family val="2"/>
      </rPr>
      <t xml:space="preserve">NOTE: </t>
    </r>
    <r>
      <rPr>
        <sz val="10"/>
        <rFont val="Calibri"/>
        <family val="2"/>
      </rPr>
      <t>Points awarded for either Section 802.1 or 802.5, not both.</t>
    </r>
  </si>
  <si>
    <t>801.8.1</t>
  </si>
  <si>
    <t>Rainwater is used for irrigation in accordance with the following.</t>
  </si>
  <si>
    <t>Rainwater is diverted for landscape irrigation with impermeable water storage.</t>
  </si>
  <si>
    <t>50-499 gallon storage capacity</t>
  </si>
  <si>
    <t>500-2499 gallon storage capacity</t>
  </si>
  <si>
    <r>
      <t xml:space="preserve">All irrigation demands are met by rainwater capture </t>
    </r>
    <r>
      <rPr>
        <sz val="9"/>
        <color theme="1"/>
        <rFont val="Calibri"/>
        <family val="2"/>
        <scheme val="minor"/>
      </rPr>
      <t>(documentation demonstrating the water needs of the landscape is provided and the system is designed by a professional certified by The American Rainwater Catchment Systems Association or equivalent).</t>
    </r>
  </si>
  <si>
    <t>( c)</t>
  </si>
  <si>
    <t xml:space="preserve">(a) </t>
  </si>
  <si>
    <t xml:space="preserve">(b) </t>
  </si>
  <si>
    <t xml:space="preserve">(d) </t>
  </si>
  <si>
    <t>Without impermeable water storage</t>
  </si>
  <si>
    <t>50-499 gal. impermeable storage</t>
  </si>
  <si>
    <t>500-2499 gal. impermeable storage</t>
  </si>
  <si>
    <t>2500+ gal. impermeable storage</t>
  </si>
  <si>
    <t>All irrigation demands met by rainwater capture</t>
  </si>
  <si>
    <t>Rainwater is used for interior demand in the following way (system is designed by a professional certified by The American Rainwater Catchment Systems Association or equivalent).</t>
  </si>
  <si>
    <t>Rainwater provides for partial domestic demand (any locally approved uses).</t>
  </si>
  <si>
    <t>Rainwater provides for total domestic demand.</t>
  </si>
  <si>
    <t>25 points</t>
  </si>
  <si>
    <t>5 points per appliance or fixture, 15 points maximum</t>
  </si>
  <si>
    <t>801.8.2</t>
  </si>
  <si>
    <t>1 fixture for partial domestic demand</t>
  </si>
  <si>
    <t>2 fixtures for partial domestic demand</t>
  </si>
  <si>
    <t>3+ fixtures for partial domestic demand</t>
  </si>
  <si>
    <t>Rainwater provides for total domestic demand</t>
  </si>
  <si>
    <t>Table 801.1(1): Maximum Pipe Length (ft.)</t>
  </si>
  <si>
    <t>Main, Branch and Fixture Supply Systems</t>
  </si>
  <si>
    <t>Branch and Fixture Supply from Circulation Loop</t>
  </si>
  <si>
    <t>Nominal Pipe Size (inch)</t>
  </si>
  <si>
    <t>Liquid Ounces per Foot of Length</t>
  </si>
  <si>
    <t>32 ounces (0.25 gallon)</t>
  </si>
  <si>
    <t>64 ounces (0.5 gallon)</t>
  </si>
  <si>
    <t>128 ounces (1 gallon)</t>
  </si>
  <si>
    <t>24 ounces (0.19 gallon)</t>
  </si>
  <si>
    <r>
      <t>1/4</t>
    </r>
    <r>
      <rPr>
        <vertAlign val="superscript"/>
        <sz val="10"/>
        <color theme="1"/>
        <rFont val="Calibri"/>
        <family val="2"/>
        <scheme val="minor"/>
      </rPr>
      <t>b</t>
    </r>
  </si>
  <si>
    <r>
      <t>5/16</t>
    </r>
    <r>
      <rPr>
        <vertAlign val="superscript"/>
        <sz val="10"/>
        <color theme="1"/>
        <rFont val="Calibri"/>
        <family val="2"/>
        <scheme val="minor"/>
      </rPr>
      <t>b</t>
    </r>
  </si>
  <si>
    <r>
      <t>3/8</t>
    </r>
    <r>
      <rPr>
        <vertAlign val="superscript"/>
        <sz val="10"/>
        <color theme="1"/>
        <rFont val="Calibri"/>
        <family val="2"/>
        <scheme val="minor"/>
      </rPr>
      <t>b</t>
    </r>
  </si>
  <si>
    <t>1/2</t>
  </si>
  <si>
    <t>5/8</t>
  </si>
  <si>
    <t>3/4</t>
  </si>
  <si>
    <t>7/8</t>
  </si>
  <si>
    <r>
      <rPr>
        <vertAlign val="superscript"/>
        <sz val="11"/>
        <color theme="1"/>
        <rFont val="Calibri"/>
        <family val="2"/>
        <scheme val="minor"/>
      </rPr>
      <t>a</t>
    </r>
    <r>
      <rPr>
        <sz val="11"/>
        <color theme="1"/>
        <rFont val="Calibri"/>
        <family val="2"/>
        <scheme val="minor"/>
      </rPr>
      <t xml:space="preserve"> Maximum pipe length figures apply when the entire pipe run is one nominal diameter only. Where multiple pipe diameters are used, the combined volume shall not exceed the volume limitation in Section 801.1</t>
    </r>
  </si>
  <si>
    <r>
      <rPr>
        <vertAlign val="superscript"/>
        <sz val="11"/>
        <color theme="1"/>
        <rFont val="Calibri"/>
        <family val="2"/>
        <scheme val="minor"/>
      </rPr>
      <t>b</t>
    </r>
    <r>
      <rPr>
        <sz val="11"/>
        <color theme="1"/>
        <rFont val="Calibri"/>
        <family val="2"/>
        <scheme val="minor"/>
      </rPr>
      <t xml:space="preserve"> The maximum flow rate through 1/4 inch nominal piping shall not exceed 0.5 gpm. The maximum flow rate through 5/16 inch nominal piping shall not exceed 1 gpm. The maximum flow rate through 3/8 inch nominal piping shall not exceed 1.5 gpm.</t>
    </r>
  </si>
  <si>
    <t>See Tables 801.1(1) and 801.1(2)</t>
  </si>
  <si>
    <t>Table 801.1(2): Common Hot Water Tubing Internal Volumes</t>
  </si>
  <si>
    <t>OUNCES OF WATER PER FOOT OF TUBE</t>
  </si>
  <si>
    <t>Size Nominal, Inch</t>
  </si>
  <si>
    <t>Copper Type M</t>
  </si>
  <si>
    <t>Copper Type L</t>
  </si>
  <si>
    <t>Copper Type K</t>
  </si>
  <si>
    <t>CPVC CTS SDR 11</t>
  </si>
  <si>
    <t>CPVC SCH 40</t>
  </si>
  <si>
    <t>CPVC SCH 80</t>
  </si>
  <si>
    <t>PE-RT SDR 9</t>
  </si>
  <si>
    <t>Composite ASTM F 1281</t>
  </si>
  <si>
    <t>PEX CTS SDR 9</t>
  </si>
  <si>
    <t>3/8"</t>
  </si>
  <si>
    <t>1/2"</t>
  </si>
  <si>
    <t>3/4"</t>
  </si>
  <si>
    <t>1"</t>
  </si>
  <si>
    <t>1 1/4"</t>
  </si>
  <si>
    <t>1 1/2"</t>
  </si>
  <si>
    <t>2"</t>
  </si>
  <si>
    <t>1001.1_1</t>
  </si>
  <si>
    <t>1001.1_2</t>
  </si>
  <si>
    <t>1001.1_3</t>
  </si>
  <si>
    <t>MET/NOT MET</t>
  </si>
  <si>
    <t>Where storm water management measures are installed on the lot, information on the location, purpose, and upkeep of these measures.</t>
  </si>
  <si>
    <r>
      <rPr>
        <b/>
        <sz val="10"/>
        <color theme="1"/>
        <rFont val="Calibri"/>
        <family val="2"/>
        <scheme val="minor"/>
      </rPr>
      <t>Training of building owners.</t>
    </r>
    <r>
      <rPr>
        <sz val="10"/>
        <color theme="1"/>
        <rFont val="Calibri"/>
        <family val="2"/>
        <scheme val="minor"/>
      </rPr>
      <t xml:space="preserve"> Building owners are familiarized with the role of occupants in achieving green goals. On-site training is provided to the responsible party(ies) regarding equipment operation and maintenance, control systems, and occupant actions that will improve the environmental performance of the building. These include:
     (1) HVAC filters
     (2) thermostat operation and programming
     (3) lighting controls
     (4) appliances operation
     (5) water heater settings and hot water use
     (6) fan controls
     (7) recycling practices
</t>
    </r>
  </si>
  <si>
    <r>
      <rPr>
        <b/>
        <sz val="10"/>
        <color theme="1"/>
        <rFont val="Calibri"/>
        <family val="2"/>
        <scheme val="minor"/>
      </rPr>
      <t>Intent</t>
    </r>
    <r>
      <rPr>
        <sz val="10"/>
        <color theme="1"/>
        <rFont val="Calibri"/>
        <family val="2"/>
        <scheme val="minor"/>
      </rPr>
      <t>. Manuals are provided to the responsible parties (owner, management, tenant, and/or maintenance team) regarding the construction, operation, and maintenance of the building. Paper or digital format manuals are to include information regarding those aspects of the building’s construction, maintenance, and operation that are within the area of responsibilities of the respective recipient. One or more responsible parties are to receive a copy of all documentation for archival purposes.</t>
    </r>
  </si>
  <si>
    <r>
      <rPr>
        <b/>
        <sz val="10"/>
        <rFont val="Calibri"/>
        <family val="2"/>
        <scheme val="minor"/>
      </rPr>
      <t>Intent</t>
    </r>
    <r>
      <rPr>
        <sz val="10"/>
        <rFont val="Calibri"/>
        <family val="2"/>
        <scheme val="minor"/>
      </rPr>
      <t>. Information on the building's use, maintenance, and green components is provided.</t>
    </r>
  </si>
  <si>
    <r>
      <rPr>
        <b/>
        <sz val="10"/>
        <color rgb="FFFF0000"/>
        <rFont val="Calibri"/>
        <family val="2"/>
      </rPr>
      <t>NOTE:</t>
    </r>
    <r>
      <rPr>
        <sz val="10"/>
        <rFont val="Calibri"/>
        <family val="2"/>
      </rPr>
      <t xml:space="preserve"> Practice 1003.3 is for </t>
    </r>
    <r>
      <rPr>
        <b/>
        <i/>
        <sz val="11"/>
        <color theme="1"/>
        <rFont val="Calibri"/>
        <family val="2"/>
      </rPr>
      <t>multi-unit projects</t>
    </r>
    <r>
      <rPr>
        <sz val="10"/>
        <rFont val="Calibri"/>
        <family val="2"/>
      </rPr>
      <t xml:space="preserve"> only.
Points awarded for both mandatory and non-mandatory items.</t>
    </r>
  </si>
  <si>
    <r>
      <rPr>
        <b/>
        <sz val="10"/>
        <color rgb="FFFF0000"/>
        <rFont val="Calibri"/>
        <family val="2"/>
      </rPr>
      <t>NOTE:</t>
    </r>
    <r>
      <rPr>
        <sz val="10"/>
        <rFont val="Calibri"/>
        <family val="2"/>
      </rPr>
      <t xml:space="preserve"> Practice 1003.1 is for </t>
    </r>
    <r>
      <rPr>
        <b/>
        <i/>
        <sz val="11"/>
        <color theme="1"/>
        <rFont val="Calibri"/>
        <family val="2"/>
      </rPr>
      <t>multi-unit projects</t>
    </r>
    <r>
      <rPr>
        <sz val="10"/>
        <rFont val="Calibri"/>
        <family val="2"/>
      </rPr>
      <t xml:space="preserve"> only.
Points awarded for both mandatory and non-mandatory items.</t>
    </r>
  </si>
  <si>
    <r>
      <rPr>
        <b/>
        <sz val="10"/>
        <color rgb="FFFF0000"/>
        <rFont val="Calibri"/>
        <family val="2"/>
      </rPr>
      <t>NOTE:</t>
    </r>
    <r>
      <rPr>
        <sz val="10"/>
        <rFont val="Calibri"/>
        <family val="2"/>
      </rPr>
      <t xml:space="preserve"> Practice 1003.2 is for </t>
    </r>
    <r>
      <rPr>
        <b/>
        <i/>
        <sz val="11"/>
        <color theme="1"/>
        <rFont val="Calibri"/>
        <family val="2"/>
      </rPr>
      <t>multi-unit projects</t>
    </r>
    <r>
      <rPr>
        <sz val="10"/>
        <rFont val="Calibri"/>
        <family val="2"/>
      </rPr>
      <t xml:space="preserve"> only.
Points awarded for both mandatory and non-mandatory items.</t>
    </r>
  </si>
  <si>
    <r>
      <rPr>
        <b/>
        <sz val="10"/>
        <color rgb="FFFF0000"/>
        <rFont val="Calibri"/>
        <family val="2"/>
      </rPr>
      <t>NOTE:</t>
    </r>
    <r>
      <rPr>
        <sz val="10"/>
        <rFont val="Calibri"/>
        <family val="2"/>
      </rPr>
      <t xml:space="preserve"> Practice 1001.1 is for </t>
    </r>
    <r>
      <rPr>
        <b/>
        <i/>
        <sz val="12"/>
        <color theme="1"/>
        <rFont val="Calibri"/>
        <family val="2"/>
      </rPr>
      <t>Single-Family &amp; Two-Family projects</t>
    </r>
    <r>
      <rPr>
        <sz val="10"/>
        <rFont val="Calibri"/>
        <family val="2"/>
      </rPr>
      <t xml:space="preserve"> only.
Points awarded for both mandatory and non-mandatory items.</t>
    </r>
  </si>
  <si>
    <r>
      <rPr>
        <b/>
        <sz val="10"/>
        <color theme="1"/>
        <rFont val="Calibri"/>
        <family val="2"/>
        <scheme val="minor"/>
      </rPr>
      <t>Operations manual</t>
    </r>
    <r>
      <rPr>
        <sz val="10"/>
        <color theme="1"/>
        <rFont val="Calibri"/>
        <family val="2"/>
        <scheme val="minor"/>
      </rPr>
      <t xml:space="preserve">. Operations manuals are created and distributed to the responsible parties in accordance with 1003.0. Between all of the operation manuals, </t>
    </r>
    <r>
      <rPr>
        <b/>
        <sz val="10"/>
        <color rgb="FFFF0000"/>
        <rFont val="Calibri"/>
        <family val="2"/>
        <scheme val="minor"/>
      </rPr>
      <t>five or more</t>
    </r>
    <r>
      <rPr>
        <sz val="10"/>
        <color theme="1"/>
        <rFont val="Calibri"/>
        <family val="2"/>
        <scheme val="minor"/>
      </rPr>
      <t xml:space="preserve"> of the following options are included.
</t>
    </r>
    <r>
      <rPr>
        <b/>
        <u/>
        <sz val="10"/>
        <color theme="1"/>
        <rFont val="Calibri"/>
        <family val="2"/>
        <scheme val="minor"/>
      </rPr>
      <t>Claim points for at least 5 items from (1)-(10) below:</t>
    </r>
  </si>
  <si>
    <r>
      <rPr>
        <b/>
        <sz val="10"/>
        <color theme="1"/>
        <rFont val="Calibri"/>
        <family val="2"/>
        <scheme val="minor"/>
      </rPr>
      <t>Maintenance manual</t>
    </r>
    <r>
      <rPr>
        <sz val="10"/>
        <color theme="1"/>
        <rFont val="Calibri"/>
        <family val="2"/>
        <scheme val="minor"/>
      </rPr>
      <t xml:space="preserve">. Maintenance manuals are created and distributed to the responsible parties in accordance with 1003.0. Between all of the maintenance manuals, </t>
    </r>
    <r>
      <rPr>
        <b/>
        <sz val="10"/>
        <color rgb="FFFF0000"/>
        <rFont val="Calibri"/>
        <family val="2"/>
        <scheme val="minor"/>
      </rPr>
      <t>five or more</t>
    </r>
    <r>
      <rPr>
        <sz val="10"/>
        <color theme="1"/>
        <rFont val="Calibri"/>
        <family val="2"/>
        <scheme val="minor"/>
      </rPr>
      <t xml:space="preserve"> of the following options are included.
</t>
    </r>
    <r>
      <rPr>
        <b/>
        <u/>
        <sz val="10"/>
        <color theme="1"/>
        <rFont val="Calibri"/>
        <family val="2"/>
        <scheme val="minor"/>
      </rPr>
      <t>Claim points for at least 5 items from (1)-(9) below:</t>
    </r>
  </si>
  <si>
    <t>Mandatory Totals</t>
  </si>
  <si>
    <t>501.1 Lot. The lot is selected to minimize environmental impact by one or more of the following:</t>
  </si>
  <si>
    <r>
      <t xml:space="preserve">501.1(1) </t>
    </r>
    <r>
      <rPr>
        <sz val="10"/>
        <rFont val="Calibri"/>
        <family val="2"/>
        <scheme val="minor"/>
      </rPr>
      <t>The builder selects a lot within an NGBS certified green community or equivalent on which to build.</t>
    </r>
  </si>
  <si>
    <r>
      <t xml:space="preserve">501.1(2) </t>
    </r>
    <r>
      <rPr>
        <sz val="10"/>
        <rFont val="Calibri"/>
        <family val="2"/>
        <scheme val="minor"/>
      </rPr>
      <t>An infill lot is selected.</t>
    </r>
  </si>
  <si>
    <r>
      <t xml:space="preserve">501.1(3) </t>
    </r>
    <r>
      <rPr>
        <sz val="10"/>
        <rFont val="Calibri"/>
        <family val="2"/>
        <scheme val="minor"/>
      </rPr>
      <t>An infill lot is selected that is a greyfield.</t>
    </r>
  </si>
  <si>
    <r>
      <t xml:space="preserve">501.1(4) </t>
    </r>
    <r>
      <rPr>
        <sz val="10"/>
        <rFont val="Calibri"/>
        <family val="2"/>
        <scheme val="minor"/>
      </rPr>
      <t>An EPA-recognized brownfield lot is selected.</t>
    </r>
  </si>
  <si>
    <r>
      <t xml:space="preserve">501.1(5) </t>
    </r>
    <r>
      <rPr>
        <sz val="10"/>
        <rFont val="Calibri"/>
        <family val="2"/>
        <scheme val="minor"/>
      </rPr>
      <t>A lot with an average slope calculation of less than 15% is selected.</t>
    </r>
  </si>
  <si>
    <t>501.2 Multi-modal transportation. A range of multi-modal transportation choices are promoted by one or more of the following:</t>
  </si>
  <si>
    <r>
      <t xml:space="preserve">501.2(1) </t>
    </r>
    <r>
      <rPr>
        <sz val="10"/>
        <rFont val="Calibri"/>
        <family val="2"/>
        <scheme val="minor"/>
      </rPr>
      <t>A lot is selected within 1/2 mile (805 m) of pedestrian access to a mass transit system or within 5 miles (8046 m) of a mass transit station with provisions for parking.</t>
    </r>
  </si>
  <si>
    <r>
      <t xml:space="preserve">501.2(2) </t>
    </r>
    <r>
      <rPr>
        <sz val="10"/>
        <rFont val="Calibri"/>
        <family val="2"/>
        <scheme val="minor"/>
      </rPr>
      <t>Walkways, street crossings, and entrances designed to promote pedestrian activity are provided. New buildings are connected to existing sidewalks and areas of development.</t>
    </r>
  </si>
  <si>
    <r>
      <t xml:space="preserve">501.2(3) </t>
    </r>
    <r>
      <rPr>
        <sz val="10"/>
        <rFont val="Calibri"/>
        <family val="2"/>
        <scheme val="minor"/>
      </rPr>
      <t>A lot is selected within 1/2 mile (805 m) of 6 or more community resources [e.g., recreational facilities (such as pools, tennis courts, basketball courts), parks, grocery store, post office, place of worship, community center, daycare center, bank, school, restaurant, medical/dental office, laundromat/dry cleaner].</t>
    </r>
  </si>
  <si>
    <r>
      <t xml:space="preserve">501.2(4) </t>
    </r>
    <r>
      <rPr>
        <sz val="10"/>
        <rFont val="Calibri"/>
        <family val="2"/>
        <scheme val="minor"/>
      </rPr>
      <t>Bicycle use is promoted by building on a lot located within a community that has rights-of-way specifically dedicated to bicycle use in the form of paved paths or bicycle lanes or on an infill lot located within 1/2 mile of a bicycle lane designated by the jurisdiction.</t>
    </r>
  </si>
  <si>
    <t>502.1 Project team, mission statement, and goals. A knowledgeable team is established and team member roles are identified with respect to green lot design, preparation, and development. The project’s green goals and objectives are written into a mission statement.</t>
  </si>
  <si>
    <t>503.1 Natural resources. Natural resources are conserved by one or more of the following:</t>
  </si>
  <si>
    <r>
      <t xml:space="preserve">503.1(1) </t>
    </r>
    <r>
      <rPr>
        <sz val="10"/>
        <rFont val="Calibri"/>
        <family val="2"/>
        <scheme val="minor"/>
      </rPr>
      <t>A natural resources inventory is completed under the direction of a qualified professional.</t>
    </r>
  </si>
  <si>
    <r>
      <t xml:space="preserve">503.1(2) </t>
    </r>
    <r>
      <rPr>
        <sz val="10"/>
        <rFont val="Calibri"/>
        <family val="2"/>
        <scheme val="minor"/>
      </rPr>
      <t>A plan is implemented to conserve the elements identified by the resource inventory as high-priority resources.</t>
    </r>
  </si>
  <si>
    <r>
      <t xml:space="preserve">503.1(3) </t>
    </r>
    <r>
      <rPr>
        <sz val="10"/>
        <rFont val="Calibri"/>
        <family val="2"/>
        <scheme val="minor"/>
      </rPr>
      <t>Items listed for protection in the resource inventory plan are protected under the direction of a qualified professional.</t>
    </r>
  </si>
  <si>
    <r>
      <t xml:space="preserve">503.1(4) </t>
    </r>
    <r>
      <rPr>
        <sz val="10"/>
        <rFont val="Calibri"/>
        <family val="2"/>
        <scheme val="minor"/>
      </rPr>
      <t>Basic training in tree or other natural resource protection is provided for the on-site supervisor.</t>
    </r>
  </si>
  <si>
    <r>
      <t xml:space="preserve">503.1(5) </t>
    </r>
    <r>
      <rPr>
        <sz val="10"/>
        <rFont val="Calibri"/>
        <family val="2"/>
        <scheme val="minor"/>
      </rPr>
      <t>All tree pruning on-site is conducted by a Certified Arborist.</t>
    </r>
  </si>
  <si>
    <r>
      <t xml:space="preserve">503.1(6) </t>
    </r>
    <r>
      <rPr>
        <sz val="10"/>
        <rFont val="Calibri"/>
        <family val="2"/>
        <scheme val="minor"/>
      </rPr>
      <t>Ongoing maintenance of vegetation on the lot during construction is in accordance with TCIA A300 or locally accepted best practices.</t>
    </r>
  </si>
  <si>
    <r>
      <t xml:space="preserve">503.1(7) </t>
    </r>
    <r>
      <rPr>
        <sz val="10"/>
        <rFont val="Calibri"/>
        <family val="2"/>
        <scheme val="minor"/>
      </rPr>
      <t>Where a lot adjoins a landscaped common area, a protection plan from construction activities next to the common area is implemented.</t>
    </r>
  </si>
  <si>
    <t>503.2 Slope disturbance. Slope disturbance is minimized by:</t>
  </si>
  <si>
    <r>
      <t xml:space="preserve">503.2(1) </t>
    </r>
    <r>
      <rPr>
        <sz val="10"/>
        <rFont val="Calibri"/>
        <family val="2"/>
        <scheme val="minor"/>
      </rPr>
      <t>The use of terrain adaptive architecture including terracing, retaining walls, landscaping, or other re-stabilization techniques.</t>
    </r>
  </si>
  <si>
    <r>
      <t xml:space="preserve">503.2(2) </t>
    </r>
    <r>
      <rPr>
        <sz val="10"/>
        <rFont val="Calibri"/>
        <family val="2"/>
        <scheme val="minor"/>
      </rPr>
      <t>Hydrological/soil stability study is completed and used to guide the design of all buildings on the site.</t>
    </r>
  </si>
  <si>
    <r>
      <t xml:space="preserve">503.2(3) </t>
    </r>
    <r>
      <rPr>
        <sz val="10"/>
        <rFont val="Calibri"/>
        <family val="2"/>
        <scheme val="minor"/>
      </rPr>
      <t>All or a percentage of driveways and parking are aligned with natural topography to reduce cut and fill.</t>
    </r>
  </si>
  <si>
    <r>
      <t xml:space="preserve">503.2(3)(a) </t>
    </r>
    <r>
      <rPr>
        <sz val="10"/>
        <rFont val="Calibri"/>
        <family val="2"/>
        <scheme val="minor"/>
      </rPr>
      <t>10% to 25%</t>
    </r>
  </si>
  <si>
    <r>
      <t>503.2(3)(b)</t>
    </r>
    <r>
      <rPr>
        <sz val="10"/>
        <rFont val="Calibri"/>
        <family val="2"/>
        <scheme val="minor"/>
      </rPr>
      <t xml:space="preserve"> 25% to 75%</t>
    </r>
  </si>
  <si>
    <r>
      <t>503.2(3)(c)</t>
    </r>
    <r>
      <rPr>
        <sz val="10"/>
        <rFont val="Calibri"/>
        <family val="2"/>
        <scheme val="minor"/>
      </rPr>
      <t xml:space="preserve"> greater than75%</t>
    </r>
  </si>
  <si>
    <r>
      <t xml:space="preserve">503.2(4) </t>
    </r>
    <r>
      <rPr>
        <sz val="10"/>
        <rFont val="Calibri"/>
        <family val="2"/>
        <scheme val="minor"/>
      </rPr>
      <t>Long-term erosion effects are reduced through the design and implementation of terracing, retaining walls, landscaping, or restabilization techniques.</t>
    </r>
  </si>
  <si>
    <r>
      <t xml:space="preserve">503.2(5) </t>
    </r>
    <r>
      <rPr>
        <sz val="10"/>
        <rFont val="Calibri"/>
        <family val="2"/>
        <scheme val="minor"/>
      </rPr>
      <t>Underground parking uses the natural slope for parking entrances.</t>
    </r>
  </si>
  <si>
    <t>503.3 Soil disturbance and erosion. Soil disturbance and erosion are minimized by one or more of the following: (also see Section 504.3)</t>
  </si>
  <si>
    <r>
      <t xml:space="preserve">503.3(1) </t>
    </r>
    <r>
      <rPr>
        <sz val="10"/>
        <rFont val="Calibri"/>
        <family val="2"/>
        <scheme val="minor"/>
      </rPr>
      <t>Construction activities are scheduled to minimize length of time that soils are exposed.</t>
    </r>
  </si>
  <si>
    <r>
      <t xml:space="preserve">503.3(2) </t>
    </r>
    <r>
      <rPr>
        <sz val="10"/>
        <rFont val="Calibri"/>
        <family val="2"/>
        <scheme val="minor"/>
      </rPr>
      <t xml:space="preserve">At least 75% of total length of the utilities on the lot are designed to use one or more alternative means:
    </t>
    </r>
    <r>
      <rPr>
        <b/>
        <sz val="10"/>
        <rFont val="Calibri"/>
        <family val="2"/>
        <scheme val="minor"/>
      </rPr>
      <t xml:space="preserve"> (a)</t>
    </r>
    <r>
      <rPr>
        <sz val="10"/>
        <rFont val="Calibri"/>
        <family val="2"/>
        <scheme val="minor"/>
      </rPr>
      <t xml:space="preserve"> tunneling instead of trenching
     </t>
    </r>
    <r>
      <rPr>
        <b/>
        <sz val="10"/>
        <rFont val="Calibri"/>
        <family val="2"/>
        <scheme val="minor"/>
      </rPr>
      <t>(b)</t>
    </r>
    <r>
      <rPr>
        <sz val="10"/>
        <rFont val="Calibri"/>
        <family val="2"/>
        <scheme val="minor"/>
      </rPr>
      <t xml:space="preserve"> use of smaller (low ground pressure) equipment or geomats to spread the weight of construction equipment
    </t>
    </r>
    <r>
      <rPr>
        <b/>
        <sz val="10"/>
        <rFont val="Calibri"/>
        <family val="2"/>
        <scheme val="minor"/>
      </rPr>
      <t xml:space="preserve"> (c)</t>
    </r>
    <r>
      <rPr>
        <sz val="10"/>
        <rFont val="Calibri"/>
        <family val="2"/>
        <scheme val="minor"/>
      </rPr>
      <t xml:space="preserve"> shared utility trenches or easements
     </t>
    </r>
    <r>
      <rPr>
        <b/>
        <sz val="10"/>
        <rFont val="Calibri"/>
        <family val="2"/>
        <scheme val="minor"/>
      </rPr>
      <t>(d)</t>
    </r>
    <r>
      <rPr>
        <sz val="10"/>
        <rFont val="Calibri"/>
        <family val="2"/>
        <scheme val="minor"/>
      </rPr>
      <t xml:space="preserve"> placement of utilities under paved surfaces instead of yards</t>
    </r>
  </si>
  <si>
    <r>
      <t xml:space="preserve">503.3(3) </t>
    </r>
    <r>
      <rPr>
        <sz val="10"/>
        <rFont val="Calibri"/>
        <family val="2"/>
        <scheme val="minor"/>
      </rPr>
      <t>Limits of clearing and grading are demarcated on the lot plan.</t>
    </r>
  </si>
  <si>
    <t>503.4 Storm water management. A storm water management design includes one or more of the following low-impact development techniques:
(For lots in a development, the points for items (1), (2), and (3) may be awarded for the lot when there is a community storm water management plan implemented and the builder does not violate that plan with respect to water leaving the lot.)</t>
  </si>
  <si>
    <r>
      <t xml:space="preserve">503.4(1) </t>
    </r>
    <r>
      <rPr>
        <sz val="10"/>
        <rFont val="Calibri"/>
        <family val="2"/>
        <scheme val="minor"/>
      </rPr>
      <t>Natural water and drainage features are preserved and used.</t>
    </r>
  </si>
  <si>
    <r>
      <t xml:space="preserve">503.4(2) </t>
    </r>
    <r>
      <rPr>
        <sz val="10"/>
        <rFont val="Calibri"/>
        <family val="2"/>
        <scheme val="minor"/>
      </rPr>
      <t>Facilities that minimize concentrated flows and simulate flows found in natural hydrology by the use of vegetative swales, french drains, wetlands, drywells, rain gardens, and similar infiltration features.</t>
    </r>
  </si>
  <si>
    <r>
      <t>503.4(3)(a)</t>
    </r>
    <r>
      <rPr>
        <sz val="10"/>
        <rFont val="Calibri"/>
        <family val="2"/>
        <scheme val="minor"/>
      </rPr>
      <t xml:space="preserve"> less than 25%</t>
    </r>
  </si>
  <si>
    <r>
      <t xml:space="preserve">503.4(3)(b) </t>
    </r>
    <r>
      <rPr>
        <sz val="10"/>
        <rFont val="Calibri"/>
        <family val="2"/>
        <scheme val="minor"/>
      </rPr>
      <t>25 to 75%</t>
    </r>
  </si>
  <si>
    <r>
      <t>503.4(3)(c)</t>
    </r>
    <r>
      <rPr>
        <sz val="10"/>
        <rFont val="Calibri"/>
        <family val="2"/>
        <scheme val="minor"/>
      </rPr>
      <t xml:space="preserve"> greater than 75%</t>
    </r>
  </si>
  <si>
    <r>
      <t>503.4(4)</t>
    </r>
    <r>
      <rPr>
        <sz val="10"/>
        <rFont val="Calibri"/>
        <family val="2"/>
        <scheme val="minor"/>
      </rPr>
      <t xml:space="preserve"> A minimum of 50 percent of the roof is vegetated (green roof) using technology capable of withstanding the climate conditions of the jurisdiction and the microclimate conditions of the building site. Invasive plant species are not permitted.</t>
    </r>
  </si>
  <si>
    <r>
      <t>503.4(5)</t>
    </r>
    <r>
      <rPr>
        <sz val="10"/>
        <rFont val="Calibri"/>
        <family val="2"/>
        <scheme val="minor"/>
      </rPr>
      <t xml:space="preserve"> Stormwater management practices that manage rainfall on-site and prevent the off-site discharge from all storms up to and including the volume of the 95th percentile storm event.</t>
    </r>
  </si>
  <si>
    <t>503.5 A landscape plan for the lot is developed to limit water and energy use while preserving or enhancing the natural environment. (Where "front" only or "rear" only plan is implemented, only half of the points [rounding down to a whole number] are awarded for items 1-6)</t>
  </si>
  <si>
    <r>
      <t xml:space="preserve">503.5(1) </t>
    </r>
    <r>
      <rPr>
        <sz val="10"/>
        <rFont val="Calibri"/>
        <family val="2"/>
        <scheme val="minor"/>
      </rPr>
      <t>Where a lot is less than 50% turf, a plan is formulated to restore or enhance natural vegetation that is cleared during construction. Landscaping is phased to coincide with achievement of final grades to ensure denuded areas are quickly vegetated.</t>
    </r>
  </si>
  <si>
    <r>
      <t xml:space="preserve">503.5(2) </t>
    </r>
    <r>
      <rPr>
        <sz val="10"/>
        <rFont val="Calibri"/>
        <family val="2"/>
        <scheme val="minor"/>
      </rPr>
      <t>Turf grass species, other vegetation, and trees are selected and specified on the lot plan that are native or regionally appropriate for local growing conditions.</t>
    </r>
  </si>
  <si>
    <r>
      <t xml:space="preserve">503.5(3) </t>
    </r>
    <r>
      <rPr>
        <sz val="10"/>
        <rFont val="Calibri"/>
        <family val="2"/>
        <scheme val="minor"/>
      </rPr>
      <t>The percentage of turf areas that is designed to be mowed is limited and shown on the lot plan. The percentage is based on the landscaped area of the lot not including the home footprint, hardscape, and any undisturbed natural areas.</t>
    </r>
  </si>
  <si>
    <r>
      <t>503.5(3)(a)</t>
    </r>
    <r>
      <rPr>
        <sz val="10"/>
        <rFont val="Calibri"/>
        <family val="2"/>
        <scheme val="minor"/>
      </rPr>
      <t xml:space="preserve"> 0% or EPA WaterSense Water Budget Tool is used to determine the maximum percentage of turf areas</t>
    </r>
  </si>
  <si>
    <r>
      <t>503.5(3)(b)</t>
    </r>
    <r>
      <rPr>
        <sz val="10"/>
        <rFont val="Calibri"/>
        <family val="2"/>
        <scheme val="minor"/>
      </rPr>
      <t xml:space="preserve"> greater than 0% to less than 20%</t>
    </r>
  </si>
  <si>
    <r>
      <t>503.5(3)(c)</t>
    </r>
    <r>
      <rPr>
        <sz val="10"/>
        <rFont val="Calibri"/>
        <family val="2"/>
        <scheme val="minor"/>
      </rPr>
      <t xml:space="preserve"> 20% to less than 40%</t>
    </r>
  </si>
  <si>
    <r>
      <t>503.5(3)(d)</t>
    </r>
    <r>
      <rPr>
        <sz val="10"/>
        <rFont val="Calibri"/>
        <family val="2"/>
        <scheme val="minor"/>
      </rPr>
      <t xml:space="preserve"> 40% to 60%</t>
    </r>
  </si>
  <si>
    <r>
      <t xml:space="preserve">503.5(4) </t>
    </r>
    <r>
      <rPr>
        <sz val="10"/>
        <rFont val="Calibri"/>
        <family val="2"/>
        <scheme val="minor"/>
      </rPr>
      <t>Plants with similar watering needs are grouped (hydrozoning) and shown on the lot plan.</t>
    </r>
  </si>
  <si>
    <r>
      <t>503.5(5)</t>
    </r>
    <r>
      <rPr>
        <sz val="10"/>
        <rFont val="Calibri"/>
        <family val="2"/>
        <scheme val="minor"/>
      </rPr>
      <t xml:space="preserve"> Summer shading by planting installed to shade a minimum of 30% of building walls. To conform to summer shading, the effective shade coverage is the arithmetic mean of the shade coverage calculated at 10 am for eastward facing walls, noon for southward facing walls, and 3 pm for westward facing walls on the summer solstice 5 years after planting.</t>
    </r>
  </si>
  <si>
    <r>
      <t xml:space="preserve">503.5(6) </t>
    </r>
    <r>
      <rPr>
        <sz val="10"/>
        <rFont val="Calibri"/>
        <family val="2"/>
        <scheme val="minor"/>
      </rPr>
      <t>Vegetative wind breaks or channels are designed to protect the lot and immediate surrounding lots as appropriate for local conditions.</t>
    </r>
  </si>
  <si>
    <r>
      <t xml:space="preserve">503.5(7) </t>
    </r>
    <r>
      <rPr>
        <sz val="10"/>
        <rFont val="Calibri"/>
        <family val="2"/>
        <scheme val="minor"/>
      </rPr>
      <t>On-site (or community generated) tree trimmings or stump grinding of regionally appropriate trees are used on the site to provide protective mulch during construction or for landscaping.</t>
    </r>
  </si>
  <si>
    <r>
      <t xml:space="preserve">503.5(8) </t>
    </r>
    <r>
      <rPr>
        <sz val="10"/>
        <rFont val="Calibri"/>
        <family val="2"/>
        <scheme val="minor"/>
      </rPr>
      <t>An integrated pest management plan is developed to minimize chemical use in pesticides and fertilizers.</t>
    </r>
  </si>
  <si>
    <r>
      <t xml:space="preserve">503.6(1) </t>
    </r>
    <r>
      <rPr>
        <sz val="10"/>
        <rFont val="Calibri"/>
        <family val="2"/>
        <scheme val="minor"/>
      </rPr>
      <t>Plants and gardens that will encourage wildlife, such as bird and butterfly gardens.</t>
    </r>
  </si>
  <si>
    <r>
      <t xml:space="preserve">503.6(2) </t>
    </r>
    <r>
      <rPr>
        <sz val="10"/>
        <rFont val="Calibri"/>
        <family val="2"/>
        <scheme val="minor"/>
      </rPr>
      <t>Inclusion of a certified "backyard wildlife" program.</t>
    </r>
  </si>
  <si>
    <r>
      <t xml:space="preserve">503.6(3) </t>
    </r>
    <r>
      <rPr>
        <sz val="10"/>
        <rFont val="Calibri"/>
        <family val="2"/>
        <scheme val="minor"/>
      </rPr>
      <t>Lots are adjacent to wildlife corridors, fish and game parks, or preserved areas and are designed with regard for this relationship.</t>
    </r>
  </si>
  <si>
    <r>
      <t xml:space="preserve">503.6(4) </t>
    </r>
    <r>
      <rPr>
        <sz val="10"/>
        <rFont val="Calibri"/>
        <family val="2"/>
        <scheme val="minor"/>
      </rPr>
      <t>Outdoor lighting techniques are utilized with regard for wildlife.</t>
    </r>
  </si>
  <si>
    <t>503.7 Environmentally sensitive areas.</t>
  </si>
  <si>
    <r>
      <t xml:space="preserve">503.7(1) </t>
    </r>
    <r>
      <rPr>
        <sz val="10"/>
        <rFont val="Calibri"/>
        <family val="2"/>
        <scheme val="minor"/>
      </rPr>
      <t xml:space="preserve"> The lot does not contain any environmentally sensitive areas that are disturbed by the construction.</t>
    </r>
  </si>
  <si>
    <r>
      <t>503.7(2)</t>
    </r>
    <r>
      <rPr>
        <sz val="10"/>
        <rFont val="Calibri"/>
        <family val="2"/>
        <scheme val="minor"/>
      </rPr>
      <t xml:space="preserve"> Compromised environmentally sensitive areas are mitigated or restored.</t>
    </r>
  </si>
  <si>
    <r>
      <t>504.1 On-site supervision and coordination is provided during clearing, grading, trenching, paving on the lot, and installation of utilities on the lot to ensure that specified green development practices are implemented. (</t>
    </r>
    <r>
      <rPr>
        <b/>
        <i/>
        <sz val="10"/>
        <rFont val="Calibri"/>
        <family val="2"/>
        <scheme val="minor"/>
      </rPr>
      <t>also see Section 503.3</t>
    </r>
    <r>
      <rPr>
        <b/>
        <sz val="10"/>
        <rFont val="Calibri"/>
        <family val="2"/>
        <scheme val="minor"/>
      </rPr>
      <t>)</t>
    </r>
  </si>
  <si>
    <t>504.2 Designated trees and vegetation are preserved by one or more of the following:</t>
  </si>
  <si>
    <r>
      <t>504.2(1)</t>
    </r>
    <r>
      <rPr>
        <sz val="10"/>
        <rFont val="Calibri"/>
        <family val="2"/>
        <scheme val="minor"/>
      </rPr>
      <t xml:space="preserve"> Fencing or equivalent is installed to protect trees and other vegetation.</t>
    </r>
  </si>
  <si>
    <r>
      <t>504.2(2)</t>
    </r>
    <r>
      <rPr>
        <sz val="10"/>
        <rFont val="Calibri"/>
        <family val="2"/>
        <scheme val="minor"/>
      </rPr>
      <t xml:space="preserve"> Trenching, significant changes in grade, and compaction of soil and critical root zones in all "tree save" areas as shown on the lot plan are avoided.</t>
    </r>
  </si>
  <si>
    <r>
      <t>504.2(3)</t>
    </r>
    <r>
      <rPr>
        <sz val="10"/>
        <rFont val="Calibri"/>
        <family val="2"/>
        <scheme val="minor"/>
      </rPr>
      <t xml:space="preserve"> Damage to designated existing trees and vegetation is mitigated during construction through pruning, root pruning, fertilizing, and watering.</t>
    </r>
  </si>
  <si>
    <t>504.3  On-site soil disturbance and erosion are minimized by one or more of the following in accordance with the SWPPP or applicable plan: (also see Section 503.3)</t>
  </si>
  <si>
    <r>
      <t>504.3(1)</t>
    </r>
    <r>
      <rPr>
        <sz val="10"/>
        <rFont val="Calibri"/>
        <family val="2"/>
        <scheme val="minor"/>
      </rPr>
      <t xml:space="preserve"> Sediment and erosion controls are installed on the lot and maintained in accordance with the storm water pollution prevention plan, where required.</t>
    </r>
  </si>
  <si>
    <r>
      <t>504.3(2)</t>
    </r>
    <r>
      <rPr>
        <sz val="10"/>
        <rFont val="Calibri"/>
        <family val="2"/>
        <scheme val="minor"/>
      </rPr>
      <t xml:space="preserve"> Limits of clearing and grading are staked out on the lot.</t>
    </r>
  </si>
  <si>
    <r>
      <t>504.3(3)</t>
    </r>
    <r>
      <rPr>
        <sz val="10"/>
        <rFont val="Calibri"/>
        <family val="2"/>
        <scheme val="minor"/>
      </rPr>
      <t xml:space="preserve"> "No disturbance" zones are created using fencing or flagging to protect vegetation and sensitive areas on the lot from construction activity.</t>
    </r>
  </si>
  <si>
    <r>
      <t>504.3(4)</t>
    </r>
    <r>
      <rPr>
        <sz val="10"/>
        <rFont val="Calibri"/>
        <family val="2"/>
        <scheme val="minor"/>
      </rPr>
      <t xml:space="preserve"> Topsoil from either the lot or the site development is stockpiled and stabilized for later use and used to establish landscape plantings on the lot.</t>
    </r>
  </si>
  <si>
    <r>
      <t>504.3(5)</t>
    </r>
    <r>
      <rPr>
        <sz val="10"/>
        <rFont val="Calibri"/>
        <family val="2"/>
        <scheme val="minor"/>
      </rPr>
      <t xml:space="preserve"> Soil compaction from construction equipment is reduced by distributing the weight of the equipment over a larger area (laying lightweight geogrids, mulch, chipped wood, plywood, OSB, metal plates, or other materials capable of weight distribution in the pathway of the equipment).</t>
    </r>
  </si>
  <si>
    <r>
      <t>504.3(6)</t>
    </r>
    <r>
      <rPr>
        <sz val="10"/>
        <rFont val="Calibri"/>
        <family val="2"/>
        <scheme val="minor"/>
      </rPr>
      <t xml:space="preserve"> Disturbed areas on the lot that are complete or to be left unworked for 21 days or more are stabilized within 14 days using methods as recommended by the EPA, or in the approved storm water pollution prevention plan, where required.</t>
    </r>
  </si>
  <si>
    <r>
      <t>504.3(7)</t>
    </r>
    <r>
      <rPr>
        <sz val="10"/>
        <rFont val="Calibri"/>
        <family val="2"/>
        <scheme val="minor"/>
      </rPr>
      <t xml:space="preserve"> Soil is improved with organic amendments and mulch.</t>
    </r>
  </si>
  <si>
    <r>
      <t>504.3(8)</t>
    </r>
    <r>
      <rPr>
        <sz val="10"/>
        <rFont val="Calibri"/>
        <family val="2"/>
        <scheme val="minor"/>
      </rPr>
      <t xml:space="preserve"> Utilities on the lot are installed using one or more alternative means (e.g., tunneling instead of trenching, use of smaller equipment, use of low ground pressure equipment, use of geomats, shared utility trenches or easements).</t>
    </r>
  </si>
  <si>
    <r>
      <t>504.3(9)</t>
    </r>
    <r>
      <rPr>
        <sz val="10"/>
        <rFont val="Calibri"/>
        <family val="2"/>
        <scheme val="minor"/>
      </rPr>
      <t xml:space="preserve"> Inspection reports of storm water best management practices are available.</t>
    </r>
  </si>
  <si>
    <t>505.1  Driveways and parking areas. Driveways and parking areas are minimized by one or more of the following:</t>
  </si>
  <si>
    <r>
      <t xml:space="preserve">505.1(1) </t>
    </r>
    <r>
      <rPr>
        <sz val="10"/>
        <rFont val="Calibri"/>
        <family val="2"/>
        <scheme val="minor"/>
      </rPr>
      <t>Off-street parking areas are shared or driveways are shared. Waivers or variances from local development regulations are obtained to implement such practices, if required.</t>
    </r>
  </si>
  <si>
    <r>
      <t xml:space="preserve">505.1(2) </t>
    </r>
    <r>
      <rPr>
        <sz val="10"/>
        <rFont val="Calibri"/>
        <family val="2"/>
        <scheme val="minor"/>
      </rPr>
      <t>In a multi-unit project, parking capacity is not to exceed the local minimum requirements.</t>
    </r>
  </si>
  <si>
    <r>
      <t xml:space="preserve">505.1(3) </t>
    </r>
    <r>
      <rPr>
        <sz val="10"/>
        <rFont val="Calibri"/>
        <family val="2"/>
        <scheme val="minor"/>
      </rPr>
      <t>Structured parking is utilized to reduce the footprint of surface parking areas.</t>
    </r>
  </si>
  <si>
    <r>
      <t xml:space="preserve">505.1(3)(a) </t>
    </r>
    <r>
      <rPr>
        <sz val="10"/>
        <rFont val="Calibri"/>
        <family val="2"/>
        <scheme val="minor"/>
      </rPr>
      <t>25% to less than 50%</t>
    </r>
  </si>
  <si>
    <r>
      <t xml:space="preserve">505.1(3)(b) </t>
    </r>
    <r>
      <rPr>
        <sz val="10"/>
        <rFont val="Calibri"/>
        <family val="2"/>
        <scheme val="minor"/>
      </rPr>
      <t>50% to 75%</t>
    </r>
  </si>
  <si>
    <r>
      <t xml:space="preserve">505.1(3)( c) </t>
    </r>
    <r>
      <rPr>
        <sz val="10"/>
        <rFont val="Calibri"/>
        <family val="2"/>
        <scheme val="minor"/>
      </rPr>
      <t>greater than 75%</t>
    </r>
  </si>
  <si>
    <t>505.2 Heat island effect is mitigated by the following:</t>
  </si>
  <si>
    <r>
      <t xml:space="preserve">505.2(1) Hardscape: Not less than 50 percent of the surface area of the hardscape on the lot meets one or a combination of the following methods.
     (a) </t>
    </r>
    <r>
      <rPr>
        <sz val="10"/>
        <rFont val="Calibri"/>
        <family val="2"/>
        <scheme val="minor"/>
      </rPr>
      <t>Shading of hardscaping: Shade is provided from existing or new vegetation (within five years) or from trellises. Shade of hardscaping is to be measured on the summer solstice at noon.</t>
    </r>
    <r>
      <rPr>
        <b/>
        <sz val="10"/>
        <rFont val="Calibri"/>
        <family val="2"/>
        <scheme val="minor"/>
      </rPr>
      <t xml:space="preserve">
     (b)</t>
    </r>
    <r>
      <rPr>
        <sz val="10"/>
        <rFont val="Calibri"/>
        <family val="2"/>
        <scheme val="minor"/>
      </rPr>
      <t xml:space="preserve"> Light-colored hardscaping: Horizontal hardscaping materials are installed with a solar reflectance index (SRI) of 29 or greater. The SRI shall be calculated in accordance with ASTM E1980. A default SRI value of 35 for new concrete without added color pigment is allowed to be used instead of measurements.</t>
    </r>
    <r>
      <rPr>
        <b/>
        <sz val="10"/>
        <rFont val="Calibri"/>
        <family val="2"/>
        <scheme val="minor"/>
      </rPr>
      <t xml:space="preserve">
     (c) </t>
    </r>
    <r>
      <rPr>
        <sz val="10"/>
        <rFont val="Calibri"/>
        <family val="2"/>
        <scheme val="minor"/>
      </rPr>
      <t>Permeable hardscaping: Permeable hardscaping materials are installed.</t>
    </r>
  </si>
  <si>
    <r>
      <t xml:space="preserve">505.2(2) Roofs: Not less than 75% of the exposed surface of the roof meets one or a combination of the following methods.
     (a) </t>
    </r>
    <r>
      <rPr>
        <sz val="10"/>
        <rFont val="Calibri"/>
        <family val="2"/>
        <scheme val="minor"/>
      </rPr>
      <t>Minimum initial SRI of 78 for a low-sloped roof (a slope less than or equal to 2:12) and a minimum initial (SRI) of 29 for a steep-sloped roof (a slope of more than 2:12). The SRI shall be calculated in accordance with ASTM E1980. Roof products shall be labeled and certified.</t>
    </r>
    <r>
      <rPr>
        <b/>
        <sz val="10"/>
        <rFont val="Calibri"/>
        <family val="2"/>
        <scheme val="minor"/>
      </rPr>
      <t xml:space="preserve">
     (b) </t>
    </r>
    <r>
      <rPr>
        <sz val="10"/>
        <rFont val="Calibri"/>
        <family val="2"/>
        <scheme val="minor"/>
      </rPr>
      <t>Roof is vegetated using technology capable of withstanding the climate conditions of the jurisdiction and the microclimate conditions of the building site. Invasive plant species are not permitted.</t>
    </r>
  </si>
  <si>
    <t>505.3 Density. The average density on the lot on a net developable area basis is:</t>
  </si>
  <si>
    <r>
      <t xml:space="preserve">505.3(1) </t>
    </r>
    <r>
      <rPr>
        <sz val="10"/>
        <color theme="1"/>
        <rFont val="Calibri"/>
        <family val="2"/>
        <scheme val="minor"/>
      </rPr>
      <t>7 to less than 14 dwelling units per acre (per 4047 m</t>
    </r>
    <r>
      <rPr>
        <vertAlign val="superscript"/>
        <sz val="10"/>
        <color theme="1"/>
        <rFont val="Calibri"/>
        <family val="2"/>
        <scheme val="minor"/>
      </rPr>
      <t>2</t>
    </r>
    <r>
      <rPr>
        <sz val="10"/>
        <color theme="1"/>
        <rFont val="Calibri"/>
        <family val="2"/>
        <scheme val="minor"/>
      </rPr>
      <t>)</t>
    </r>
  </si>
  <si>
    <r>
      <t xml:space="preserve">505.3(2) </t>
    </r>
    <r>
      <rPr>
        <sz val="10"/>
        <color theme="1"/>
        <rFont val="Calibri"/>
        <family val="2"/>
        <scheme val="minor"/>
      </rPr>
      <t>14 to less than 21 dwelling units per acre (per 4047 m</t>
    </r>
    <r>
      <rPr>
        <vertAlign val="superscript"/>
        <sz val="10"/>
        <color theme="1"/>
        <rFont val="Calibri"/>
        <family val="2"/>
        <scheme val="minor"/>
      </rPr>
      <t>2</t>
    </r>
    <r>
      <rPr>
        <sz val="10"/>
        <color theme="1"/>
        <rFont val="Calibri"/>
        <family val="2"/>
        <scheme val="minor"/>
      </rPr>
      <t>)</t>
    </r>
  </si>
  <si>
    <r>
      <t xml:space="preserve">505.3(3) </t>
    </r>
    <r>
      <rPr>
        <sz val="10"/>
        <color theme="1"/>
        <rFont val="Calibri"/>
        <family val="2"/>
        <scheme val="minor"/>
      </rPr>
      <t>21 or greater dwelling units per acre (per 4047 m</t>
    </r>
    <r>
      <rPr>
        <vertAlign val="superscript"/>
        <sz val="10"/>
        <color theme="1"/>
        <rFont val="Calibri"/>
        <family val="2"/>
        <scheme val="minor"/>
      </rPr>
      <t>2</t>
    </r>
    <r>
      <rPr>
        <sz val="10"/>
        <color theme="1"/>
        <rFont val="Calibri"/>
        <family val="2"/>
        <scheme val="minor"/>
      </rPr>
      <t>)</t>
    </r>
  </si>
  <si>
    <t>505.4 Mixed-use development. The lot contains a mixed-use building.</t>
  </si>
  <si>
    <t>505.5 Community garden(s). A portion of the lot is established as a community garden(s), available to residents of the lot, to provide for local food production to residents or area consumers.</t>
  </si>
  <si>
    <t>No tile in wet areas</t>
  </si>
  <si>
    <t>801.1(4) is met AND the volume in the circulation loop (supply) from the water heater or boiler to the branch for the furthest fixture is no more than 128 ounces (1 gallon or 3.78 liters).</t>
  </si>
  <si>
    <r>
      <t xml:space="preserve">A central hot water recirculation system is implemented in </t>
    </r>
    <r>
      <rPr>
        <b/>
        <sz val="11"/>
        <color theme="1"/>
        <rFont val="Calibri"/>
        <family val="2"/>
        <scheme val="minor"/>
      </rPr>
      <t>multi-unit buildings</t>
    </r>
    <r>
      <rPr>
        <sz val="9"/>
        <color theme="1"/>
        <rFont val="Calibri"/>
        <family val="2"/>
        <scheme val="minor"/>
      </rPr>
      <t xml:space="preserve"> in which the hot water line distance from the recirculating loop to the engineered parallel piping system (i.e., manifold system) is less than 30 feet (9144 mm) and the parallel piping to the fixture fittings contains a maximum of 64 ounces (1.89 liters) (115.50 cubic inches) (0.50 gallons).</t>
    </r>
  </si>
  <si>
    <t>All shower compartments in the dwelling units and common areas meet the requirements of 801.3(1).</t>
  </si>
  <si>
    <r>
      <rPr>
        <b/>
        <sz val="10"/>
        <color rgb="FFFF0000"/>
        <rFont val="Calibri"/>
        <family val="2"/>
      </rPr>
      <t>NOTE:</t>
    </r>
    <r>
      <rPr>
        <sz val="10"/>
        <rFont val="Calibri"/>
        <family val="2"/>
      </rPr>
      <t xml:space="preserve"> Points must be claimed for 801.3(1) in order to claim points for 801.3(2).</t>
    </r>
  </si>
  <si>
    <t>Drop Downs - Chapter 9</t>
  </si>
  <si>
    <t>901.1.1</t>
  </si>
  <si>
    <t>No natural draft</t>
  </si>
  <si>
    <t>Formulas - Chapter 9</t>
  </si>
  <si>
    <t>901.1.2</t>
  </si>
  <si>
    <t>901.1.3</t>
  </si>
  <si>
    <r>
      <t xml:space="preserve">The following combustion space heating or water heating equipment is installed within conditioned space:
</t>
    </r>
    <r>
      <rPr>
        <b/>
        <u/>
        <sz val="10"/>
        <color theme="1"/>
        <rFont val="Calibri"/>
        <family val="2"/>
        <scheme val="minor"/>
      </rPr>
      <t>Claim points for all that apply from (1)-(2) below:</t>
    </r>
  </si>
  <si>
    <t>All furnaces or all boilers are power vent or direct vent</t>
  </si>
  <si>
    <t>power vent = 3 pts
direct vent = 5pts</t>
  </si>
  <si>
    <t>901.1.3_1</t>
  </si>
  <si>
    <t>Power vent</t>
  </si>
  <si>
    <t>Direct vent</t>
  </si>
  <si>
    <t>All water heaters are power vent or direct vent</t>
  </si>
  <si>
    <t>901.1.3_2</t>
  </si>
  <si>
    <t>Gas-fired fireplaces and direct heating equipment is listed and is installed in accordance with the NFPA National Fuel Gas Code or ICC International Fuel Gas Code or the applicable local gas appliance installation code. Gas-fired fireplaces and direct heating equipment are vented to the outdoors.</t>
  </si>
  <si>
    <t>No gas fireplace or heating equipment</t>
  </si>
  <si>
    <t>901.1.5</t>
  </si>
  <si>
    <t>Natural gas and propane fireplaces are direct vented, have permanently fixed glass fronts or gasketed doors, and comply with CSA ANSI Z21.88/CSA 2.33 or CSA ANSI Z21.50b/CSA 2.22b.</t>
  </si>
  <si>
    <t>901.1.6</t>
  </si>
  <si>
    <t>Unconditioned space</t>
  </si>
  <si>
    <t>Conditioned space</t>
  </si>
  <si>
    <t>unconditioned = 2
conditioned = 5</t>
  </si>
  <si>
    <t>Solid fuel-burning appliances.</t>
  </si>
  <si>
    <t>Solid fuel-burning fireplaces, inserts, stoves and heaters are code compliant and are in accordance with the following requirements:</t>
  </si>
  <si>
    <t>Site-built masonry wood-burning fireplaces are equipped with outside combustion air and a means of sealing the flue and the combustion air outlets to minimize interior air (heat) loss when not in operation.</t>
  </si>
  <si>
    <t>901.2.1_1</t>
  </si>
  <si>
    <t>901.2.1_2</t>
  </si>
  <si>
    <t>901.2.1_3</t>
  </si>
  <si>
    <t>901.2.1_4</t>
  </si>
  <si>
    <t>901.2.1_5</t>
  </si>
  <si>
    <r>
      <rPr>
        <b/>
        <sz val="10"/>
        <color rgb="FFFF0000"/>
        <rFont val="Calibri"/>
        <family val="2"/>
      </rPr>
      <t>NOTE:</t>
    </r>
    <r>
      <rPr>
        <sz val="10"/>
        <rFont val="Calibri"/>
        <family val="2"/>
      </rPr>
      <t xml:space="preserve"> Site-built masonry wood-burning fireplaces must be installed to claim points for 901.2.1(1).
If points are claimed for 901.2.1(1), points cannot be claimed for 901.2.2.</t>
    </r>
  </si>
  <si>
    <r>
      <rPr>
        <b/>
        <sz val="10"/>
        <color rgb="FFFF0000"/>
        <rFont val="Calibri"/>
        <family val="2"/>
      </rPr>
      <t>NOTE:</t>
    </r>
    <r>
      <rPr>
        <sz val="10"/>
        <rFont val="Calibri"/>
        <family val="2"/>
      </rPr>
      <t xml:space="preserve"> Factory-built, wood-burning fireplaces must be installed to claim points for 901.2.1(2).
If points are claimed for 901.2.1(2), points cannot be claimed for 901.2.2.</t>
    </r>
  </si>
  <si>
    <r>
      <rPr>
        <b/>
        <sz val="10"/>
        <color rgb="FFFF0000"/>
        <rFont val="Calibri"/>
        <family val="2"/>
      </rPr>
      <t>NOTE:</t>
    </r>
    <r>
      <rPr>
        <sz val="10"/>
        <rFont val="Calibri"/>
        <family val="2"/>
      </rPr>
      <t xml:space="preserve"> Wood stove &amp; fireplace inserts must be installed to claim points for 901.2.1(3).
If points are claimed for 901.2.1(3), points cannot be claimed for 901.2.2.</t>
    </r>
  </si>
  <si>
    <r>
      <rPr>
        <b/>
        <sz val="10"/>
        <color rgb="FFFF0000"/>
        <rFont val="Calibri"/>
        <family val="2"/>
      </rPr>
      <t>NOTE:</t>
    </r>
    <r>
      <rPr>
        <sz val="10"/>
        <rFont val="Calibri"/>
        <family val="2"/>
      </rPr>
      <t xml:space="preserve"> Pellet stoves &amp; furnaces must be installed to claim points for 901.2.1(4).
If points are claimed for 901.2.1(4), points cannot be claimed for 901.2.2.</t>
    </r>
  </si>
  <si>
    <r>
      <rPr>
        <b/>
        <sz val="10"/>
        <color rgb="FFFF0000"/>
        <rFont val="Calibri"/>
        <family val="2"/>
      </rPr>
      <t>NOTE:</t>
    </r>
    <r>
      <rPr>
        <sz val="10"/>
        <rFont val="Calibri"/>
        <family val="2"/>
      </rPr>
      <t xml:space="preserve"> Masonry heaters must be installed to claim points for 901.2.1(5). 
If points are claimed for 901.2.1(5), points cannot be claimed for 901.2.2.</t>
    </r>
  </si>
  <si>
    <r>
      <rPr>
        <b/>
        <sz val="10"/>
        <color rgb="FFFF0000"/>
        <rFont val="Calibri"/>
        <family val="2"/>
      </rPr>
      <t>NOTE:</t>
    </r>
    <r>
      <rPr>
        <sz val="10"/>
        <rFont val="Calibri"/>
        <family val="2"/>
      </rPr>
      <t xml:space="preserve"> If points are claimed for 901.2.2, points cannot be claimed for 901.2.1(1)-(5).</t>
    </r>
  </si>
  <si>
    <t>Wood stove and fireplace inserts, as defined in UL 1482 Section 3.8, are in accordance with the certification requirements of UL 1482 and are in accordance with the emission requirements of the EPA Certification and the State of Washington WAC 173-433-100(3).</t>
  </si>
  <si>
    <t>901.3_1_a</t>
  </si>
  <si>
    <t>901.3_1_b</t>
  </si>
  <si>
    <t>No attached garage</t>
  </si>
  <si>
    <t>901.4_1</t>
  </si>
  <si>
    <t>901.4_2</t>
  </si>
  <si>
    <t>1 group</t>
  </si>
  <si>
    <t>2 groups</t>
  </si>
  <si>
    <t>3 groups</t>
  </si>
  <si>
    <t>4 groups</t>
  </si>
  <si>
    <t>901.4_3</t>
  </si>
  <si>
    <t>901.4_4</t>
  </si>
  <si>
    <t>4+ groups</t>
  </si>
  <si>
    <t>5+ groups</t>
  </si>
  <si>
    <t>901.4_5</t>
  </si>
  <si>
    <t>3+ groups</t>
  </si>
  <si>
    <t>901.4_6</t>
  </si>
  <si>
    <t>All parts of the cabinet are made of solid wood or non-formaldehyde emitting materials such as metal or glass.</t>
  </si>
  <si>
    <t>The composite wood used in wood cabinets are in accordance with CARB Composite Wood Air Toxic Contaminant Measure Standard or equivalent as certified by a third-party program such as but not limited to, those in Appendix D.</t>
  </si>
  <si>
    <t>composite wood</t>
  </si>
  <si>
    <t>901.6_1</t>
  </si>
  <si>
    <t>See Appendix D</t>
  </si>
  <si>
    <r>
      <rPr>
        <b/>
        <sz val="10"/>
        <color theme="1"/>
        <rFont val="Calibri"/>
        <family val="2"/>
        <scheme val="minor"/>
      </rPr>
      <t>Architectural coatings</t>
    </r>
    <r>
      <rPr>
        <sz val="10"/>
        <color theme="1"/>
        <rFont val="Calibri"/>
        <family val="2"/>
        <scheme val="minor"/>
      </rPr>
      <t>. A minimum of 85% of the architectural coatings are in accordance with either Section 901.9.1 or Section 901.9.3, not both. A minimum of 85% of architectural colorants are in accordance with Section 901.9.2.</t>
    </r>
  </si>
  <si>
    <t>Site-applied interior architectural coatings, which are inside the water proofing envelope, are in accordance with one or more of the following:
     (1) Zero VOC as determined by EPA Method 24 (VOC content below the detection limit for the method)
     (2) GreenSeal GS-11 Standard for Paints and Coatings
     (3) CARB Suggested Control Measure for Architectural Coatings (see Table 901.9.1).</t>
  </si>
  <si>
    <t>See Table 901.9.1</t>
  </si>
  <si>
    <t>Architectural coating colorant additive VOC content is in accordance with Table 901.9.2.</t>
  </si>
  <si>
    <t>Table 901.9.2: VOC content limits for colorants</t>
  </si>
  <si>
    <t>Colorant</t>
  </si>
  <si>
    <t>Architectural Coatings, excluding IM Coatings</t>
  </si>
  <si>
    <t>Solvent-Based IM</t>
  </si>
  <si>
    <t>Waterborne IM</t>
  </si>
  <si>
    <t>LIMIT (g/l)</t>
  </si>
  <si>
    <t>901.9.3</t>
  </si>
  <si>
    <r>
      <rPr>
        <b/>
        <sz val="10"/>
        <color rgb="FFFF0000"/>
        <rFont val="Calibri"/>
        <family val="2"/>
      </rPr>
      <t>NOTE:</t>
    </r>
    <r>
      <rPr>
        <sz val="10"/>
        <rFont val="Calibri"/>
        <family val="2"/>
      </rPr>
      <t xml:space="preserve"> If points are claimed for 901.9.1, points cannot be claimed for 901.9.3.</t>
    </r>
  </si>
  <si>
    <r>
      <rPr>
        <b/>
        <sz val="10"/>
        <color rgb="FFFF0000"/>
        <rFont val="Calibri"/>
        <family val="2"/>
      </rPr>
      <t>NOTE:</t>
    </r>
    <r>
      <rPr>
        <sz val="10"/>
        <rFont val="Calibri"/>
        <family val="2"/>
      </rPr>
      <t xml:space="preserve"> If points are claimed for 901.9.3, points cannot be claimed for 901.9.1.</t>
    </r>
  </si>
  <si>
    <r>
      <rPr>
        <b/>
        <sz val="10"/>
        <color theme="1"/>
        <rFont val="Calibri"/>
        <family val="2"/>
        <scheme val="minor"/>
      </rPr>
      <t>Adhesives and sealants</t>
    </r>
    <r>
      <rPr>
        <sz val="10"/>
        <color theme="1"/>
        <rFont val="Calibri"/>
        <family val="2"/>
        <scheme val="minor"/>
      </rPr>
      <t xml:space="preserve">. Interior low-VOC adhesives and sealants located inside the water proofing envelope: A minimum of 85% of site-applied products used within the interior of the building are in accordance with one of the following, as applicable.
</t>
    </r>
    <r>
      <rPr>
        <b/>
        <sz val="10"/>
        <color theme="1"/>
        <rFont val="Calibri"/>
        <family val="2"/>
        <scheme val="minor"/>
      </rPr>
      <t>Claim points for only one from (1)-(3) below:</t>
    </r>
  </si>
  <si>
    <t>GreenSeal GS-36 Adhesives for Commercial Use.</t>
  </si>
  <si>
    <t>SCAQMD Rule 1168 (see Table 901.10(3)), excluding products that are sold in 16 ounce containers or less and are regulated by the California Air Resources Board (CARB) Consumer Products Regulations.</t>
  </si>
  <si>
    <t>901.10</t>
  </si>
  <si>
    <t>GreenSeal GS-36</t>
  </si>
  <si>
    <t>SCAQMD Rule 1168</t>
  </si>
  <si>
    <r>
      <rPr>
        <b/>
        <sz val="10"/>
        <color theme="1"/>
        <rFont val="Calibri"/>
        <family val="2"/>
        <scheme val="minor"/>
      </rPr>
      <t>Carbon monoxide (CO) alarms</t>
    </r>
    <r>
      <rPr>
        <sz val="10"/>
        <color theme="1"/>
        <rFont val="Calibri"/>
        <family val="2"/>
        <scheme val="minor"/>
      </rPr>
      <t>. Where not required by local codes, a carbon monoxide (CO) alarm is installed in a central location outside of each separate sleeping area in the immediate vicinity of the bedrooms. The CO alarm(s) is located in accordance with NFPA 720 and is hard-wired with a battery back-up. The alarm device(s) is certified by a third-party for conformance to either CSA 6.19 or UL 2034.</t>
    </r>
  </si>
  <si>
    <r>
      <rPr>
        <b/>
        <sz val="10"/>
        <color theme="1"/>
        <rFont val="Calibri"/>
        <family val="2"/>
        <scheme val="minor"/>
      </rPr>
      <t>Building entrance pollutants control</t>
    </r>
    <r>
      <rPr>
        <sz val="10"/>
        <color theme="1"/>
        <rFont val="Calibri"/>
        <family val="2"/>
        <scheme val="minor"/>
      </rPr>
      <t>. Pollutants are controlled at all main building entrances by one of the following methods:</t>
    </r>
    <r>
      <rPr>
        <b/>
        <i/>
        <sz val="10"/>
        <color theme="1"/>
        <rFont val="Calibri"/>
        <family val="2"/>
        <scheme val="minor"/>
      </rPr>
      <t xml:space="preserve">
</t>
    </r>
    <r>
      <rPr>
        <b/>
        <u/>
        <sz val="10"/>
        <color theme="1"/>
        <rFont val="Calibri"/>
        <family val="2"/>
        <scheme val="minor"/>
      </rPr>
      <t>Claim points for only one from (1)-(2) below:</t>
    </r>
  </si>
  <si>
    <t>Exterior grilles</t>
  </si>
  <si>
    <t>Interior grilles</t>
  </si>
  <si>
    <r>
      <rPr>
        <b/>
        <sz val="10"/>
        <color rgb="FFFF0000"/>
        <rFont val="Calibri"/>
        <family val="2"/>
      </rPr>
      <t>NOTE:</t>
    </r>
    <r>
      <rPr>
        <sz val="10"/>
        <rFont val="Calibri"/>
        <family val="2"/>
      </rPr>
      <t xml:space="preserve"> Points for 901.14 awarded for </t>
    </r>
    <r>
      <rPr>
        <b/>
        <i/>
        <sz val="11"/>
        <rFont val="Calibri"/>
        <family val="2"/>
      </rPr>
      <t>multi-unit buildings</t>
    </r>
    <r>
      <rPr>
        <sz val="10"/>
        <rFont val="Calibri"/>
        <family val="2"/>
      </rPr>
      <t xml:space="preserve"> only.</t>
    </r>
  </si>
  <si>
    <r>
      <rPr>
        <b/>
        <sz val="10"/>
        <color theme="1"/>
        <rFont val="Calibri"/>
        <family val="2"/>
        <scheme val="minor"/>
      </rPr>
      <t>Intent</t>
    </r>
    <r>
      <rPr>
        <sz val="10"/>
        <color theme="1"/>
        <rFont val="Calibri"/>
        <family val="2"/>
        <scheme val="minor"/>
      </rPr>
      <t>. Pollutants generated in the building are controlled.</t>
    </r>
  </si>
  <si>
    <t>902.1.1_1</t>
  </si>
  <si>
    <t>902.1.1_2</t>
  </si>
  <si>
    <t>No clothes dryer</t>
  </si>
  <si>
    <r>
      <t xml:space="preserve">Bathrooms are vented to the outdoors. The minimum ventilation rate is 50 cfm (23.6 L/s) for intermittent operation or 20 cfm (9.4 L/s) for continuous operation in bathrooms.
</t>
    </r>
    <r>
      <rPr>
        <b/>
        <sz val="10"/>
        <color theme="1"/>
        <rFont val="Calibri"/>
        <family val="2"/>
        <scheme val="minor"/>
      </rPr>
      <t>Points are awarded only if a code-compliant window is provided in addition to mechanical ventilation.</t>
    </r>
  </si>
  <si>
    <t>Bathroom and/or laundry exhaust fan is provided with an automatic timer and/or humidistat.</t>
  </si>
  <si>
    <r>
      <rPr>
        <b/>
        <sz val="10"/>
        <color rgb="FFFF0000"/>
        <rFont val="Calibri"/>
        <family val="2"/>
      </rPr>
      <t>NOTE:</t>
    </r>
    <r>
      <rPr>
        <sz val="10"/>
        <rFont val="Calibri"/>
        <family val="2"/>
      </rPr>
      <t xml:space="preserve"> In the assigned Notes area, indicate whether a timer, humidistat, or both provided.</t>
    </r>
  </si>
  <si>
    <t>1 device = 5pts
2 devices = 7pts
3 devices = 9 pts
4+ devices = 11pts</t>
  </si>
  <si>
    <t>1 device</t>
  </si>
  <si>
    <t>2 devices</t>
  </si>
  <si>
    <t>3 devices</t>
  </si>
  <si>
    <t>4+ devices</t>
  </si>
  <si>
    <t>2 pts per fan</t>
  </si>
  <si>
    <t>3 pts per fan</t>
  </si>
  <si>
    <t>ENERGY STAR (or equivalent) fans operating at or below 1 sone</t>
  </si>
  <si>
    <t>ENERGY STAR® (or equivalent) fans</t>
  </si>
  <si>
    <t>902.1.4_1</t>
  </si>
  <si>
    <t>902.1.4_2</t>
  </si>
  <si>
    <t>1 fan</t>
  </si>
  <si>
    <t>2 fans</t>
  </si>
  <si>
    <t>3 fans</t>
  </si>
  <si>
    <t>4 fans</t>
  </si>
  <si>
    <t>5 fans</t>
  </si>
  <si>
    <t>6+ fans</t>
  </si>
  <si>
    <t>4+ fans</t>
  </si>
  <si>
    <t>902.2.1</t>
  </si>
  <si>
    <r>
      <t xml:space="preserve">One of the following whole building ventilation systems is implemented and is in accordance with the specifications of Appendix B.
</t>
    </r>
    <r>
      <rPr>
        <b/>
        <u/>
        <sz val="10"/>
        <color theme="1"/>
        <rFont val="Calibri"/>
        <family val="2"/>
        <scheme val="minor"/>
      </rPr>
      <t>Mandatory where the maximum air infiltration rate is less than 5 ACH50.</t>
    </r>
  </si>
  <si>
    <t>ready for continuous operation</t>
  </si>
  <si>
    <t>balanced exhaust &amp; supply fans with supply intakes</t>
  </si>
  <si>
    <t>heat-recovery ventilator</t>
  </si>
  <si>
    <t>energy-recovery ventilator</t>
  </si>
  <si>
    <t>N/A - air infiltration rate greater than 5 ACH50</t>
  </si>
  <si>
    <t>Ventilation airflow is tested to achieve the design fan airflow at point of exhaust in accordance with section 902.2.1.</t>
  </si>
  <si>
    <t>902.2.3</t>
  </si>
  <si>
    <t>MERV filters 8 or greater are installed on central forced air systems and are accessible. Designer or installer is to verify that the HVAC equipment is able to accommodate the greater pressure drop of MERV 8 filters.</t>
  </si>
  <si>
    <r>
      <rPr>
        <b/>
        <sz val="10"/>
        <color theme="1"/>
        <rFont val="Calibri"/>
        <family val="2"/>
        <scheme val="minor"/>
      </rPr>
      <t>Humidity monitoring system</t>
    </r>
    <r>
      <rPr>
        <sz val="10"/>
        <color theme="1"/>
        <rFont val="Calibri"/>
        <family val="2"/>
        <scheme val="minor"/>
      </rPr>
      <t>. A humidity monitoring system is installed with a mobile base unit that displays a reading of temperature and relative humidity at the base unit with a minimum of two remote units. One remote unit is placed permanently inside the conditioned space in a central location, excluding attachment to exterior walls, and another remote unit is placed permanently outside of the conditioned space.</t>
    </r>
  </si>
  <si>
    <r>
      <rPr>
        <b/>
        <sz val="10"/>
        <color theme="1"/>
        <rFont val="Calibri"/>
        <family val="2"/>
        <scheme val="minor"/>
      </rPr>
      <t>Kitchen exhaust.</t>
    </r>
    <r>
      <rPr>
        <sz val="10"/>
        <color theme="1"/>
        <rFont val="Calibri"/>
        <family val="2"/>
        <scheme val="minor"/>
      </rPr>
      <t xml:space="preserve"> Kitchen exhaust unit(s) that equal or exceeds 400 cfm (189 L/s), and make-up air is provided.
</t>
    </r>
  </si>
  <si>
    <r>
      <rPr>
        <b/>
        <sz val="10"/>
        <color theme="1"/>
        <rFont val="Calibri"/>
        <family val="2"/>
        <scheme val="minor"/>
      </rPr>
      <t>Relative humidity</t>
    </r>
    <r>
      <rPr>
        <sz val="10"/>
        <color theme="1"/>
        <rFont val="Calibri"/>
        <family val="2"/>
        <scheme val="minor"/>
      </rPr>
      <t>. In climate zones 1A, 2A, 3A, 4A, and 5A as defined by Figure 6(1), equipment is installed to maintain relative humidity (RH) at or below 60% using one of the following:</t>
    </r>
    <r>
      <rPr>
        <sz val="10"/>
        <color theme="1"/>
        <rFont val="Calibri"/>
        <family val="2"/>
        <scheme val="minor"/>
      </rPr>
      <t xml:space="preserve">
</t>
    </r>
  </si>
  <si>
    <t>central HVAC system with dehumidification mode</t>
  </si>
  <si>
    <t>additional dehumidification system</t>
  </si>
  <si>
    <r>
      <rPr>
        <b/>
        <sz val="10"/>
        <color theme="1"/>
        <rFont val="Calibri"/>
        <family val="2"/>
        <scheme val="minor"/>
      </rPr>
      <t>Duct insulation</t>
    </r>
    <r>
      <rPr>
        <sz val="10"/>
        <color theme="1"/>
        <rFont val="Calibri"/>
        <family val="2"/>
        <scheme val="minor"/>
      </rPr>
      <t>. Ducts are in accordance with one of the following.</t>
    </r>
  </si>
  <si>
    <t>All HVAC ducts, plenums, and trunks are in conditioned space.</t>
  </si>
  <si>
    <t>All HVAC ducts, plenums, and trunks are in conditioned space. All HVAC ducts are insulated to a minimum of R4.</t>
  </si>
  <si>
    <t>Ducts in conditioned space</t>
  </si>
  <si>
    <t>Ducts insulated to at least R4 and in conditioned space</t>
  </si>
  <si>
    <t>903.1.1</t>
  </si>
  <si>
    <t>903.1.2</t>
  </si>
  <si>
    <t>Cold water pipes insulated in unconditioned spaces</t>
  </si>
  <si>
    <t>Plumbing not installed in unconditioned spaces</t>
  </si>
  <si>
    <r>
      <rPr>
        <b/>
        <sz val="10"/>
        <color theme="1"/>
        <rFont val="Calibri"/>
        <family val="2"/>
        <scheme val="minor"/>
      </rPr>
      <t>Intent</t>
    </r>
    <r>
      <rPr>
        <sz val="10"/>
        <color theme="1"/>
        <rFont val="Calibri"/>
        <family val="2"/>
        <scheme val="minor"/>
      </rPr>
      <t>. Moisture and moisture effects are controlled.</t>
    </r>
  </si>
  <si>
    <r>
      <rPr>
        <b/>
        <sz val="10"/>
        <color theme="1"/>
        <rFont val="Calibri"/>
        <family val="2"/>
        <scheme val="minor"/>
      </rPr>
      <t>Living space contaminants</t>
    </r>
    <r>
      <rPr>
        <sz val="10"/>
        <color theme="1"/>
        <rFont val="Calibri"/>
        <family val="2"/>
        <scheme val="minor"/>
      </rPr>
      <t>. The living space is sealed to prevent unwanted contaminants.The living space is sealed in accordance with Section 701.4.3.1 to prevent unwanted contaminants.</t>
    </r>
  </si>
  <si>
    <t>Registers covered during construction</t>
  </si>
  <si>
    <t>Not Zone 1</t>
  </si>
  <si>
    <t>902.3_1</t>
  </si>
  <si>
    <t>Passive radon system</t>
  </si>
  <si>
    <t>Active radon system</t>
  </si>
  <si>
    <t>Buildings located in Radon Zone 1 have a radon system installed.</t>
  </si>
  <si>
    <r>
      <rPr>
        <b/>
        <sz val="10"/>
        <rFont val="Calibri"/>
        <family val="2"/>
        <scheme val="minor"/>
      </rPr>
      <t>Intent</t>
    </r>
    <r>
      <rPr>
        <sz val="10"/>
        <rFont val="Calibri"/>
        <family val="2"/>
        <scheme val="minor"/>
      </rPr>
      <t>. Pollutant sources are controlled.</t>
    </r>
  </si>
  <si>
    <t>Registers vacuumed before occupancy</t>
  </si>
  <si>
    <t>Total Project</t>
  </si>
  <si>
    <t>Appendix D: Examples of Third-Party Programs  for Indoor Environmental Quality</t>
  </si>
  <si>
    <t>NGBS Section</t>
  </si>
  <si>
    <t>Example Third-party Certification Programs Compliant with the Corresponding Section</t>
  </si>
  <si>
    <t>901.5 Cabinets</t>
  </si>
  <si>
    <t>Kitchen Cabinet Manufacturers Association (KCMA) Environmental Stewardship Program (ESP)</t>
  </si>
  <si>
    <t>901.6 Carpets</t>
  </si>
  <si>
    <t>Carpet and Rug Institute’s (CRI) Green Label Plus Indoor Air Quality Program</t>
  </si>
  <si>
    <t>901.7 Hard-surface flooring</t>
  </si>
  <si>
    <t>GREENGUARD Environmental Institute Children &amp; Schools Certification Program</t>
  </si>
  <si>
    <t>Resilient Floor Covering Institute’s FloorScore Indoor Air Certification Program</t>
  </si>
  <si>
    <t>901.8 Wall coverings</t>
  </si>
  <si>
    <t>Scientific Certification Systems (SCS) Indoor Advantage Gold Program</t>
  </si>
  <si>
    <t>901.9 Architectural coatings</t>
  </si>
  <si>
    <t>Green Seal-11 Standard for Paints and Coatings</t>
  </si>
  <si>
    <t>EcoLogo CCD-047</t>
  </si>
  <si>
    <t>901.10 Adhesives and sealants</t>
  </si>
  <si>
    <t>GREENGUARD Environmental Institute Children and Schools Certification Program</t>
  </si>
  <si>
    <t>Scientific Certifications Systems (SCS) Indoor Advantage Gold Program</t>
  </si>
  <si>
    <t>Green Seal-36 Standard for Adhesives for Commercial Use</t>
  </si>
  <si>
    <t>901.11 Insulation</t>
  </si>
  <si>
    <t>TABLE D1: Example Third-party Certification Programs</t>
  </si>
  <si>
    <t>TABLE D2: Contact Information for the Example Third-party Certification Programs</t>
  </si>
  <si>
    <t>Third-party Certification Program</t>
  </si>
  <si>
    <t>Contact Information for the Program Administrator</t>
  </si>
  <si>
    <t>Kitchen Cabinet Manufacturers Association
1899 Preston White Drive
Reston, VA 20191
www.kcma.org
(703) 264-1690</t>
  </si>
  <si>
    <t>Carpet and Rug Institute
730 College Drive
Dalton, Georgia 30720
United States of America
http://www.carpet-rug.org
(706) 278-3176</t>
  </si>
  <si>
    <t>GREENGUARD Environmental Institute
2211 Newmarket Parkway, Suite 110
Marietta, GA 30067
http://www.greenguard.org
(800) 427-9681</t>
  </si>
  <si>
    <t>Resilient Floor Covering Institute
115 Broad Street
Suite 201
LaGrange, Georgia 30240
http://www.rfci.com</t>
  </si>
  <si>
    <t>Scientific Certification Systems
2000 Powell Street, Suite 600
Emeryville, California 94608
http://www.scscertified.com
(510) 452-8000</t>
  </si>
  <si>
    <t>Green Seal
1001 Connecticut Avenue, NW
Suite 827
Washington, DC 20036-5525
http://www.greenseal.org/
(202) 872-6400</t>
  </si>
  <si>
    <t>EcoLogo Program
171 Nepean Street, Suite 400
Ottawa, ON, K2P 0B4, CANADA
http://www.ecologo.org /
(800) 478-0399</t>
  </si>
  <si>
    <t>ADHESIVE</t>
  </si>
  <si>
    <t>Indoor carpet adhesives</t>
  </si>
  <si>
    <t>Carpet pad adhesives</t>
  </si>
  <si>
    <t>Outdoor carpet adhesives</t>
  </si>
  <si>
    <t>Wood flooring adhesive</t>
  </si>
  <si>
    <t>Rubber floor adhesives</t>
  </si>
  <si>
    <t>Subfloor adhesives</t>
  </si>
  <si>
    <t>Ceramic tile adhesives</t>
  </si>
  <si>
    <t>VCT and asphalt tile adhesives</t>
  </si>
  <si>
    <t>Dry wall and panel adhesives</t>
  </si>
  <si>
    <t>Cove base adhesives</t>
  </si>
  <si>
    <t>Multipurpose construction adhesives</t>
  </si>
  <si>
    <t>Structural glazing adhesives</t>
  </si>
  <si>
    <t>Single ply roof membrane adhesives</t>
  </si>
  <si>
    <t>Architectural Sealants</t>
  </si>
  <si>
    <t>Modified Bituminous Sealant Primer</t>
  </si>
  <si>
    <t>Other Sealant Primers</t>
  </si>
  <si>
    <t>CPVC solvent cement</t>
  </si>
  <si>
    <t>PVC solvent cement</t>
  </si>
  <si>
    <t>ABS solvent cement</t>
  </si>
  <si>
    <t>Plastic Cement Welding</t>
  </si>
  <si>
    <t>Adhesive Primer for Plastic</t>
  </si>
  <si>
    <t>Contact Adhesive</t>
  </si>
  <si>
    <t>Special Purpose Contact Adhesive</t>
  </si>
  <si>
    <t>Structural Wood Member Adhesive</t>
  </si>
  <si>
    <t>Non Porous Architectural Sealant Primer</t>
  </si>
  <si>
    <t>Porous Architectural Sealant Primer</t>
  </si>
  <si>
    <t>VOC LIMIT (g/l)</t>
  </si>
  <si>
    <r>
      <t>Table 901.10(3): Site Applied Adhesive And Sealants Voc Limits</t>
    </r>
    <r>
      <rPr>
        <b/>
        <vertAlign val="superscript"/>
        <sz val="12"/>
        <color theme="1"/>
        <rFont val="Calibri"/>
        <family val="2"/>
        <scheme val="minor"/>
      </rPr>
      <t>a</t>
    </r>
    <r>
      <rPr>
        <b/>
        <sz val="12"/>
        <color theme="1"/>
        <rFont val="Calibri"/>
        <family val="2"/>
        <scheme val="minor"/>
      </rPr>
      <t>,</t>
    </r>
    <r>
      <rPr>
        <b/>
        <vertAlign val="superscript"/>
        <sz val="12"/>
        <color theme="1"/>
        <rFont val="Calibri"/>
        <family val="2"/>
        <scheme val="minor"/>
      </rPr>
      <t>b</t>
    </r>
  </si>
  <si>
    <r>
      <rPr>
        <vertAlign val="superscript"/>
        <sz val="11"/>
        <color theme="1"/>
        <rFont val="Calibri"/>
        <family val="2"/>
        <scheme val="minor"/>
      </rPr>
      <t>a</t>
    </r>
    <r>
      <rPr>
        <sz val="11"/>
        <color theme="1"/>
        <rFont val="Calibri"/>
        <family val="2"/>
        <scheme val="minor"/>
      </rPr>
      <t xml:space="preserve"> VOC limit less water and less exempt compounds in grams/liter</t>
    </r>
  </si>
  <si>
    <r>
      <rPr>
        <vertAlign val="superscript"/>
        <sz val="11"/>
        <color theme="1"/>
        <rFont val="Calibri"/>
        <family val="2"/>
        <scheme val="minor"/>
      </rPr>
      <t>b</t>
    </r>
    <r>
      <rPr>
        <sz val="11"/>
        <color theme="1"/>
        <rFont val="Calibri"/>
        <family val="2"/>
        <scheme val="minor"/>
      </rPr>
      <t xml:space="preserve"> For low-solid adhesives and sealants, the VOC limit is expressed in grams/liter of material as specified in Rule 1168. For all other adhesives and sealants, the VOC limits are expressed as grams of VOC per liter of adhesive or sealant less water and less exempt compounds as specified in Rule 1168.</t>
    </r>
  </si>
  <si>
    <t>Section 901.9.1: Site-Applied Interior Architectural Coatings</t>
  </si>
  <si>
    <t>See Practice 901.9.1</t>
  </si>
  <si>
    <t>Dropdowns - Chapter 7</t>
  </si>
  <si>
    <t>Alternative Bronze</t>
  </si>
  <si>
    <t>Performance Path</t>
  </si>
  <si>
    <t>Prescriptive Path</t>
  </si>
  <si>
    <r>
      <t xml:space="preserve">Minimum </t>
    </r>
    <r>
      <rPr>
        <b/>
        <sz val="10"/>
        <color rgb="FFFF0000"/>
        <rFont val="Calibri"/>
        <family val="2"/>
        <scheme val="minor"/>
      </rPr>
      <t>Prescriptive Path</t>
    </r>
    <r>
      <rPr>
        <b/>
        <sz val="10"/>
        <rFont val="Calibri"/>
        <family val="2"/>
        <scheme val="minor"/>
      </rPr>
      <t xml:space="preserve"> requirements.</t>
    </r>
    <r>
      <rPr>
        <sz val="10"/>
        <rFont val="Calibri"/>
        <family val="2"/>
        <scheme val="minor"/>
      </rPr>
      <t xml:space="preserve">  A building complying with Section 703 shall obtain a minimum of 30 points from Section 703, and include a minimum of 2 practices from Section 704.</t>
    </r>
  </si>
  <si>
    <r>
      <rPr>
        <b/>
        <sz val="10"/>
        <color rgb="FFFF0000"/>
        <rFont val="Calibri"/>
        <family val="2"/>
      </rPr>
      <t>NOTE:</t>
    </r>
    <r>
      <rPr>
        <sz val="10"/>
        <rFont val="Calibri"/>
        <family val="2"/>
      </rPr>
      <t xml:space="preserve"> List the reviewer in the assigned Notes field.</t>
    </r>
  </si>
  <si>
    <t>701.4.1.1</t>
  </si>
  <si>
    <t>701.4.1.2</t>
  </si>
  <si>
    <r>
      <rPr>
        <b/>
        <sz val="10"/>
        <rFont val="Calibri"/>
        <family val="2"/>
        <scheme val="minor"/>
      </rPr>
      <t>HVAC system sizing.</t>
    </r>
    <r>
      <rPr>
        <sz val="10"/>
        <rFont val="Calibri"/>
        <family val="2"/>
        <scheme val="minor"/>
      </rPr>
      <t xml:space="preserve"> Space heating and cooling system is sized according to heating and cooling loads calculated using ACCA Manual J, or equivalent. Equipment is selected using ACCA Manual S or equivalent.</t>
    </r>
  </si>
  <si>
    <t>No duct system installed</t>
  </si>
  <si>
    <r>
      <rPr>
        <b/>
        <sz val="10"/>
        <rFont val="Calibri"/>
        <family val="2"/>
        <scheme val="minor"/>
      </rPr>
      <t>Supply ducts.</t>
    </r>
    <r>
      <rPr>
        <sz val="10"/>
        <rFont val="Calibri"/>
        <family val="2"/>
        <scheme val="minor"/>
      </rPr>
      <t xml:space="preserve"> Building cavities are not used as supply ducts.</t>
    </r>
  </si>
  <si>
    <t>701.4.2.3</t>
  </si>
  <si>
    <r>
      <rPr>
        <b/>
        <sz val="10"/>
        <rFont val="Calibri"/>
        <family val="2"/>
        <scheme val="minor"/>
      </rPr>
      <t>Duct system sizing.</t>
    </r>
    <r>
      <rPr>
        <sz val="10"/>
        <rFont val="Calibri"/>
        <family val="2"/>
        <scheme val="minor"/>
      </rPr>
      <t xml:space="preserve"> Duct system is sized and designed in accordance with ACCA Manual D or equivalent.</t>
    </r>
  </si>
  <si>
    <t>All joints, seams and penetrations.</t>
  </si>
  <si>
    <t>Site-built windows, doors and skylights.</t>
  </si>
  <si>
    <t>Openings between window and door assemblies and their respective jambs and framing.</t>
  </si>
  <si>
    <t>Utility penetrations.</t>
  </si>
  <si>
    <t>(f)</t>
  </si>
  <si>
    <t>(g)</t>
  </si>
  <si>
    <t>(h)</t>
  </si>
  <si>
    <t>Dropped ceilings or chases adjacent to the thermal envelope.</t>
  </si>
  <si>
    <t>Knee walls.</t>
  </si>
  <si>
    <t>Walls and ceilings separating a garage from conditioned spaces.</t>
  </si>
  <si>
    <t>Behind tubs and showers on exterior walls.</t>
  </si>
  <si>
    <t>(i)</t>
  </si>
  <si>
    <t>(j)</t>
  </si>
  <si>
    <t>(k)</t>
  </si>
  <si>
    <t>(l)</t>
  </si>
  <si>
    <t>Common walls between dwelling units.</t>
  </si>
  <si>
    <t>Attic access openings.</t>
  </si>
  <si>
    <t>Rim joist junction.</t>
  </si>
  <si>
    <t>Other sources of infiltration.</t>
  </si>
  <si>
    <r>
      <rPr>
        <b/>
        <sz val="10"/>
        <rFont val="Calibri"/>
        <family val="2"/>
        <scheme val="minor"/>
      </rPr>
      <t>Building Thermal Envelope.</t>
    </r>
    <r>
      <rPr>
        <sz val="10"/>
        <rFont val="Calibri"/>
        <family val="2"/>
        <scheme val="minor"/>
      </rPr>
      <t xml:space="preserve"> The building thermal envelope is durably sealed to limit infiltration. The sealing methods between dissimilar materials allow for differential expansion and contraction. The following are caulked, gasketed, weather-stripped or otherwise sealed with an air barrier material, suitable film or solid material:</t>
    </r>
  </si>
  <si>
    <r>
      <rPr>
        <b/>
        <sz val="10"/>
        <rFont val="Calibri"/>
        <family val="2"/>
        <scheme val="minor"/>
      </rPr>
      <t>Air sealing and insulation.</t>
    </r>
    <r>
      <rPr>
        <sz val="10"/>
        <rFont val="Calibri"/>
        <family val="2"/>
        <scheme val="minor"/>
      </rPr>
      <t xml:space="preserve"> Grade 3 insulation installation is not permitted. The compliance of the building envelope air tightness and insulation installation is demonstrated in accordance with Section 701.4.3.2(1) or 701.4.3.2(2).</t>
    </r>
  </si>
  <si>
    <t>Air barrier and thermal barrier</t>
  </si>
  <si>
    <t>Exterior thermal envelope insulation for framed walls is installed in substantial contact and continuous alignment with building envelope air barrier.
Breaks or joints in the air barrier are filled or repaired.
Air-permeable insulation is not used as a sealing material.
Air-permeable insulation is installed with an air barrier.</t>
  </si>
  <si>
    <t>Ceiling/attic</t>
  </si>
  <si>
    <t>Corners and headers are insulated.
Junction of foundation and sill plate is sealed.</t>
  </si>
  <si>
    <t>Windows and doors</t>
  </si>
  <si>
    <t>Space between window/door jambs and framing is sealed.</t>
  </si>
  <si>
    <t>Rim joists</t>
  </si>
  <si>
    <t>Rim joists are insulated and include an air barrier.</t>
  </si>
  <si>
    <t>Floors (including above-garage and cantilevered floors)</t>
  </si>
  <si>
    <t>Insulation is installed to maintain permanent contact with underside of subfloor decking.
Air barrier is installed at any exposed edge of insulation.</t>
  </si>
  <si>
    <t>Crawl space walls</t>
  </si>
  <si>
    <t>Shafts, penetrations</t>
  </si>
  <si>
    <t>Narrow cavities</t>
  </si>
  <si>
    <t>Batts in narrow cavities are cut to fit, or narrow cavities are filled by sprayed/blown insulation.</t>
  </si>
  <si>
    <t>Garage separation</t>
  </si>
  <si>
    <t>Air sealing is provided between the garage and conditioned spaces.</t>
  </si>
  <si>
    <t>Recessed lighting</t>
  </si>
  <si>
    <t>Plumbing and wiring</t>
  </si>
  <si>
    <t>Air barrier extends behind boxes or air sealed-type boxes are installed.</t>
  </si>
  <si>
    <t>Common wall</t>
  </si>
  <si>
    <t>HVAC register boots</t>
  </si>
  <si>
    <t>HVAC register boots that penetrate building envelope are sealed to subfloor or drywall.</t>
  </si>
  <si>
    <t>Fireplace</t>
  </si>
  <si>
    <t>Fireplace walls include an air barrier.</t>
  </si>
  <si>
    <r>
      <rPr>
        <b/>
        <sz val="10"/>
        <rFont val="Calibri"/>
        <family val="2"/>
        <scheme val="minor"/>
      </rPr>
      <t>Visual inspection option.</t>
    </r>
    <r>
      <rPr>
        <sz val="10"/>
        <rFont val="Calibri"/>
        <family val="2"/>
        <scheme val="minor"/>
      </rPr>
      <t xml:space="preserve"> Building envelope tightness and insulation installation are considered acceptable when the components listed below applicable to the method of construction, are field verified.</t>
    </r>
  </si>
  <si>
    <r>
      <rPr>
        <b/>
        <sz val="10"/>
        <rFont val="Calibri"/>
        <family val="2"/>
        <scheme val="minor"/>
      </rPr>
      <t>High-efficacy lighting.</t>
    </r>
    <r>
      <rPr>
        <sz val="10"/>
        <rFont val="Calibri"/>
        <family val="2"/>
        <scheme val="minor"/>
      </rPr>
      <t xml:space="preserve"> A minimum of 50 percent of the total hard-wired lighting fixtures, or the bulbs in those fixtures, qualify as high efficacy or equivalent.</t>
    </r>
  </si>
  <si>
    <t>701.4.5</t>
  </si>
  <si>
    <t>702.2.1</t>
  </si>
  <si>
    <t>702.2.2</t>
  </si>
  <si>
    <t xml:space="preserve">Energy cost performance levels. </t>
  </si>
  <si>
    <t>Fenestration U-Factor</t>
  </si>
  <si>
    <t>Skylight U-Factor</t>
  </si>
  <si>
    <t>Ceiling U-Factor</t>
  </si>
  <si>
    <t>Frame Wall U-Factor</t>
  </si>
  <si>
    <t>Floor U-Factor</t>
  </si>
  <si>
    <t>Basement Wall U-Factor</t>
  </si>
  <si>
    <t>5 to &lt;10%</t>
  </si>
  <si>
    <t>15% to &lt;20%</t>
  </si>
  <si>
    <t>10% to &lt;15%</t>
  </si>
  <si>
    <t>20% or greater</t>
  </si>
  <si>
    <t>Conditional Dropdowns - Chapter 7</t>
  </si>
  <si>
    <t>5% to &lt;10%</t>
  </si>
  <si>
    <t>20% or more</t>
  </si>
  <si>
    <t>Points per Table 703.1.1b</t>
  </si>
  <si>
    <r>
      <rPr>
        <b/>
        <sz val="10"/>
        <rFont val="Calibri"/>
        <family val="2"/>
        <scheme val="minor"/>
      </rPr>
      <t>Duct air sealing.</t>
    </r>
    <r>
      <rPr>
        <sz val="10"/>
        <rFont val="Calibri"/>
        <family val="2"/>
        <scheme val="minor"/>
      </rPr>
      <t xml:space="preserve"> Ducts are air sealed. All duct sealing materials are in conformance with UL 181A or UL 181B specifications and are installed in accordance with manufacturer's instructions.</t>
    </r>
  </si>
  <si>
    <r>
      <rPr>
        <b/>
        <sz val="10"/>
        <rFont val="Calibri"/>
        <family val="2"/>
        <scheme val="minor"/>
      </rPr>
      <t>Radiant and hydronic space heating.</t>
    </r>
    <r>
      <rPr>
        <sz val="10"/>
        <rFont val="Calibri"/>
        <family val="2"/>
        <scheme val="minor"/>
      </rPr>
      <t xml:space="preserve"> Where installed as a primary heat source in the building, radiant or hydronic space heating system is designed using industry-approved guidelines and standards (e.g., ACCA Manual J, AHRI I=B=R, ACCA 5 QI-2010, or an accredited design professional’s and manufacturer’s recommendations).</t>
    </r>
  </si>
  <si>
    <t>Air barrier in dropped ceiling/soffit is substantially aligned with insulation and any gaps are sealed.
Attic access (except unvented attic), knee wall door, or drop down stair is sealed.</t>
  </si>
  <si>
    <t>Exterior walls</t>
  </si>
  <si>
    <t>Where installed, insulation is permanently attached to walls.
Exposed earth in unvented crawl spaces is covered with Class I vapor retarder with overlapping joints taped.</t>
  </si>
  <si>
    <t>Duct shafts, flue shafts, and utility penetrations opening to the exterior or an unconditioned space are sealed.</t>
  </si>
  <si>
    <t>Recessed light fixtures not installed in the conditioned space are air tight, IC rated, and sealed to drywall.</t>
  </si>
  <si>
    <t>Insulation is placed between the outside and pipes. Batt insulation is cut to fit around wiring and plumbing, or sprayed/blown insulation extends behind piping and wiring.</t>
  </si>
  <si>
    <t>Shower/tub adjacent to exterior wall</t>
  </si>
  <si>
    <t>Showers and tubs adjacent to exterior walls have insulation and an air barrier separation from the exterior.</t>
  </si>
  <si>
    <t>Electrical/phone box in exterior walls</t>
  </si>
  <si>
    <t>Air barrier is installed in common walls between dwelling units.</t>
  </si>
  <si>
    <r>
      <rPr>
        <b/>
        <sz val="10"/>
        <rFont val="Calibri"/>
        <family val="2"/>
        <scheme val="minor"/>
      </rPr>
      <t>Recessed lighting.</t>
    </r>
    <r>
      <rPr>
        <sz val="10"/>
        <rFont val="Calibri"/>
        <family val="2"/>
        <scheme val="minor"/>
      </rPr>
      <t xml:space="preserve"> Recessed luminaires installed in the building thermal envelope are sealed to limit air leakage between conditioned and unconditioned spaces. All recessed luminaires are IC-rated and labeled as meeting ASTM E283 when tested at 1.57 psf (75 Pa) pressure differential with no more than 2.0 cfm (0.944 L/s) of air movement from the conditioned space to the ceiling cavity. All recessed luminaires are sealed with a gasket or caulk between the housing and the interior of the wall or ceiling covering.</t>
    </r>
  </si>
  <si>
    <r>
      <rPr>
        <b/>
        <sz val="10"/>
        <rFont val="Calibri"/>
        <family val="2"/>
        <scheme val="minor"/>
      </rPr>
      <t>Boiler supply piping.</t>
    </r>
    <r>
      <rPr>
        <sz val="10"/>
        <rFont val="Calibri"/>
        <family val="2"/>
        <scheme val="minor"/>
      </rPr>
      <t xml:space="preserve"> Boiler supply piping in unconditioned space is insulated.</t>
    </r>
  </si>
  <si>
    <r>
      <t>ICC IECC analysis.</t>
    </r>
    <r>
      <rPr>
        <sz val="10"/>
        <rFont val="Calibri"/>
        <family val="2"/>
        <scheme val="minor"/>
      </rPr>
      <t xml:space="preserve"> Energy efficiency features are implemented to achieve energy cost performance that meets the ICC IECC. A documented analysis using software in accordance with ICC IECC, Section 405, or ICC IECC Section 506.2 through 506.5, applied as defined in the ICC IECC, is required.</t>
    </r>
  </si>
  <si>
    <r>
      <rPr>
        <b/>
        <sz val="10"/>
        <rFont val="Calibri"/>
        <family val="2"/>
        <scheme val="minor"/>
      </rPr>
      <t>UA improvement.</t>
    </r>
    <r>
      <rPr>
        <sz val="10"/>
        <rFont val="Calibri"/>
        <family val="2"/>
        <scheme val="minor"/>
      </rPr>
      <t xml:space="preserve"> The total building thermal envelope UA is less than or equal to the total UA resulting from the U-factors provided in Table 703.1.1(a). Where insulation is used to achieve the UA improvement, the insulation installation is in accordance with Grade 1 requirements as graded by a third-party. Total UA is documented using a RESCheck or equivalent report to verify the baseline and the UA improvement.</t>
    </r>
  </si>
  <si>
    <t>Table 703.1.1(b): Points for Improvement in Total Building Thermal Envelope UA</t>
  </si>
  <si>
    <r>
      <t>Table 703.1.1(a): Equivalent U-Factors</t>
    </r>
    <r>
      <rPr>
        <b/>
        <vertAlign val="superscript"/>
        <sz val="10"/>
        <rFont val="Calibri"/>
        <family val="2"/>
        <scheme val="minor"/>
      </rPr>
      <t>a</t>
    </r>
  </si>
  <si>
    <r>
      <t>Mass Wall U-factor</t>
    </r>
    <r>
      <rPr>
        <b/>
        <vertAlign val="superscript"/>
        <sz val="9"/>
        <color theme="1"/>
        <rFont val="Calibri"/>
        <family val="2"/>
        <scheme val="minor"/>
      </rPr>
      <t>b</t>
    </r>
  </si>
  <si>
    <r>
      <t>Crawlspace U-Factor</t>
    </r>
    <r>
      <rPr>
        <b/>
        <vertAlign val="superscript"/>
        <sz val="9"/>
        <color theme="1"/>
        <rFont val="Calibri"/>
        <family val="2"/>
        <scheme val="minor"/>
      </rPr>
      <t>c</t>
    </r>
  </si>
  <si>
    <t>a. Non-fenestration U-factors shall be obtained from measurement, calculation, or an approved source.
b. Where more the half the insulation is on the interior, the mass wall U-factors is a maximum of 0.17 in Zone 1, 0.14 in Zone 2, 0.12 in Zone 3, 0.10 in Zone 4 except in Marine, and the same as the frame wall U-factor in Marine Zone 4 and Zones 5 through 8.
c. Basement wall U-factor of 0.360 in warm-humid locations.</t>
  </si>
  <si>
    <t>Minimum UA Improvement</t>
  </si>
  <si>
    <t>Grade 1 = 7 pts
Grade 2 = 4 pts</t>
  </si>
  <si>
    <t>Grade 1</t>
  </si>
  <si>
    <t>Grade 2</t>
  </si>
  <si>
    <t>The insulation installation is graded by a third party and is in accordance with Sections 703.1.2.1, 703.1.2.2, and/or 703.1.2.3, as applicable.</t>
  </si>
  <si>
    <r>
      <t>703.1.2.1</t>
    </r>
    <r>
      <rPr>
        <sz val="10"/>
        <color theme="1"/>
        <rFont val="Calibri"/>
        <family val="2"/>
        <scheme val="minor"/>
      </rPr>
      <t xml:space="preserve"> Grade 1 and Grade 2 insulation installations are in accordance with the following:</t>
    </r>
  </si>
  <si>
    <r>
      <rPr>
        <b/>
        <sz val="10"/>
        <color theme="1"/>
        <rFont val="Calibri"/>
        <family val="2"/>
        <scheme val="minor"/>
      </rPr>
      <t>(1)</t>
    </r>
    <r>
      <rPr>
        <sz val="10"/>
        <color theme="1"/>
        <rFont val="Calibri"/>
        <family val="2"/>
        <scheme val="minor"/>
      </rPr>
      <t xml:space="preserve"> Grading applies to field-installed insulation products.  </t>
    </r>
  </si>
  <si>
    <r>
      <rPr>
        <b/>
        <sz val="10"/>
        <color theme="1"/>
        <rFont val="Calibri"/>
        <family val="2"/>
        <scheme val="minor"/>
      </rPr>
      <t>(2)</t>
    </r>
    <r>
      <rPr>
        <sz val="10"/>
        <color theme="1"/>
        <rFont val="Calibri"/>
        <family val="2"/>
        <scheme val="minor"/>
      </rPr>
      <t xml:space="preserve"> Grading applies to ceilings, walls, floors, band joists, rim joists, conditioned attics basements and crawlspaces, except as specifically noted.</t>
    </r>
  </si>
  <si>
    <r>
      <rPr>
        <b/>
        <sz val="10"/>
        <color theme="1"/>
        <rFont val="Calibri"/>
        <family val="2"/>
        <scheme val="minor"/>
      </rPr>
      <t>(3)</t>
    </r>
    <r>
      <rPr>
        <sz val="10"/>
        <color theme="1"/>
        <rFont val="Calibri"/>
        <family val="2"/>
        <scheme val="minor"/>
      </rPr>
      <t xml:space="preserve"> Inspection is conducted before insulation is covered.</t>
    </r>
  </si>
  <si>
    <r>
      <rPr>
        <b/>
        <sz val="10"/>
        <color theme="1"/>
        <rFont val="Calibri"/>
        <family val="2"/>
        <scheme val="minor"/>
      </rPr>
      <t>(4)</t>
    </r>
    <r>
      <rPr>
        <sz val="10"/>
        <color theme="1"/>
        <rFont val="Calibri"/>
        <family val="2"/>
        <scheme val="minor"/>
      </rPr>
      <t xml:space="preserve"> Air permeable insulation is enclosed on all six sides and is in substantial contact with the sheathing material on one or more sides (interior or exterior) of the cavity. Air permeable insulation in ceilings is not required to be enclosed when the insulation is installed in substantial contact with the surfaces it is intended to insulate.</t>
    </r>
  </si>
  <si>
    <r>
      <t>703.1.2.2</t>
    </r>
    <r>
      <rPr>
        <sz val="10"/>
        <color theme="1"/>
        <rFont val="Calibri"/>
        <family val="2"/>
        <scheme val="minor"/>
      </rPr>
      <t xml:space="preserve"> Grade 1  installation is in accordance with the following: </t>
    </r>
  </si>
  <si>
    <r>
      <rPr>
        <b/>
        <sz val="10"/>
        <color theme="1"/>
        <rFont val="Calibri"/>
        <family val="2"/>
        <scheme val="minor"/>
      </rPr>
      <t>(1)</t>
    </r>
    <r>
      <rPr>
        <sz val="10"/>
        <color theme="1"/>
        <rFont val="Calibri"/>
        <family val="2"/>
        <scheme val="minor"/>
      </rPr>
      <t xml:space="preserve"> Cavity insulation uniformly fills each cavity side-to-side and top-to-bottom, without substantial gaps or voids around obstructions (such as blocking or bridging).</t>
    </r>
  </si>
  <si>
    <r>
      <rPr>
        <b/>
        <sz val="10"/>
        <color theme="1"/>
        <rFont val="Calibri"/>
        <family val="2"/>
        <scheme val="minor"/>
      </rPr>
      <t>(2)</t>
    </r>
    <r>
      <rPr>
        <sz val="10"/>
        <color theme="1"/>
        <rFont val="Calibri"/>
        <family val="2"/>
        <scheme val="minor"/>
      </rPr>
      <t xml:space="preserve"> Cavity insulation compression or incomplete fill amounts to 2 percent or less, presuming the compressed or incomplete areas are a minimum of 70 percent of the intended fill thickness; occasional small gaps are acceptable.</t>
    </r>
  </si>
  <si>
    <r>
      <rPr>
        <b/>
        <sz val="10"/>
        <color theme="1"/>
        <rFont val="Calibri"/>
        <family val="2"/>
        <scheme val="minor"/>
      </rPr>
      <t>(3)</t>
    </r>
    <r>
      <rPr>
        <sz val="10"/>
        <color theme="1"/>
        <rFont val="Calibri"/>
        <family val="2"/>
        <scheme val="minor"/>
      </rPr>
      <t xml:space="preserve"> Exterior rigid insulation has substantial contact with the structural framing members or sheathing materials and is tightly fitted at joints.</t>
    </r>
  </si>
  <si>
    <r>
      <rPr>
        <b/>
        <sz val="10"/>
        <color theme="1"/>
        <rFont val="Calibri"/>
        <family val="2"/>
        <scheme val="minor"/>
      </rPr>
      <t>(4)</t>
    </r>
    <r>
      <rPr>
        <sz val="10"/>
        <color theme="1"/>
        <rFont val="Calibri"/>
        <family val="2"/>
        <scheme val="minor"/>
      </rPr>
      <t xml:space="preserve"> Cavity insulation is split, installed, and/or fitted tightly around wiring and other services.</t>
    </r>
  </si>
  <si>
    <r>
      <rPr>
        <b/>
        <sz val="10"/>
        <color theme="1"/>
        <rFont val="Calibri"/>
        <family val="2"/>
        <scheme val="minor"/>
      </rPr>
      <t>(5)</t>
    </r>
    <r>
      <rPr>
        <sz val="10"/>
        <color theme="1"/>
        <rFont val="Calibri"/>
        <family val="2"/>
        <scheme val="minor"/>
      </rPr>
      <t xml:space="preserve"> Exterior sheathing is not visible from the interior through gaps in the cavity insulation.</t>
    </r>
  </si>
  <si>
    <r>
      <rPr>
        <b/>
        <sz val="10"/>
        <color theme="1"/>
        <rFont val="Calibri"/>
        <family val="2"/>
        <scheme val="minor"/>
      </rPr>
      <t>(6)</t>
    </r>
    <r>
      <rPr>
        <sz val="10"/>
        <color theme="1"/>
        <rFont val="Calibri"/>
        <family val="2"/>
        <scheme val="minor"/>
      </rPr>
      <t xml:space="preserve"> Faced batt insulation is permitted to have side-stapled tabs, provided the tabs are stapled neatly with no buckling, and provided the batt is compressed only at the edges of each cavity, to the depth of the tab itself.</t>
    </r>
  </si>
  <si>
    <r>
      <rPr>
        <b/>
        <sz val="10"/>
        <color theme="1"/>
        <rFont val="Calibri"/>
        <family val="2"/>
        <scheme val="minor"/>
      </rPr>
      <t>(7)</t>
    </r>
    <r>
      <rPr>
        <sz val="10"/>
        <color theme="1"/>
        <rFont val="Calibri"/>
        <family val="2"/>
        <scheme val="minor"/>
      </rPr>
      <t xml:space="preserve"> Where properly installed, ICFs, SIPs, and other wall systems that provide integral insulation are deemed in compliance with the Grade 1 insulation installation requirements.</t>
    </r>
  </si>
  <si>
    <r>
      <rPr>
        <b/>
        <sz val="10"/>
        <color theme="1"/>
        <rFont val="Calibri"/>
        <family val="2"/>
        <scheme val="minor"/>
      </rPr>
      <t>(8)</t>
    </r>
    <r>
      <rPr>
        <sz val="10"/>
        <color theme="1"/>
        <rFont val="Calibri"/>
        <family val="2"/>
        <scheme val="minor"/>
      </rPr>
      <t xml:space="preserve"> Grade 1 insulation meets or exceeds all requirements for Grade 2 insulation.</t>
    </r>
  </si>
  <si>
    <r>
      <t>703.1.2.3</t>
    </r>
    <r>
      <rPr>
        <sz val="10"/>
        <color theme="1"/>
        <rFont val="Calibri"/>
        <family val="2"/>
        <scheme val="minor"/>
      </rPr>
      <t xml:space="preserve"> Grade 2 installation is in accordance with the following: </t>
    </r>
  </si>
  <si>
    <r>
      <rPr>
        <b/>
        <sz val="10"/>
        <color theme="1"/>
        <rFont val="Calibri"/>
        <family val="2"/>
        <scheme val="minor"/>
      </rPr>
      <t>(1)</t>
    </r>
    <r>
      <rPr>
        <sz val="10"/>
        <color theme="1"/>
        <rFont val="Calibri"/>
        <family val="2"/>
        <scheme val="minor"/>
      </rPr>
      <t xml:space="preserve"> A maximum of 2 percent of the surface area of insulation is missing.  Compression or incomplete fill amounts to 10 percent or less, presuming the compressed or incomplete areas are a minimum of 70 percent of the intended fill thickness.</t>
    </r>
  </si>
  <si>
    <r>
      <rPr>
        <b/>
        <sz val="10"/>
        <color theme="1"/>
        <rFont val="Calibri"/>
        <family val="2"/>
        <scheme val="minor"/>
      </rPr>
      <t>(2)</t>
    </r>
    <r>
      <rPr>
        <sz val="10"/>
        <color theme="1"/>
        <rFont val="Calibri"/>
        <family val="2"/>
        <scheme val="minor"/>
      </rPr>
      <t xml:space="preserve"> In unconditioned basements or unconditioned crawlspaces insulation is installed in substantial contact with the subfloor surfaces.</t>
    </r>
  </si>
  <si>
    <r>
      <rPr>
        <b/>
        <sz val="10"/>
        <color theme="1"/>
        <rFont val="Calibri"/>
        <family val="2"/>
        <scheme val="minor"/>
      </rPr>
      <t>(a)</t>
    </r>
    <r>
      <rPr>
        <sz val="10"/>
        <color theme="1"/>
        <rFont val="Calibri"/>
        <family val="2"/>
        <scheme val="minor"/>
      </rPr>
      <t xml:space="preserve"> floor insulation over vented or ambient conditions is enclosed on six sides.</t>
    </r>
  </si>
  <si>
    <r>
      <rPr>
        <b/>
        <sz val="10"/>
        <color theme="1"/>
        <rFont val="Calibri"/>
        <family val="2"/>
        <scheme val="minor"/>
      </rPr>
      <t>(b)</t>
    </r>
    <r>
      <rPr>
        <sz val="10"/>
        <color theme="1"/>
        <rFont val="Calibri"/>
        <family val="2"/>
        <scheme val="minor"/>
      </rPr>
      <t xml:space="preserve"> floor insulation over unconditioned basements is not required to be enclosed on six sides.</t>
    </r>
  </si>
  <si>
    <r>
      <rPr>
        <b/>
        <sz val="10"/>
        <color theme="1"/>
        <rFont val="Calibri"/>
        <family val="2"/>
        <scheme val="minor"/>
      </rPr>
      <t>(3)</t>
    </r>
    <r>
      <rPr>
        <sz val="10"/>
        <color theme="1"/>
        <rFont val="Calibri"/>
        <family val="2"/>
        <scheme val="minor"/>
      </rPr>
      <t xml:space="preserve"> Ceiling insulation is not required to be enclosed when the insulation is installed in substantial contact with the drywall or plywood surfaces it is intended to insulate.</t>
    </r>
  </si>
  <si>
    <r>
      <rPr>
        <b/>
        <sz val="10"/>
        <color theme="1"/>
        <rFont val="Calibri"/>
        <family val="2"/>
        <scheme val="minor"/>
      </rPr>
      <t>(4)</t>
    </r>
    <r>
      <rPr>
        <sz val="10"/>
        <color theme="1"/>
        <rFont val="Calibri"/>
        <family val="2"/>
        <scheme val="minor"/>
      </rPr>
      <t xml:space="preserve"> Eave baffles or equivalent construction is installed to prevent wind intrusion.</t>
    </r>
  </si>
  <si>
    <r>
      <rPr>
        <b/>
        <sz val="10"/>
        <color theme="1"/>
        <rFont val="Calibri"/>
        <family val="2"/>
        <scheme val="minor"/>
      </rPr>
      <t>(5)</t>
    </r>
    <r>
      <rPr>
        <sz val="10"/>
        <color theme="1"/>
        <rFont val="Calibri"/>
        <family val="2"/>
        <scheme val="minor"/>
      </rPr>
      <t xml:space="preserve"> Installation with occasional installation defects is permitted: gaps around wiring, electrical outlets, plumbing and other intrusions; rounded edges or shoulders.</t>
    </r>
  </si>
  <si>
    <t>Mass wall thickness</t>
  </si>
  <si>
    <t>≥3 inch to &lt;6 inch</t>
  </si>
  <si>
    <t>&gt; 6 inch</t>
  </si>
  <si>
    <t>Table 703.1.3: Exterior Mass Walls</t>
  </si>
  <si>
    <r>
      <rPr>
        <b/>
        <sz val="10"/>
        <rFont val="Calibri"/>
        <family val="2"/>
        <scheme val="minor"/>
      </rPr>
      <t xml:space="preserve">Mass walls. </t>
    </r>
    <r>
      <rPr>
        <sz val="10"/>
        <rFont val="Calibri"/>
        <family val="2"/>
        <scheme val="minor"/>
      </rPr>
      <t xml:space="preserve">More than 75 percent of the above-grade exterior opaque wall area of the building is mass walls.  </t>
    </r>
    <r>
      <rPr>
        <b/>
        <i/>
        <sz val="10"/>
        <rFont val="Calibri"/>
        <family val="2"/>
        <scheme val="minor"/>
      </rPr>
      <t>Points available for Climate Zones 1-6 only.</t>
    </r>
  </si>
  <si>
    <t>703.1.4</t>
  </si>
  <si>
    <r>
      <t>A radiant barrier with an emittance of 0.05 or less is used in the attic. The product is tested in accordance with ASTM C1371 and installed in accordance with the manufacturer's instructions.</t>
    </r>
    <r>
      <rPr>
        <b/>
        <i/>
        <sz val="10"/>
        <rFont val="Calibri"/>
        <family val="2"/>
        <scheme val="minor"/>
      </rPr>
      <t xml:space="preserve"> Points available for Climate Zones 1-4 only.</t>
    </r>
  </si>
  <si>
    <t>703.1.5</t>
  </si>
  <si>
    <r>
      <rPr>
        <b/>
        <sz val="10"/>
        <rFont val="Calibri"/>
        <family val="2"/>
        <scheme val="minor"/>
      </rPr>
      <t>Building envelope leakage.</t>
    </r>
    <r>
      <rPr>
        <sz val="10"/>
        <rFont val="Calibri"/>
        <family val="2"/>
        <scheme val="minor"/>
      </rPr>
      <t xml:space="preserve"> The maximum building envelope leakage rate is in accordance with Table 703.1.5. (Also see Section 902.2.1):</t>
    </r>
  </si>
  <si>
    <t>Points per Table 703.1.5</t>
  </si>
  <si>
    <t xml:space="preserve">Table 703.1.5: Building Envelope Leakage
</t>
  </si>
  <si>
    <t xml:space="preserve">Max Envelope Leakage Rate (ACH50)
</t>
  </si>
  <si>
    <t>5 = Max Leakage Rate</t>
  </si>
  <si>
    <t>4 = Max Leakage Rate</t>
  </si>
  <si>
    <t>3 = Max Leakage Rate</t>
  </si>
  <si>
    <t>2 = Max Leakage Rate</t>
  </si>
  <si>
    <t>1 = Max Leakage Rate</t>
  </si>
  <si>
    <t>703.1.6</t>
  </si>
  <si>
    <t>703.1.6.1</t>
  </si>
  <si>
    <r>
      <t>NFRC-certified (or equivalent) U-factor and SHGC of windows, exterior doors, skylights, and tubular daylighting devices (TDDs) on an area-weighted average basis are in accordance with Table 703.1.6.1. Area weighted averages are calculated separately for the categories of 1) windows and exterior doors and 2) skylights and tubular daylighting devices (TDDs). Decorative fenestration elements with a combined total maximum area of 15 square feet (1.39 m</t>
    </r>
    <r>
      <rPr>
        <vertAlign val="superscript"/>
        <sz val="10"/>
        <rFont val="Calibri"/>
        <family val="2"/>
        <scheme val="minor"/>
      </rPr>
      <t>2</t>
    </r>
    <r>
      <rPr>
        <sz val="10"/>
        <rFont val="Calibri"/>
        <family val="2"/>
        <scheme val="minor"/>
      </rPr>
      <t>) or 10 percent of the total glazing area, whichever is less, are not required to comply with this practice.</t>
    </r>
  </si>
  <si>
    <t>Windows and Exterior Doors 
(maximum certified ratings)</t>
  </si>
  <si>
    <t>Skylights and TDDs 
(maximum certified ratings)</t>
  </si>
  <si>
    <t>Table 703.1.6.1: Fenestration Specifications</t>
  </si>
  <si>
    <t>703.1.6.2</t>
  </si>
  <si>
    <t xml:space="preserve">The NFRC-certified (or equivalent) U-factor and SHGC of windows, exterior doors, skylights, and tubular daylighting devices (TDDs) are in accordance with Table 703.1.6.2(a), (b), or (c).  Decorative fenestration elements with a combined total maximum area of 15 square feet (1.39 m2) or 10 percent of the total glazing area, whichever is less, are not required to comply with this practice.  </t>
  </si>
  <si>
    <t>Points per 
Table 703.1.6.2(a) or 
Table 703.1.6.2(b) or 
Table 703.1.6.2( c)</t>
  </si>
  <si>
    <t>Table 703.1.6.2(a): Enhanced Fenestration Specifications</t>
  </si>
  <si>
    <t>U-Factor Windows &amp; Exterior Doors</t>
  </si>
  <si>
    <t>SHGC Windows &amp; Exterior Doors</t>
  </si>
  <si>
    <t>U-Factor Skylights &amp; TDD's</t>
  </si>
  <si>
    <t>SHGC Skylights &amp; TDD's</t>
  </si>
  <si>
    <t>Table 703.1.6.2(b): Enhanced Fenestration Specifications</t>
  </si>
  <si>
    <t>Table 703.1.6.2(c ): Enhanced Fenestration Specifications</t>
  </si>
  <si>
    <t>Table 703.1.6.2(a)</t>
  </si>
  <si>
    <t>Table 703.1.6.2(b)</t>
  </si>
  <si>
    <t>Table 703.1.6.2(c)</t>
  </si>
  <si>
    <t>Combination space heating and water heating system (combo system) is installed using either a coil from the water heater connected to an air handler to provide heat for the building or dwelling unit, or a space heating boiler using an indirect-fired water heater.  Devices have a combined annual efficiency of 0.80.</t>
  </si>
  <si>
    <t>703.2.2</t>
  </si>
  <si>
    <r>
      <t xml:space="preserve">Furnace and/or boiler efficiency is in accordance with one of the following:
</t>
    </r>
    <r>
      <rPr>
        <b/>
        <i/>
        <sz val="10"/>
        <rFont val="Calibri"/>
        <family val="2"/>
        <scheme val="minor"/>
      </rPr>
      <t>(Where multiple systems are used, points awarded based on the system with the lowest efficiency.)</t>
    </r>
    <r>
      <rPr>
        <sz val="10"/>
        <rFont val="Calibri"/>
        <family val="2"/>
        <scheme val="minor"/>
      </rPr>
      <t/>
    </r>
  </si>
  <si>
    <t>Table 703.2.2(1): Gas and Propane Heaters</t>
  </si>
  <si>
    <t>≥ 90% AFUE</t>
  </si>
  <si>
    <t>≥ 92% AFUE</t>
  </si>
  <si>
    <t>≥ 94% AFUE</t>
  </si>
  <si>
    <t>≥ 96% AFUE</t>
  </si>
  <si>
    <t>≥ 98% AFUE</t>
  </si>
  <si>
    <t>Table 703.2.2(2): Oil Furnace</t>
  </si>
  <si>
    <t>≥ 85% AFUE</t>
  </si>
  <si>
    <t>Table 703.2.2(3): Gas Boiler</t>
  </si>
  <si>
    <t>Table 703.2.2(4): Oil Boiler</t>
  </si>
  <si>
    <t>For Climate Zones 5-8 an equivalent energy performance is permitted based on either (1) windows with a U-factor = 0.31 and an SHGC ≥ 0.35, or, a U-factor = 0.32 and an SHGC ≥ 0.40 or (2) fenestration meeting the ENERGY STAR Equivalent Energy Performance requirements.</t>
  </si>
  <si>
    <t>Points per 
Table 703.2.2(1) or
Table 703.2.2(2) or
Table 703.2.2(3) or
Table 703.2.2(4)</t>
  </si>
  <si>
    <t>703.2.2(1)</t>
  </si>
  <si>
    <t>703.2.2(2)</t>
  </si>
  <si>
    <t>703.2.2(3)</t>
  </si>
  <si>
    <t>703.2.2(4)</t>
  </si>
  <si>
    <t>Gas Heaters</t>
  </si>
  <si>
    <t>Oil Furnace</t>
  </si>
  <si>
    <t>Gas Boiler</t>
  </si>
  <si>
    <t>Oil Boiler</t>
  </si>
  <si>
    <t>Step 1:</t>
  </si>
  <si>
    <t>Step 2:</t>
  </si>
  <si>
    <t>703.2.3</t>
  </si>
  <si>
    <r>
      <t xml:space="preserve">Heat pump heating efficiency is in accordance with Table 703.2.4. Refrigerant charge is verified for compliance with manufacturer's instructions.
</t>
    </r>
    <r>
      <rPr>
        <b/>
        <i/>
        <sz val="10"/>
        <rFont val="Calibri"/>
        <family val="2"/>
        <scheme val="minor"/>
      </rPr>
      <t>(Where multiple systems are used, points awarded based on the system with the lowest efficiency.)</t>
    </r>
    <r>
      <rPr>
        <sz val="10"/>
        <rFont val="Calibri"/>
        <family val="2"/>
        <scheme val="minor"/>
      </rPr>
      <t xml:space="preserve">
</t>
    </r>
  </si>
  <si>
    <t>Table 703.2.4: Heat Pump Heating</t>
  </si>
  <si>
    <t>8.2 HSPF
(11.5 EER)</t>
  </si>
  <si>
    <t>9.0 HSPF
(12.5 EER)</t>
  </si>
  <si>
    <t>9.5 HSPF</t>
  </si>
  <si>
    <t>10.0 HSPF</t>
  </si>
  <si>
    <t>Points per Table 703.2.4</t>
  </si>
  <si>
    <t>8.2 HSPF</t>
  </si>
  <si>
    <t>9.0 HSPF</t>
  </si>
  <si>
    <t>703.2.4</t>
  </si>
  <si>
    <t>Equipment designed to operate in cold climates is recommended to minimize use of resistance heat when installing a heat pump in Zones 6-8.</t>
  </si>
  <si>
    <r>
      <t xml:space="preserve">Cooling efficiency is in accordance with Table 703.2.4.  Refrigerant charge is verified for compliance with manufacturer's instructions.
</t>
    </r>
    <r>
      <rPr>
        <b/>
        <i/>
        <sz val="10"/>
        <rFont val="Calibri"/>
        <family val="2"/>
        <scheme val="minor"/>
      </rPr>
      <t>(Where multiple systems are used, points awarded based on the system with the lowest efficiency.)</t>
    </r>
  </si>
  <si>
    <t>Table 703.2.4: Air Conditioner and Heat Pump Cooling</t>
  </si>
  <si>
    <t>≥ 14 SEER
(11.5 EER)</t>
  </si>
  <si>
    <t>≥ 15 SEER
(12.5 EER)</t>
  </si>
  <si>
    <t>≥ 17 SEER
(12.5 EER)</t>
  </si>
  <si>
    <t>≥ 19+ SEER
(12.5 EER)</t>
  </si>
  <si>
    <t>≥ 19+ SEER</t>
  </si>
  <si>
    <t>≥ 19+ SEER (12.5 EER)</t>
  </si>
  <si>
    <t>703.2.5</t>
  </si>
  <si>
    <t>Water source cooling and heating efficiency is ≥ 15 EER, ≥ 4.0 COP.</t>
  </si>
  <si>
    <t>703.2.6</t>
  </si>
  <si>
    <r>
      <t xml:space="preserve">Ground source heat pump is installed by a Certified Geothermal Service Contractor in accordance with Table 703.2.6.
</t>
    </r>
    <r>
      <rPr>
        <b/>
        <i/>
        <sz val="10"/>
        <rFont val="Calibri"/>
        <family val="2"/>
        <scheme val="minor"/>
      </rPr>
      <t>(Where multiple systems are used, points awarded based on the system with the lowest efficiency.)</t>
    </r>
  </si>
  <si>
    <t>Table 703.2.6: Ground source heat pump</t>
  </si>
  <si>
    <t>14.1 EER 3.3 COP</t>
  </si>
  <si>
    <t>15 EER 3.5 COP</t>
  </si>
  <si>
    <t>15 EER 
3.5 COP</t>
  </si>
  <si>
    <t>14.1 EER 
3.3 COP</t>
  </si>
  <si>
    <t>16.2 EER 
3.6 COP</t>
  </si>
  <si>
    <t>24 EER 
4.3 COP</t>
  </si>
  <si>
    <t>28 EER 
4.8 COP</t>
  </si>
  <si>
    <t>The ground loop is sized to account for the ground conductance and the expected minimum incoming water temperature to achieve rated performance.</t>
  </si>
  <si>
    <t>16.2 EER 3.6 COP</t>
  </si>
  <si>
    <t>24 EER 4.3 COP</t>
  </si>
  <si>
    <t>28 EER 4.8 COP</t>
  </si>
  <si>
    <t>703.2.7</t>
  </si>
  <si>
    <t>703.2.8</t>
  </si>
  <si>
    <r>
      <t xml:space="preserve">Whole-building or whole-dwelling unit fan(s) with insulated louvers and a sealed enclosure is installed. </t>
    </r>
    <r>
      <rPr>
        <b/>
        <i/>
        <sz val="10"/>
        <rFont val="Calibri"/>
        <family val="2"/>
        <scheme val="minor"/>
      </rPr>
      <t>Points not available for Climate Zones 7-8.</t>
    </r>
    <r>
      <rPr>
        <sz val="10"/>
        <rFont val="Calibri"/>
        <family val="2"/>
        <scheme val="minor"/>
      </rPr>
      <t xml:space="preserve">
</t>
    </r>
  </si>
  <si>
    <r>
      <rPr>
        <b/>
        <sz val="10"/>
        <color rgb="FFFF0000"/>
        <rFont val="Calibri"/>
        <family val="2"/>
      </rPr>
      <t>NOTE:</t>
    </r>
    <r>
      <rPr>
        <sz val="10"/>
        <rFont val="Calibri"/>
        <family val="2"/>
      </rPr>
      <t xml:space="preserve"> For </t>
    </r>
    <r>
      <rPr>
        <b/>
        <sz val="10"/>
        <color rgb="FF7030A0"/>
        <rFont val="Calibri"/>
        <family val="2"/>
      </rPr>
      <t>multi-unit buildings</t>
    </r>
    <r>
      <rPr>
        <sz val="10"/>
        <rFont val="Calibri"/>
        <family val="2"/>
      </rPr>
      <t>, each dwelling unit must have compliant whole-dwelling unit fans installed to claim these points.</t>
    </r>
  </si>
  <si>
    <r>
      <t xml:space="preserve">In </t>
    </r>
    <r>
      <rPr>
        <b/>
        <sz val="10"/>
        <color rgb="FF7030A0"/>
        <rFont val="Calibri"/>
        <family val="2"/>
        <scheme val="minor"/>
      </rPr>
      <t>multi-unit buildings</t>
    </r>
    <r>
      <rPr>
        <sz val="10"/>
        <rFont val="Calibri"/>
        <family val="2"/>
        <scheme val="minor"/>
      </rPr>
      <t>, an advanced electric and fossil fuel submetering system is installed to monitor electricity and fossil fuel consumption for each unit. The device provides consumption information on a monthly or near real-time basis.  The information is available to the occupants at a minimum on a monthly basis.</t>
    </r>
  </si>
  <si>
    <r>
      <rPr>
        <b/>
        <sz val="10"/>
        <color rgb="FFFF0000"/>
        <rFont val="Calibri"/>
        <family val="2"/>
      </rPr>
      <t>NOTE:</t>
    </r>
    <r>
      <rPr>
        <sz val="10"/>
        <rFont val="Calibri"/>
        <family val="2"/>
      </rPr>
      <t xml:space="preserve"> Points for 703.2.9 awarded for </t>
    </r>
    <r>
      <rPr>
        <b/>
        <sz val="10"/>
        <color rgb="FF7030A0"/>
        <rFont val="Calibri"/>
        <family val="2"/>
      </rPr>
      <t>multi-unit buildings</t>
    </r>
    <r>
      <rPr>
        <sz val="10"/>
        <rFont val="Calibri"/>
        <family val="2"/>
      </rPr>
      <t xml:space="preserve"> only.</t>
    </r>
  </si>
  <si>
    <t>703.2.9</t>
  </si>
  <si>
    <t>Duct Systems</t>
  </si>
  <si>
    <r>
      <t xml:space="preserve">All space heating is provided by a system(s) that does not include air ducts.
</t>
    </r>
    <r>
      <rPr>
        <b/>
        <i/>
        <sz val="10"/>
        <rFont val="Calibri"/>
        <family val="2"/>
        <scheme val="minor"/>
      </rPr>
      <t>Points not available for Climate Zone 1.</t>
    </r>
  </si>
  <si>
    <t>703.3.2</t>
  </si>
  <si>
    <r>
      <t xml:space="preserve">All space cooling is provided by a system(s) that does not include air ducts.
</t>
    </r>
    <r>
      <rPr>
        <b/>
        <i/>
        <sz val="10"/>
        <rFont val="Calibri"/>
        <family val="2"/>
        <scheme val="minor"/>
      </rPr>
      <t>Points not available for Climate Zones 5-8.</t>
    </r>
  </si>
  <si>
    <t>703.3.3</t>
  </si>
  <si>
    <t>703.3.3  Ductwork is in accordance with all of the following:
     (1) Building cavities are not used as return ductwork.
     (2) Heating and cooling ducts and mechanical equipment are installed within the conditioned building space.
     (3) Ductwork is not installed in exterior walls.</t>
  </si>
  <si>
    <t>703.3.4</t>
  </si>
  <si>
    <r>
      <rPr>
        <b/>
        <sz val="10"/>
        <rFont val="Calibri"/>
        <family val="2"/>
        <scheme val="minor"/>
      </rPr>
      <t>Duct Leakage.</t>
    </r>
    <r>
      <rPr>
        <sz val="10"/>
        <rFont val="Calibri"/>
        <family val="2"/>
        <scheme val="minor"/>
      </rPr>
      <t xml:space="preserve"> The entire central HVAC duct system, including air handlers and register boots, is tested by a third party for total leakage at a pressure differential of 0.1 inches w.g. (25 Pa) and maximum air leakage is equal to or less than 6 percent of the system design flow rate.</t>
    </r>
  </si>
  <si>
    <t>Table 703.3.4: Duct Leakage</t>
  </si>
  <si>
    <t>Ductwork entirely outside the building's thermal envelope</t>
  </si>
  <si>
    <t>Ductwork entirely inside the building’s thermal envelope</t>
  </si>
  <si>
    <t>Ductwork inside and outside the building's thermal envelope</t>
  </si>
  <si>
    <t>Points per Table 703.3.4</t>
  </si>
  <si>
    <t>Entirely outside</t>
  </si>
  <si>
    <t>Entirely inside</t>
  </si>
  <si>
    <t>Inside &amp; outside</t>
  </si>
  <si>
    <t>Water heating system</t>
  </si>
  <si>
    <t>703.4.1</t>
  </si>
  <si>
    <r>
      <t>Water heater Energy Factor (EF) is in accordance with the following:</t>
    </r>
    <r>
      <rPr>
        <b/>
        <sz val="10"/>
        <rFont val="Calibri"/>
        <family val="2"/>
        <scheme val="minor"/>
      </rPr>
      <t xml:space="preserve">
</t>
    </r>
    <r>
      <rPr>
        <b/>
        <i/>
        <sz val="10"/>
        <rFont val="Calibri"/>
        <family val="2"/>
        <scheme val="minor"/>
      </rPr>
      <t>(Where multiple systems are used, points awarded based on the system with the lowest efficiency.)</t>
    </r>
    <r>
      <rPr>
        <b/>
        <u/>
        <sz val="10"/>
        <rFont val="Calibri"/>
        <family val="2"/>
        <scheme val="minor"/>
      </rPr>
      <t xml:space="preserve">
</t>
    </r>
  </si>
  <si>
    <t>Points per 
Table 703.4.1(1)(a) or 
Table 703.4.1(1)(b) or
Table 703.4.1(2) or
Table 703.4.1(3) or 
Table 703.4.1(4)</t>
  </si>
  <si>
    <t>EF = 0.67 to &lt;0.80</t>
  </si>
  <si>
    <t>EF ≥0.80</t>
  </si>
  <si>
    <t>Table 703.4.1(1)(a): Gas Water Heating</t>
  </si>
  <si>
    <r>
      <t xml:space="preserve">Thermal Efficiency </t>
    </r>
    <r>
      <rPr>
        <b/>
        <sz val="10"/>
        <rFont val="Calibri"/>
        <family val="2"/>
      </rPr>
      <t>≥0.86</t>
    </r>
  </si>
  <si>
    <t>Energy Factor or Thermal Efficiency</t>
  </si>
  <si>
    <t>≥0.95</t>
  </si>
  <si>
    <t>Table 703.4.1(2): 
Electric Water Heating</t>
  </si>
  <si>
    <r>
      <rPr>
        <b/>
        <sz val="10"/>
        <rFont val="Calibri"/>
        <family val="2"/>
        <scheme val="minor"/>
      </rPr>
      <t>Table 703.4.1(1)(b): Gas Water Heating</t>
    </r>
    <r>
      <rPr>
        <sz val="10"/>
        <rFont val="Calibri"/>
        <family val="2"/>
        <scheme val="minor"/>
      </rPr>
      <t xml:space="preserve">
</t>
    </r>
    <r>
      <rPr>
        <sz val="8"/>
        <rFont val="Calibri"/>
        <family val="2"/>
        <scheme val="minor"/>
      </rPr>
      <t>(Storage with input rate greater than 75,000 Btu/h or instantaneous input rate greater than 200,000 Btu/h)</t>
    </r>
  </si>
  <si>
    <t>30 to &lt;50 gallons
EF = 0.59</t>
  </si>
  <si>
    <t>≥50 gallons
EF = 0.59</t>
  </si>
  <si>
    <r>
      <t>Table 703.4.1(3): Oil Water Heating
(</t>
    </r>
    <r>
      <rPr>
        <sz val="8"/>
        <rFont val="Calibri"/>
        <family val="2"/>
        <scheme val="minor"/>
      </rPr>
      <t>For SI:  1 gallon = 3.785 L)</t>
    </r>
  </si>
  <si>
    <r>
      <t xml:space="preserve">Table 703.4.1(4): Heat Pump Water Heating
</t>
    </r>
    <r>
      <rPr>
        <sz val="8"/>
        <rFont val="Calibri"/>
        <family val="2"/>
        <scheme val="minor"/>
      </rPr>
      <t>(For SI:  1 gallon = 3.785 L)</t>
    </r>
  </si>
  <si>
    <t>EF = 1.5 to &lt;2.0</t>
  </si>
  <si>
    <t>EF = 2.0 to &lt;2.2</t>
  </si>
  <si>
    <t>Electric</t>
  </si>
  <si>
    <t>Heat pump</t>
  </si>
  <si>
    <t>≥50 gallons</t>
  </si>
  <si>
    <t>30 to &lt;50 gallons</t>
  </si>
  <si>
    <t>Gas Table A</t>
  </si>
  <si>
    <t>Gas Table B</t>
  </si>
  <si>
    <t>703.4.1(1)(a)</t>
  </si>
  <si>
    <t>703.4.1(1)(b)</t>
  </si>
  <si>
    <t>703.4.1(2)</t>
  </si>
  <si>
    <t>703.4.1(3)</t>
  </si>
  <si>
    <t>703.4.1(4)</t>
  </si>
  <si>
    <t>703.4.2</t>
  </si>
  <si>
    <t>703.4.3</t>
  </si>
  <si>
    <r>
      <rPr>
        <b/>
        <sz val="10"/>
        <color rgb="FFFF0000"/>
        <rFont val="Calibri"/>
        <family val="2"/>
      </rPr>
      <t>NOTE:</t>
    </r>
    <r>
      <rPr>
        <sz val="10"/>
        <rFont val="Calibri"/>
        <family val="2"/>
      </rPr>
      <t xml:space="preserve"> Points for 703.4.3 awarded for </t>
    </r>
    <r>
      <rPr>
        <b/>
        <sz val="10"/>
        <color rgb="FF7030A0"/>
        <rFont val="Calibri"/>
        <family val="2"/>
      </rPr>
      <t>multi-unit buildings</t>
    </r>
    <r>
      <rPr>
        <sz val="10"/>
        <rFont val="Calibri"/>
        <family val="2"/>
      </rPr>
      <t xml:space="preserve"> only.</t>
    </r>
  </si>
  <si>
    <t>703.4.4</t>
  </si>
  <si>
    <t>Indirect-fired water heater storage tanks heated from boiler systems are installed.</t>
  </si>
  <si>
    <t>703.4.5</t>
  </si>
  <si>
    <r>
      <rPr>
        <b/>
        <sz val="10"/>
        <rFont val="Calibri"/>
        <family val="2"/>
        <scheme val="minor"/>
      </rPr>
      <t xml:space="preserve">Solar water heater. </t>
    </r>
    <r>
      <rPr>
        <sz val="10"/>
        <rFont val="Calibri"/>
        <family val="2"/>
        <scheme val="minor"/>
      </rPr>
      <t xml:space="preserve"> SRCC (Solar Rating &amp; Certification Corporation) OG 300 rated, or equivalent, solar domestic water heating system is installed. Solar Energy Factor (SEF) as defined by SRCC) is in accordance with Table 703.4.5.</t>
    </r>
  </si>
  <si>
    <t>Table 703.4.5: Solar Hot Water Systems</t>
  </si>
  <si>
    <t>A minimum percent of the total hard-wired luminaires qualify as ENERGY STAR or equivalent.</t>
  </si>
  <si>
    <t>Table 703.5.1: Hard-wired Lighting</t>
  </si>
  <si>
    <t>Minimum percent of fixtures</t>
  </si>
  <si>
    <t>Points per Table 703.5.1</t>
  </si>
  <si>
    <t>75% as ENERGY STAR</t>
  </si>
  <si>
    <t>95% as ENERGY STAR</t>
  </si>
  <si>
    <r>
      <t>Recessed luminaires.</t>
    </r>
    <r>
      <rPr>
        <sz val="10"/>
        <rFont val="Calibri"/>
        <family val="2"/>
        <scheme val="minor"/>
      </rPr>
      <t xml:space="preserve"> The number of recessed luminaires that penetrate the thermal envelope are less than 1 per 400 square feet (37.16 m</t>
    </r>
    <r>
      <rPr>
        <vertAlign val="superscript"/>
        <sz val="10"/>
        <rFont val="Calibri"/>
        <family val="2"/>
        <scheme val="minor"/>
      </rPr>
      <t>2</t>
    </r>
    <r>
      <rPr>
        <sz val="10"/>
        <rFont val="Calibri"/>
        <family val="2"/>
        <scheme val="minor"/>
      </rPr>
      <t>) of total conditioned floor area and are in accordance with Section 701.4.3.4.</t>
    </r>
  </si>
  <si>
    <r>
      <rPr>
        <b/>
        <sz val="10"/>
        <rFont val="Calibri"/>
        <family val="2"/>
        <scheme val="minor"/>
      </rPr>
      <t>Appliances.</t>
    </r>
    <r>
      <rPr>
        <sz val="10"/>
        <rFont val="Calibri"/>
        <family val="2"/>
        <scheme val="minor"/>
      </rPr>
      <t xml:space="preserve"> ENERGY STAR or equivalent appliance(s) are installed:</t>
    </r>
  </si>
  <si>
    <t>Refrigerator</t>
  </si>
  <si>
    <t>Dishwasher</t>
  </si>
  <si>
    <t>Washing machine</t>
  </si>
  <si>
    <t>703.5.4</t>
  </si>
  <si>
    <r>
      <rPr>
        <b/>
        <sz val="10"/>
        <rFont val="Calibri"/>
        <family val="2"/>
        <scheme val="minor"/>
      </rPr>
      <t>Induction cooktop.</t>
    </r>
    <r>
      <rPr>
        <sz val="10"/>
        <rFont val="Calibri"/>
        <family val="2"/>
        <scheme val="minor"/>
      </rPr>
      <t xml:space="preserve"> Induction cooktop is installed.</t>
    </r>
  </si>
  <si>
    <t>Passive solar design</t>
  </si>
  <si>
    <t>703.6.1</t>
  </si>
  <si>
    <t>See Sections 703.6.1(1-9)</t>
  </si>
  <si>
    <t>703.6.2</t>
  </si>
  <si>
    <r>
      <rPr>
        <b/>
        <sz val="10"/>
        <rFont val="Calibri"/>
        <family val="2"/>
        <scheme val="minor"/>
      </rPr>
      <t xml:space="preserve">Window shading. </t>
    </r>
    <r>
      <rPr>
        <sz val="10"/>
        <rFont val="Calibri"/>
        <family val="2"/>
        <scheme val="minor"/>
      </rPr>
      <t>Automated solar protection is installed to provide shading for windows.</t>
    </r>
  </si>
  <si>
    <t>703.6.3</t>
  </si>
  <si>
    <t>Exterior shading is provided on east and west windows using one or a combination of the following: 
     (a) Vine-covered trellises with the vegetation separated a minimum of 1 foot (305 mm) from face of building
     (b) moveable awnings or louvers
     (c) covered porches
     (d) attached or detached conditioned/unconditioned enclosed space that provides full shade of east and west windows (e.g., detached garage, shed, or building)</t>
  </si>
  <si>
    <t>Overhangs are installed to provide shading on south-facing glazing in accordance with Section 703.6.1(7).</t>
  </si>
  <si>
    <r>
      <rPr>
        <b/>
        <sz val="10"/>
        <color rgb="FFFF0000"/>
        <rFont val="Calibri"/>
        <family val="2"/>
      </rPr>
      <t>NOTE:</t>
    </r>
    <r>
      <rPr>
        <sz val="10"/>
        <rFont val="Calibri"/>
        <family val="2"/>
      </rPr>
      <t xml:space="preserve"> Points not awarded if points are taken under Section 703.6.1.</t>
    </r>
  </si>
  <si>
    <r>
      <t>Internal exposed thermal mass is a minimum of three inches (76 mm) in thickness. Thermal mass consists of concrete, brick, and/or tile that are fully adhered to a masonry base or other masonry material and is in accordance with one or a combination of the following: 
     (a) A minimum of 1 square foot (0.09 m</t>
    </r>
    <r>
      <rPr>
        <vertAlign val="superscript"/>
        <sz val="10"/>
        <rFont val="Calibri"/>
        <family val="2"/>
        <scheme val="minor"/>
      </rPr>
      <t>2</t>
    </r>
    <r>
      <rPr>
        <sz val="10"/>
        <rFont val="Calibri"/>
        <family val="2"/>
        <scheme val="minor"/>
      </rPr>
      <t>) of exposed thermal mass of floor per 3 square feet (2.8 m</t>
    </r>
    <r>
      <rPr>
        <vertAlign val="superscript"/>
        <sz val="10"/>
        <rFont val="Calibri"/>
        <family val="2"/>
        <scheme val="minor"/>
      </rPr>
      <t>2</t>
    </r>
    <r>
      <rPr>
        <sz val="10"/>
        <rFont val="Calibri"/>
        <family val="2"/>
        <scheme val="minor"/>
      </rPr>
      <t>) of gross finished floor area.
     (b) A minimum of 3 square feet (2.8 m</t>
    </r>
    <r>
      <rPr>
        <vertAlign val="superscript"/>
        <sz val="10"/>
        <rFont val="Calibri"/>
        <family val="2"/>
        <scheme val="minor"/>
      </rPr>
      <t>2</t>
    </r>
    <r>
      <rPr>
        <sz val="10"/>
        <rFont val="Calibri"/>
        <family val="2"/>
        <scheme val="minor"/>
      </rPr>
      <t>) of exposed thermal mass in interior walls or elements per square foot (0.09 m</t>
    </r>
    <r>
      <rPr>
        <vertAlign val="superscript"/>
        <sz val="10"/>
        <rFont val="Calibri"/>
        <family val="2"/>
        <scheme val="minor"/>
      </rPr>
      <t>2</t>
    </r>
    <r>
      <rPr>
        <sz val="10"/>
        <rFont val="Calibri"/>
        <family val="2"/>
        <scheme val="minor"/>
      </rPr>
      <t xml:space="preserve">) of gross finished floor area.
</t>
    </r>
  </si>
  <si>
    <t>Roofing material is installed with a minimum 0.75 inch (19 mm) continuous air space offset from the roof deck from eave to ridge.</t>
  </si>
  <si>
    <t>703.6.4</t>
  </si>
  <si>
    <r>
      <rPr>
        <b/>
        <sz val="10"/>
        <color rgb="FFFF0000"/>
        <rFont val="Calibri"/>
        <family val="2"/>
      </rPr>
      <t>NOTE:</t>
    </r>
    <r>
      <rPr>
        <sz val="10"/>
        <rFont val="Calibri"/>
        <family val="2"/>
      </rPr>
      <t xml:space="preserve"> Points must be claimed for 703.6.1 to claim points for 703.6.4.</t>
    </r>
  </si>
  <si>
    <t>See Sections 703.6.4(1-3)</t>
  </si>
  <si>
    <t>Section 703.6.1: Sun-tempered design</t>
  </si>
  <si>
    <r>
      <rPr>
        <b/>
        <sz val="10"/>
        <color theme="1"/>
        <rFont val="Calibri"/>
        <family val="2"/>
        <scheme val="minor"/>
      </rPr>
      <t>1.</t>
    </r>
    <r>
      <rPr>
        <sz val="10"/>
        <color theme="1"/>
        <rFont val="Calibri"/>
        <family val="2"/>
        <scheme val="minor"/>
      </rPr>
      <t xml:space="preserve"> The long side (or one side if of equal length) of the building faces within 20 degrees of true south.</t>
    </r>
  </si>
  <si>
    <r>
      <rPr>
        <b/>
        <sz val="10"/>
        <color theme="1"/>
        <rFont val="Calibri"/>
        <family val="2"/>
        <scheme val="minor"/>
      </rPr>
      <t>2.</t>
    </r>
    <r>
      <rPr>
        <sz val="10"/>
        <color theme="1"/>
        <rFont val="Calibri"/>
        <family val="2"/>
        <scheme val="minor"/>
      </rPr>
      <t xml:space="preserve"> Vertical glazing area is between 5 and 7 percent of the gross conditioned floor area on the south face [also see Section 703.6.1(8)].</t>
    </r>
  </si>
  <si>
    <r>
      <rPr>
        <b/>
        <sz val="10"/>
        <color theme="1"/>
        <rFont val="Calibri"/>
        <family val="2"/>
        <scheme val="minor"/>
      </rPr>
      <t>3.</t>
    </r>
    <r>
      <rPr>
        <sz val="10"/>
        <color theme="1"/>
        <rFont val="Calibri"/>
        <family val="2"/>
        <scheme val="minor"/>
      </rPr>
      <t xml:space="preserve"> Vertical glazing area is less than 2 percent of the gross conditioned floor area on the west face, and glazing is ENERGY STAR compliant or equivalent.</t>
    </r>
  </si>
  <si>
    <r>
      <rPr>
        <b/>
        <sz val="10"/>
        <color theme="1"/>
        <rFont val="Calibri"/>
        <family val="2"/>
        <scheme val="minor"/>
      </rPr>
      <t>4.</t>
    </r>
    <r>
      <rPr>
        <sz val="10"/>
        <color theme="1"/>
        <rFont val="Calibri"/>
        <family val="2"/>
        <scheme val="minor"/>
      </rPr>
      <t xml:space="preserve"> Vertical glazing area is less than 4 percent of the gross conditioned floor area on the east face, and glazing is ENERGY STAR compliant or equivalent.</t>
    </r>
  </si>
  <si>
    <r>
      <rPr>
        <b/>
        <sz val="10"/>
        <color theme="1"/>
        <rFont val="Calibri"/>
        <family val="2"/>
        <scheme val="minor"/>
      </rPr>
      <t>5.</t>
    </r>
    <r>
      <rPr>
        <sz val="10"/>
        <color theme="1"/>
        <rFont val="Calibri"/>
        <family val="2"/>
        <scheme val="minor"/>
      </rPr>
      <t xml:space="preserve"> Vertical glazing area is less than 8 percent of the gross conditioned floor area on the north face, and glazing is ENERGY STAR compliant or equivalent.</t>
    </r>
  </si>
  <si>
    <r>
      <rPr>
        <b/>
        <sz val="10"/>
        <color theme="1"/>
        <rFont val="Calibri"/>
        <family val="2"/>
        <scheme val="minor"/>
      </rPr>
      <t>b.</t>
    </r>
    <r>
      <rPr>
        <sz val="10"/>
        <color theme="1"/>
        <rFont val="Calibri"/>
        <family val="2"/>
        <scheme val="minor"/>
      </rPr>
      <t xml:space="preserve"> horizontal skylights are less than 0.5 percent of finished ceiling area</t>
    </r>
  </si>
  <si>
    <r>
      <rPr>
        <b/>
        <sz val="10"/>
        <color theme="1"/>
        <rFont val="Calibri"/>
        <family val="2"/>
        <scheme val="minor"/>
      </rPr>
      <t>c.</t>
    </r>
    <r>
      <rPr>
        <sz val="10"/>
        <color theme="1"/>
        <rFont val="Calibri"/>
        <family val="2"/>
        <scheme val="minor"/>
      </rPr>
      <t xml:space="preserve"> sloped skylights on slopes facing within 45 degrees of true south, east or west are less than 1.5 percent of the finished ceiling area</t>
    </r>
  </si>
  <si>
    <r>
      <rPr>
        <b/>
        <sz val="10"/>
        <color theme="1"/>
        <rFont val="Calibri"/>
        <family val="2"/>
        <scheme val="minor"/>
      </rPr>
      <t xml:space="preserve">7. </t>
    </r>
    <r>
      <rPr>
        <sz val="10"/>
        <color theme="1"/>
        <rFont val="Calibri"/>
        <family val="2"/>
        <scheme val="minor"/>
      </rPr>
      <t>Overhangs or adjustable canopies or awnings or trellises provide shading on south-facing glass for the appropriate climate zone in  accordance with Table 703.6.1(7):</t>
    </r>
  </si>
  <si>
    <r>
      <rPr>
        <b/>
        <sz val="10"/>
        <color theme="1"/>
        <rFont val="Calibri"/>
        <family val="2"/>
        <scheme val="minor"/>
      </rPr>
      <t xml:space="preserve">8. </t>
    </r>
    <r>
      <rPr>
        <sz val="10"/>
        <color theme="1"/>
        <rFont val="Calibri"/>
        <family val="2"/>
        <scheme val="minor"/>
      </rPr>
      <t>The south face windows have a SHGC of 0.40 or higher.</t>
    </r>
  </si>
  <si>
    <r>
      <rPr>
        <b/>
        <sz val="10"/>
        <color theme="1"/>
        <rFont val="Calibri"/>
        <family val="2"/>
        <scheme val="minor"/>
      </rPr>
      <t>9.</t>
    </r>
    <r>
      <rPr>
        <sz val="10"/>
        <color theme="1"/>
        <rFont val="Calibri"/>
        <family val="2"/>
        <scheme val="minor"/>
      </rPr>
      <t xml:space="preserve"> Return air or transfer grilles/ducts are in accordance with Section 704.3.</t>
    </r>
  </si>
  <si>
    <t>Table 703.6.1(7)</t>
  </si>
  <si>
    <t>South-Facing Window Overhang Depth</t>
  </si>
  <si>
    <t>See Practice 703.6.1</t>
  </si>
  <si>
    <t>See Practice 703.6.4</t>
  </si>
  <si>
    <t>Section 703.6.4: Passive solar heating design</t>
  </si>
  <si>
    <t>In addition to the sun-tempered design features in Section 703.6.1, all of the following are implemented:</t>
  </si>
  <si>
    <r>
      <rPr>
        <b/>
        <sz val="10"/>
        <color theme="1"/>
        <rFont val="Calibri"/>
        <family val="2"/>
        <scheme val="minor"/>
      </rPr>
      <t>1.</t>
    </r>
    <r>
      <rPr>
        <sz val="10"/>
        <color theme="1"/>
        <rFont val="Calibri"/>
        <family val="2"/>
        <scheme val="minor"/>
      </rPr>
      <t xml:space="preserve"> Additional glazing, no greater than 12 percent, is permitted on the south wall.  This additional glazing is in accordance with the requirements of Section 703.6.1.</t>
    </r>
  </si>
  <si>
    <r>
      <rPr>
        <b/>
        <sz val="10"/>
        <color theme="1"/>
        <rFont val="Calibri"/>
        <family val="2"/>
        <scheme val="minor"/>
      </rPr>
      <t>2.</t>
    </r>
    <r>
      <rPr>
        <sz val="10"/>
        <color theme="1"/>
        <rFont val="Calibri"/>
        <family val="2"/>
        <scheme val="minor"/>
      </rPr>
      <t xml:space="preserve"> Additional thermal mass for any room with south-facing glazing of more than 7 percent of the finished floor area is provided in accordance with the following:</t>
    </r>
  </si>
  <si>
    <r>
      <rPr>
        <b/>
        <sz val="10"/>
        <color theme="1"/>
        <rFont val="Calibri"/>
        <family val="2"/>
        <scheme val="minor"/>
      </rPr>
      <t>a.</t>
    </r>
    <r>
      <rPr>
        <sz val="10"/>
        <color theme="1"/>
        <rFont val="Calibri"/>
        <family val="2"/>
        <scheme val="minor"/>
      </rPr>
      <t xml:space="preserve"> Thermal mass is solid and a minimum of 3 inches (76 mm) in thickness. Where two thermal mass materials are layered together (e.g., ceramic tile on concrete base) to achieve the appropriate thickness, they are fully adhered to (touching) each other.</t>
    </r>
  </si>
  <si>
    <r>
      <rPr>
        <b/>
        <sz val="10"/>
        <color theme="1"/>
        <rFont val="Calibri"/>
        <family val="2"/>
        <scheme val="minor"/>
      </rPr>
      <t>i.</t>
    </r>
    <r>
      <rPr>
        <sz val="10"/>
        <color theme="1"/>
        <rFont val="Calibri"/>
        <family val="2"/>
        <scheme val="minor"/>
      </rPr>
      <t xml:space="preserve"> Above latitude 35 degrees:  5 square feet (0.465 m2) of thermal mass for every 1 square foot (0.0929 m2) of south-facing glazing.</t>
    </r>
  </si>
  <si>
    <r>
      <rPr>
        <b/>
        <sz val="10"/>
        <color theme="1"/>
        <rFont val="Calibri"/>
        <family val="2"/>
        <scheme val="minor"/>
      </rPr>
      <t>ii.</t>
    </r>
    <r>
      <rPr>
        <sz val="10"/>
        <color theme="1"/>
        <rFont val="Calibri"/>
        <family val="2"/>
        <scheme val="minor"/>
      </rPr>
      <t xml:space="preserve"> Latitude 30 degrees to 35 degrees:  5.5 square feet (0.51 m2) of thermal mass for every 1 square foot (0.0929 m2) of  south-facing glazing.</t>
    </r>
  </si>
  <si>
    <r>
      <rPr>
        <b/>
        <sz val="10"/>
        <color theme="1"/>
        <rFont val="Calibri"/>
        <family val="2"/>
        <scheme val="minor"/>
      </rPr>
      <t>iii.</t>
    </r>
    <r>
      <rPr>
        <sz val="10"/>
        <color theme="1"/>
        <rFont val="Calibri"/>
        <family val="2"/>
        <scheme val="minor"/>
      </rPr>
      <t xml:space="preserve"> Latitude 25 degrees to 30 degrees:  6 square feet (0.557 m2) of thermal mass for every 1 square foot (0.0929 m2) of south-facing glazing.</t>
    </r>
  </si>
  <si>
    <r>
      <rPr>
        <b/>
        <sz val="10"/>
        <color theme="1"/>
        <rFont val="Calibri"/>
        <family val="2"/>
        <scheme val="minor"/>
      </rPr>
      <t>c.</t>
    </r>
    <r>
      <rPr>
        <sz val="10"/>
        <color theme="1"/>
        <rFont val="Calibri"/>
        <family val="2"/>
        <scheme val="minor"/>
      </rPr>
      <t xml:space="preserve"> Thermal mass not directly exposed to sunlight is permitted to be used to achieve thermal mass requirements of Section 703.6.4 (2) based on a ratio of 40 square feet (3.72 m</t>
    </r>
    <r>
      <rPr>
        <vertAlign val="superscript"/>
        <sz val="10"/>
        <color theme="1"/>
        <rFont val="Calibri"/>
        <family val="2"/>
        <scheme val="minor"/>
      </rPr>
      <t>2</t>
    </r>
    <r>
      <rPr>
        <sz val="10"/>
        <color theme="1"/>
        <rFont val="Calibri"/>
        <family val="2"/>
        <scheme val="minor"/>
      </rPr>
      <t>) of thermal mass for every 1 square foot (0.0929 m2) of south-facing glazing.</t>
    </r>
  </si>
  <si>
    <r>
      <rPr>
        <b/>
        <sz val="10"/>
        <color theme="1"/>
        <rFont val="Calibri"/>
        <family val="2"/>
        <scheme val="minor"/>
      </rPr>
      <t>3.</t>
    </r>
    <r>
      <rPr>
        <sz val="10"/>
        <color theme="1"/>
        <rFont val="Calibri"/>
        <family val="2"/>
        <scheme val="minor"/>
      </rPr>
      <t xml:space="preserve"> In addition to return air or transfer grilles/ducts required by Section 703.6.1(9), provisions for forced airflow to adjoining areas are implemented as needed.  </t>
    </r>
  </si>
  <si>
    <t>Lighting</t>
  </si>
  <si>
    <t>25% lighting=1pt
50% of lighting=2pts</t>
  </si>
  <si>
    <r>
      <rPr>
        <b/>
        <sz val="10"/>
        <rFont val="Calibri"/>
        <family val="2"/>
        <scheme val="minor"/>
      </rPr>
      <t>TDDs and skylights.</t>
    </r>
    <r>
      <rPr>
        <sz val="10"/>
        <rFont val="Calibri"/>
        <family val="2"/>
        <scheme val="minor"/>
      </rPr>
      <t xml:space="preserve"> Tubular daylighting device (TDD) or a skylight with sealed, insulated, low-E glass is installed in rooms without windows.
</t>
    </r>
    <r>
      <rPr>
        <b/>
        <i/>
        <sz val="10"/>
        <rFont val="Calibri"/>
        <family val="2"/>
        <scheme val="minor"/>
      </rPr>
      <t>Points awarded per building.</t>
    </r>
  </si>
  <si>
    <r>
      <rPr>
        <b/>
        <sz val="10"/>
        <rFont val="Calibri"/>
        <family val="2"/>
        <scheme val="minor"/>
      </rPr>
      <t>Lighting outlets.</t>
    </r>
    <r>
      <rPr>
        <sz val="10"/>
        <rFont val="Calibri"/>
        <family val="2"/>
        <scheme val="minor"/>
      </rPr>
      <t xml:space="preserve"> Occupancy sensors are installed for a minimum of 80 percent of hard-wired lighting outlets.</t>
    </r>
  </si>
  <si>
    <r>
      <rPr>
        <b/>
        <sz val="10"/>
        <rFont val="Calibri"/>
        <family val="2"/>
        <scheme val="minor"/>
      </rPr>
      <t>Occupancy sensors.</t>
    </r>
    <r>
      <rPr>
        <sz val="10"/>
        <rFont val="Calibri"/>
        <family val="2"/>
        <scheme val="minor"/>
      </rPr>
      <t xml:space="preserve"> Occupancy sensors are installed on indoor lights, and photo or motion sensors are installed on outdoor lights to control lighting.</t>
    </r>
  </si>
  <si>
    <r>
      <rPr>
        <b/>
        <sz val="10"/>
        <rFont val="Calibri"/>
        <family val="2"/>
        <scheme val="minor"/>
      </rPr>
      <t>Return ducts and transfer grilles.</t>
    </r>
    <r>
      <rPr>
        <sz val="10"/>
        <rFont val="Calibri"/>
        <family val="2"/>
        <scheme val="minor"/>
      </rPr>
      <t xml:space="preserve"> Return ducts or transfer grilles are installed in every room with a door.  Return ducts or transfer grilles are not required for bathrooms, kitchens, closets, pantries, and laundry rooms.</t>
    </r>
  </si>
  <si>
    <t>704.5.1</t>
  </si>
  <si>
    <t>704.5.2</t>
  </si>
  <si>
    <t>704.4.1</t>
  </si>
  <si>
    <t>HVAC contractor and service technician are certified by a nationally or regionally recognized program (e.g., North American Technician Excellence, Inc. (NATE), Air Conditioning Contractors of Americas Quality Assured Program (ACCA/QA), Building Performance Institute (BPI), Radiant Panel Association, or manufacturers’ training program).</t>
  </si>
  <si>
    <t>Performance of the heating and/or cooling system is verified by the HVAC contractor in accordance with all of the following:
     (1) Start-up procedure is performed in accordance with the manufacturer's instructions.
     (2) Refrigerant charge is verified by super-heat and/or sub-cooling method.
     (3) Burner is set to fire at input level listed on nameplate. 
     (4) Air handler setting/fan speed is set in accordance with manufacturer's instructions.
     (5) Total airflow is within 10 percent of design flow.
     (6) Total external system static does not exceed equipment capability at rated airflow.</t>
  </si>
  <si>
    <t>Manufacturer’s label or printed specifications for sealed air handler (except furnaces) indicates the leakage is less than or equal to 2 percent of design airflow at a pressure of 1-inch of water (250 Pa). Air handlers are tested with inlets, outlets, and condensate drain ports sealed, and filter box in place.</t>
  </si>
  <si>
    <r>
      <rPr>
        <b/>
        <sz val="10"/>
        <rFont val="Calibri"/>
        <family val="2"/>
        <scheme val="minor"/>
      </rPr>
      <t>Testing.</t>
    </r>
    <r>
      <rPr>
        <sz val="10"/>
        <rFont val="Calibri"/>
        <family val="2"/>
        <scheme val="minor"/>
      </rPr>
      <t xml:space="preserve"> Testing above mandatory requirements is conducted to verify performance.  </t>
    </r>
  </si>
  <si>
    <t>704.5.2.1</t>
  </si>
  <si>
    <t>Building envelope leakage testing.</t>
  </si>
  <si>
    <t>A blower door test and a visual inspection are performed as described in 701.4.3.2.</t>
  </si>
  <si>
    <t>Third-party verification is completed.</t>
  </si>
  <si>
    <t>704.5.2.2</t>
  </si>
  <si>
    <r>
      <rPr>
        <b/>
        <sz val="10"/>
        <rFont val="Calibri"/>
        <family val="2"/>
        <scheme val="minor"/>
      </rPr>
      <t>HVAC airflow testing.</t>
    </r>
    <r>
      <rPr>
        <sz val="10"/>
        <rFont val="Calibri"/>
        <family val="2"/>
        <scheme val="minor"/>
      </rPr>
      <t xml:space="preserve"> Balanced HVAC airflows are demonstrated by flow hood or other acceptable flow measurement tool by a third party. Test results are in accordance with both of the following:
     (1) Measured flow at each supply and return register is within 25 percent of design flow.
     (2) Total airflow is within 10 percent of design flow.</t>
    </r>
  </si>
  <si>
    <r>
      <rPr>
        <b/>
        <sz val="10"/>
        <color rgb="FFFF0000"/>
        <rFont val="Calibri"/>
        <family val="2"/>
      </rPr>
      <t>NOTE:</t>
    </r>
    <r>
      <rPr>
        <sz val="10"/>
        <rFont val="Calibri"/>
        <family val="2"/>
      </rPr>
      <t xml:space="preserve"> Specify name of person or company conducting HVAC airflow test in the assigned Notes area.</t>
    </r>
  </si>
  <si>
    <r>
      <rPr>
        <b/>
        <sz val="10"/>
        <rFont val="Calibri"/>
        <family val="2"/>
        <scheme val="minor"/>
      </rPr>
      <t>Insulating hot water pipes.</t>
    </r>
    <r>
      <rPr>
        <sz val="10"/>
        <rFont val="Calibri"/>
        <family val="2"/>
        <scheme val="minor"/>
      </rPr>
      <t xml:space="preserve"> Insulation with a minimum thermal resistance (R-value) of at least R-3 is applied to the following, as applicable:
     (a) piping larger than 3/4-inch outside diameter   
     (b) piping serving more than one dwelling unit 
     (c) piping branches serving kitchen sinks 
     (d) piping located outside the conditioned space 
     (e) piping from the water heater to a distribution manifold 
     (f) piping located under a floor slab 
     (g) buried piping 
     (h) piping in recirculation systems other than demand recirculation systems
     (i) all other piping except the piping that meets the length requirements of Table 704.5.3
</t>
    </r>
  </si>
  <si>
    <t>Nominal Pipe Diameter of largest pipe in run (inches)</t>
  </si>
  <si>
    <t>3/8</t>
  </si>
  <si>
    <t>Table 704.5.3: Maximum Pipe Run Length</t>
  </si>
  <si>
    <t>Maximum pipe length (feet)*</t>
  </si>
  <si>
    <t>* Total length of all piping from the source of hot water (either a water heater or distribution manifold (or tee) on a trunk line or a recirculation loop) to a point of use.</t>
  </si>
  <si>
    <r>
      <t>Energy consumption control.</t>
    </r>
    <r>
      <rPr>
        <sz val="10"/>
        <rFont val="Calibri"/>
        <family val="2"/>
        <scheme val="minor"/>
      </rPr>
      <t xml:space="preserve"> A whole-building or whole-dwelling unit device is installed that controls or monitors energy consumption.</t>
    </r>
    <r>
      <rPr>
        <b/>
        <sz val="10"/>
        <rFont val="Calibri"/>
        <family val="2"/>
        <scheme val="minor"/>
      </rPr>
      <t xml:space="preserve">
</t>
    </r>
    <r>
      <rPr>
        <b/>
        <u/>
        <sz val="10"/>
        <rFont val="Calibri"/>
        <family val="2"/>
        <scheme val="minor"/>
      </rPr>
      <t>Claim points for all that apply from (1)-(3) below (7 points max.):</t>
    </r>
  </si>
  <si>
    <t>Builder selects a renewable energy service plan provided by the local electrical utility for interim (temporary) electric service. The builder’s local administrative office has renewable energy service.</t>
  </si>
  <si>
    <t>The buyer of the building selects one of the following renewable energy service plans provided by the utility prior to occupancy of the building with a minimum two-year commitment.</t>
  </si>
  <si>
    <t>less than half of the dwelling's projected electricity and gas use is provided by renewable energy</t>
  </si>
  <si>
    <t>half or more of the of the dwelling's projected electricity and gas use is provided by renewable energy</t>
  </si>
  <si>
    <t>&lt;50%</t>
  </si>
  <si>
    <t>≥50%</t>
  </si>
  <si>
    <t>705.2_2</t>
  </si>
  <si>
    <t>3-5 appliances = 1pt
6+ appliances = 2pts</t>
  </si>
  <si>
    <t>Freezer</t>
  </si>
  <si>
    <t>Clothes Dryer</t>
  </si>
  <si>
    <t>Clothes Washer</t>
  </si>
  <si>
    <t>Room Air Conditioner</t>
  </si>
  <si>
    <t>Service Hot Water Heating Systems</t>
  </si>
  <si>
    <t>installed</t>
  </si>
  <si>
    <r>
      <t xml:space="preserve">Smart Appliances and Systems. </t>
    </r>
    <r>
      <rPr>
        <sz val="10"/>
        <rFont val="Calibri"/>
        <family val="2"/>
        <scheme val="minor"/>
      </rPr>
      <t xml:space="preserve">Smart appliances and systems are installed as follows:
</t>
    </r>
    <r>
      <rPr>
        <b/>
        <u/>
        <sz val="10"/>
        <rFont val="Calibri"/>
        <family val="2"/>
        <scheme val="minor"/>
      </rPr>
      <t>Claim points for all that apply from (1)-(8) below:</t>
    </r>
  </si>
  <si>
    <t>Pumps</t>
  </si>
  <si>
    <t>705.4.1</t>
  </si>
  <si>
    <t>Pool, spa, and water features equipped with filtration pumps as follows:</t>
  </si>
  <si>
    <t>Two-speed pump(s) is installed.</t>
  </si>
  <si>
    <t>Electronically controlled variable-speed pump(s) is installed (efficiency of 90 percent or greater).</t>
  </si>
  <si>
    <t xml:space="preserve">705.4.2 </t>
  </si>
  <si>
    <t>Sump pump(s) with electrically commutated motors (ECMs) or permanent split capacitor (PSC) motors installed (efficiency of 90 percent or greater).</t>
  </si>
  <si>
    <r>
      <rPr>
        <b/>
        <sz val="10"/>
        <rFont val="Calibri"/>
        <family val="2"/>
        <scheme val="minor"/>
      </rPr>
      <t>Parking garage efficiency.</t>
    </r>
    <r>
      <rPr>
        <sz val="10"/>
        <rFont val="Calibri"/>
        <family val="2"/>
        <scheme val="minor"/>
      </rPr>
      <t xml:space="preserve">  Structured parking garages are designed to require no mechanical ventilation for fresh air requirements.</t>
    </r>
  </si>
  <si>
    <t>See the grading criteria in Sections 703.1.2.1, 703.1.2.2, and/or 703.1.2.3</t>
  </si>
  <si>
    <r>
      <t xml:space="preserve">EF </t>
    </r>
    <r>
      <rPr>
        <sz val="10"/>
        <rFont val="Calibri"/>
        <family val="2"/>
      </rPr>
      <t>≥</t>
    </r>
    <r>
      <rPr>
        <sz val="10"/>
        <rFont val="Calibri"/>
        <family val="2"/>
        <scheme val="minor"/>
      </rPr>
      <t>2.2</t>
    </r>
  </si>
  <si>
    <r>
      <rPr>
        <sz val="10"/>
        <color theme="1"/>
        <rFont val="Calibri"/>
        <family val="2"/>
      </rPr>
      <t>EF ≥</t>
    </r>
    <r>
      <rPr>
        <sz val="10"/>
        <color theme="1"/>
        <rFont val="Calibri"/>
        <family val="2"/>
        <scheme val="minor"/>
      </rPr>
      <t>2.2</t>
    </r>
  </si>
  <si>
    <t>EF ≥0.95</t>
  </si>
  <si>
    <t>TE ≥0.86</t>
  </si>
  <si>
    <r>
      <rPr>
        <sz val="10"/>
        <color theme="1"/>
        <rFont val="Calibri"/>
        <family val="2"/>
      </rPr>
      <t>≥</t>
    </r>
    <r>
      <rPr>
        <sz val="10"/>
        <color theme="1"/>
        <rFont val="Calibri"/>
        <family val="2"/>
        <scheme val="minor"/>
      </rPr>
      <t>SEF 1.3</t>
    </r>
  </si>
  <si>
    <r>
      <rPr>
        <sz val="10"/>
        <color theme="1"/>
        <rFont val="Calibri"/>
        <family val="2"/>
      </rPr>
      <t>≥</t>
    </r>
    <r>
      <rPr>
        <sz val="10"/>
        <color theme="1"/>
        <rFont val="Calibri"/>
        <family val="2"/>
        <scheme val="minor"/>
      </rPr>
      <t>SEF 1.51</t>
    </r>
  </si>
  <si>
    <r>
      <rPr>
        <sz val="10"/>
        <color theme="1"/>
        <rFont val="Calibri"/>
        <family val="2"/>
      </rPr>
      <t>≥</t>
    </r>
    <r>
      <rPr>
        <sz val="10"/>
        <color theme="1"/>
        <rFont val="Calibri"/>
        <family val="2"/>
        <scheme val="minor"/>
      </rPr>
      <t>SEF 1.81</t>
    </r>
  </si>
  <si>
    <r>
      <rPr>
        <sz val="10"/>
        <color theme="1"/>
        <rFont val="Calibri"/>
        <family val="2"/>
      </rPr>
      <t>≥</t>
    </r>
    <r>
      <rPr>
        <sz val="10"/>
        <color theme="1"/>
        <rFont val="Calibri"/>
        <family val="2"/>
        <scheme val="minor"/>
      </rPr>
      <t>SEF 2.31</t>
    </r>
  </si>
  <si>
    <r>
      <rPr>
        <sz val="10"/>
        <color theme="1"/>
        <rFont val="Calibri"/>
        <family val="2"/>
      </rPr>
      <t>≥</t>
    </r>
    <r>
      <rPr>
        <sz val="10"/>
        <color theme="1"/>
        <rFont val="Calibri"/>
        <family val="2"/>
        <scheme val="minor"/>
      </rPr>
      <t>SEF 3.01</t>
    </r>
  </si>
  <si>
    <t>≥SEF 3.01</t>
  </si>
  <si>
    <r>
      <rPr>
        <b/>
        <sz val="10"/>
        <color theme="1"/>
        <rFont val="Calibri"/>
        <family val="2"/>
      </rPr>
      <t>≥</t>
    </r>
    <r>
      <rPr>
        <b/>
        <sz val="10"/>
        <color theme="1"/>
        <rFont val="Calibri"/>
        <family val="2"/>
        <scheme val="minor"/>
      </rPr>
      <t>SEF 1.3</t>
    </r>
  </si>
  <si>
    <t>≥SEF 1.51</t>
  </si>
  <si>
    <t>≥SEF 1.81</t>
  </si>
  <si>
    <t>≥SEF 2.31</t>
  </si>
  <si>
    <r>
      <rPr>
        <b/>
        <sz val="10"/>
        <color rgb="FFFF0000"/>
        <rFont val="Calibri"/>
        <family val="2"/>
      </rPr>
      <t>NOTE:</t>
    </r>
    <r>
      <rPr>
        <sz val="10"/>
        <rFont val="Calibri"/>
        <family val="2"/>
      </rPr>
      <t xml:space="preserve"> Points must be claimed in 704.5.2.1(1) to claim points in 704.5.2.1(2).
Specify name of person or company conducting blower door test in the assigned Notes area.</t>
    </r>
  </si>
  <si>
    <r>
      <rPr>
        <b/>
        <sz val="10"/>
        <color rgb="FFFF0000"/>
        <rFont val="Calibri"/>
        <family val="2"/>
      </rPr>
      <t>NOTE:</t>
    </r>
    <r>
      <rPr>
        <sz val="10"/>
        <rFont val="Calibri"/>
        <family val="2"/>
      </rPr>
      <t xml:space="preserve"> In the assigned Notes area, </t>
    </r>
    <r>
      <rPr>
        <b/>
        <sz val="10"/>
        <rFont val="Calibri"/>
        <family val="2"/>
      </rPr>
      <t>specify the actual combined efficiency</t>
    </r>
    <r>
      <rPr>
        <sz val="10"/>
        <rFont val="Calibri"/>
        <family val="2"/>
      </rPr>
      <t>.</t>
    </r>
  </si>
  <si>
    <t>1 point 
per 100 watts 
per 2000 SF</t>
  </si>
  <si>
    <t>Mandatory Status:</t>
  </si>
  <si>
    <t>Waterless Toilets:</t>
  </si>
  <si>
    <t>701.4.3.2_2</t>
  </si>
  <si>
    <r>
      <rPr>
        <b/>
        <sz val="10"/>
        <color rgb="FFFF0000"/>
        <rFont val="Calibri"/>
        <family val="2"/>
        <scheme val="minor"/>
      </rPr>
      <t>Alternative Bronze Level compliance</t>
    </r>
    <r>
      <rPr>
        <b/>
        <sz val="10"/>
        <rFont val="Calibri"/>
        <family val="2"/>
        <scheme val="minor"/>
      </rPr>
      <t>.</t>
    </r>
    <r>
      <rPr>
        <sz val="10"/>
        <rFont val="Calibri"/>
        <family val="2"/>
        <scheme val="minor"/>
      </rPr>
      <t xml:space="preserve">  As an alternative, any building that qualifies as an ENERGY STAR Version 3.0 Qualified Home or demonstrates compliance with the 2012 IECC or Chapter 11 of the 2012 IRC is deemed to meet all mandatory practices of Chapter 7 and achieves the bronze level for Chapter 7. 
If you claim the 30 points for practice 701.1.3, this chapter and this project </t>
    </r>
    <r>
      <rPr>
        <b/>
        <i/>
        <sz val="10"/>
        <rFont val="Calibri"/>
        <family val="2"/>
        <scheme val="minor"/>
      </rPr>
      <t>cannot</t>
    </r>
    <r>
      <rPr>
        <sz val="10"/>
        <rFont val="Calibri"/>
        <family val="2"/>
        <scheme val="minor"/>
      </rPr>
      <t xml:space="preserve"> achieve a level higher than Bronze. If you want to achieve Silver, Gold or Emerald, you may not use this option.
If you claim points for this practice, </t>
    </r>
    <r>
      <rPr>
        <b/>
        <u/>
        <sz val="10"/>
        <rFont val="Calibri"/>
        <family val="2"/>
        <scheme val="minor"/>
      </rPr>
      <t xml:space="preserve">skip the following sections:
</t>
    </r>
    <r>
      <rPr>
        <b/>
        <sz val="10"/>
        <rFont val="Calibri"/>
        <family val="2"/>
        <scheme val="minor"/>
      </rPr>
      <t xml:space="preserve">     * 701.3 - Adopting Entity review
     * 701.4 - Mandatory Practices
     * 702 - Performance Path
     * 703 - Prescriptive Path</t>
    </r>
    <r>
      <rPr>
        <b/>
        <u/>
        <sz val="10"/>
        <rFont val="Calibri"/>
        <family val="2"/>
        <scheme val="minor"/>
      </rPr>
      <t xml:space="preserve">
</t>
    </r>
    <r>
      <rPr>
        <sz val="10"/>
        <rFont val="Calibri"/>
        <family val="2"/>
        <scheme val="minor"/>
      </rPr>
      <t>You can claim points in Section 704 and Section 705 that count toward additional points needed for the project to reach the bronze level.</t>
    </r>
  </si>
  <si>
    <t>Energy Efficiency Requirements</t>
  </si>
  <si>
    <t>Section 703</t>
  </si>
  <si>
    <t>Section 704</t>
  </si>
  <si>
    <t>Section 702</t>
  </si>
  <si>
    <t>=sum</t>
  </si>
  <si>
    <t>EnergyPath</t>
  </si>
  <si>
    <t>Project Performance Status (Bronze, Silver, Gold, Emerald)</t>
  </si>
  <si>
    <t xml:space="preserve">Chapter 10: </t>
  </si>
  <si>
    <t xml:space="preserve">Chapter 9: </t>
  </si>
  <si>
    <t>Chapter 8:</t>
  </si>
  <si>
    <t xml:space="preserve">Chapter 7: </t>
  </si>
  <si>
    <t xml:space="preserve">Chapter 6: </t>
  </si>
  <si>
    <t xml:space="preserve">Chapter 5: </t>
  </si>
  <si>
    <t>All Chapters:</t>
  </si>
  <si>
    <t xml:space="preserve">Project Total: </t>
  </si>
  <si>
    <t>Bronze Min:</t>
  </si>
  <si>
    <t>Silver Min:</t>
  </si>
  <si>
    <t>Gold Min:</t>
  </si>
  <si>
    <t>Emerald Min:</t>
  </si>
  <si>
    <t>=projectValue</t>
  </si>
  <si>
    <t>A cell formatted like this in the Notes area indicates that additional information is required for verification and certification.</t>
  </si>
  <si>
    <t>This indicates a field that is "off limits". A value should not be entered because a special condition has been met (such as Alternative Bronze, Performance or Prescriptive Path in Chapter 7), or not met yet (such as choosing Single-Family or Multi-Unit in the General Project Description above).</t>
  </si>
  <si>
    <t>601.2 Structural systems are designed or construction techniques are implemented that reduce &amp; optimize material usage.</t>
  </si>
  <si>
    <r>
      <rPr>
        <b/>
        <sz val="10"/>
        <rFont val="Calibri"/>
        <family val="2"/>
        <scheme val="minor"/>
      </rPr>
      <t>601.2(1)</t>
    </r>
    <r>
      <rPr>
        <sz val="10"/>
        <rFont val="Calibri"/>
        <family val="2"/>
        <scheme val="minor"/>
      </rPr>
      <t xml:space="preserve"> Minimum structural member or element sizes necessary for strength and stiffness in accordance with advanced framing techniques or structural design standards are selected.</t>
    </r>
  </si>
  <si>
    <r>
      <rPr>
        <b/>
        <sz val="10"/>
        <rFont val="Calibri"/>
        <family val="2"/>
        <scheme val="minor"/>
      </rPr>
      <t>601.2(2)</t>
    </r>
    <r>
      <rPr>
        <sz val="10"/>
        <rFont val="Calibri"/>
        <family val="2"/>
        <scheme val="minor"/>
      </rPr>
      <t xml:space="preserve"> Higher-grade or higher-strength of the same materials than commonly specified for structural elements and components in the building are used and element or component sizes are reduced accordingly.</t>
    </r>
  </si>
  <si>
    <r>
      <rPr>
        <b/>
        <sz val="10"/>
        <rFont val="Calibri"/>
        <family val="2"/>
        <scheme val="minor"/>
      </rPr>
      <t>601.2(3)</t>
    </r>
    <r>
      <rPr>
        <sz val="10"/>
        <rFont val="Calibri"/>
        <family val="2"/>
        <scheme val="minor"/>
      </rPr>
      <t xml:space="preserve"> Performance-based structural design is used to optimize lateral force-resisting systems.</t>
    </r>
  </si>
  <si>
    <t>601.3 Building dimensions and layouts are designed to reduce material cuts &amp; waste. This practice is used for a minimum of 80% of the following areas:</t>
  </si>
  <si>
    <t>601.4 Detailed framing or structural plans, material quantity lists and on-site cut lists for framing, structural materials, and sheathing materials are provided.</t>
  </si>
  <si>
    <r>
      <t xml:space="preserve">601.5 Precut, preassembled, panelized, or precast assemblies are utilized for a minimum of 90% for the following system or building.
</t>
    </r>
    <r>
      <rPr>
        <b/>
        <i/>
        <sz val="10"/>
        <rFont val="Calibri"/>
        <family val="2"/>
        <scheme val="minor"/>
      </rPr>
      <t>Points can be claimed for 601.5(1-3) OR 601.5(4) OR 601.5(5).</t>
    </r>
  </si>
  <si>
    <t>601.6 Stories above grade are stacked, such as in 1½-story, 2-story, or greater structures.  The area of the upper story is a minimum of 50% of the area of the story below, based on areas with a minimum ceiling height of 7 feet (2134 mm).</t>
  </si>
  <si>
    <t>5 points per material or assembly</t>
  </si>
  <si>
    <t>2 points per material or assembly</t>
  </si>
  <si>
    <t>1 point per material or assembly.</t>
  </si>
  <si>
    <t>601.7(1) 90% or more of material</t>
  </si>
  <si>
    <t>601.7(2) 50% to &lt;90% of material</t>
  </si>
  <si>
    <t>601.7(3) 35% to &lt;50% of material</t>
  </si>
  <si>
    <t>602.1.1 Capillary breaks</t>
  </si>
  <si>
    <r>
      <t xml:space="preserve">602.1.1.1 </t>
    </r>
    <r>
      <rPr>
        <sz val="10"/>
        <color theme="1"/>
        <rFont val="Calibri"/>
        <family val="2"/>
      </rPr>
      <t>A capillary break and vapor retarder are installed at concrete slabs in accordance with ICC IRC Sections R506.2.2 and R506.2.3 or ICC IBC Sections 1910 and 1805.4.1.</t>
    </r>
  </si>
  <si>
    <r>
      <t xml:space="preserve">602.1.1.2 </t>
    </r>
    <r>
      <rPr>
        <sz val="10"/>
        <color theme="1"/>
        <rFont val="Calibri"/>
        <family val="2"/>
      </rPr>
      <t>Add a capillary break on footing to prevent moisture migration into foundation wall.</t>
    </r>
  </si>
  <si>
    <r>
      <t>602.1.2</t>
    </r>
    <r>
      <rPr>
        <sz val="10"/>
        <color theme="1"/>
        <rFont val="Calibri"/>
        <family val="2"/>
      </rPr>
      <t xml:space="preserve"> Enhanced foundation waterproofing is installed:
          (1) rubberized coating, or
          (2) drainage mat</t>
    </r>
  </si>
  <si>
    <t>602.1.3 Foundation Drainage</t>
  </si>
  <si>
    <r>
      <t xml:space="preserve">602.1.3.1 </t>
    </r>
    <r>
      <rPr>
        <sz val="10"/>
        <color theme="1"/>
        <rFont val="Calibri"/>
        <family val="2"/>
      </rPr>
      <t>Where required by the ICC IRC or IBC for habitable and usable spaces below grade, exterior drain tile is installed.</t>
    </r>
  </si>
  <si>
    <r>
      <t xml:space="preserve">602.1.3.2 </t>
    </r>
    <r>
      <rPr>
        <sz val="10"/>
        <color theme="1"/>
        <rFont val="Calibri"/>
        <family val="2"/>
      </rPr>
      <t>Interior and exterior foundation perimeter drains are installed and sloped to discharge to daylight, dry well, or sump pit.</t>
    </r>
  </si>
  <si>
    <t>602.1.4 Crawlspaces</t>
  </si>
  <si>
    <r>
      <t xml:space="preserve">602.1.4.1 </t>
    </r>
    <r>
      <rPr>
        <sz val="10"/>
        <color theme="1"/>
        <rFont val="Calibri"/>
        <family val="2"/>
      </rPr>
      <t>Vapor retarder in unconditioned vented crawlspace is in accordance with the following, as applicable. Joints of vapor retarder overlap a minimum of 6 inches (152 mm) and are taped.</t>
    </r>
  </si>
  <si>
    <r>
      <t xml:space="preserve">602.1.4.1(1) </t>
    </r>
    <r>
      <rPr>
        <sz val="10"/>
        <color theme="1"/>
        <rFont val="Calibri"/>
        <family val="2"/>
      </rPr>
      <t>Floors. Minimum 6 mil vapor retarder installed on the crawlspace floor and extended at least 6 inches up the wall and is attached and sealed to the wall.</t>
    </r>
  </si>
  <si>
    <r>
      <t xml:space="preserve">602.1.4.1(2) </t>
    </r>
    <r>
      <rPr>
        <sz val="10"/>
        <color theme="1"/>
        <rFont val="Calibri"/>
        <family val="2"/>
      </rPr>
      <t>Walls. Damp-proof walls are provided below finished grade.</t>
    </r>
  </si>
  <si>
    <r>
      <t xml:space="preserve">602.1.4.2 </t>
    </r>
    <r>
      <rPr>
        <sz val="10"/>
        <color theme="1"/>
        <rFont val="Calibri"/>
        <family val="2"/>
      </rPr>
      <t>Crawlspace that is built as a conditioned area is sealed to prevent outside air infiltration and provided with conditioned air at a rate not less than 0.02 cfm (.009 L/s) per square foot of horizontal area and one of the following is implemented:</t>
    </r>
  </si>
  <si>
    <r>
      <t xml:space="preserve">602.1.4.2(1) </t>
    </r>
    <r>
      <rPr>
        <sz val="10"/>
        <color theme="1"/>
        <rFont val="Calibri"/>
        <family val="2"/>
      </rPr>
      <t>Concrete slab over 6 mil polyethylene or polystyrene sheeting lapped a minimum of 6 inches (152 mm) and taped or sealed at the seams.</t>
    </r>
  </si>
  <si>
    <r>
      <t xml:space="preserve">602.1.4.2(2) </t>
    </r>
    <r>
      <rPr>
        <sz val="10"/>
        <color theme="1"/>
        <rFont val="Calibri"/>
        <family val="2"/>
      </rPr>
      <t>6 mil polyethylene sheeting, lapped a minimum of 6 inches (152 mm), and taped at the seams.</t>
    </r>
  </si>
  <si>
    <r>
      <t xml:space="preserve">602.1.5 </t>
    </r>
    <r>
      <rPr>
        <sz val="10"/>
        <color theme="1"/>
        <rFont val="Calibri"/>
        <family val="2"/>
      </rPr>
      <t>Continuous physical foundation termite barrier used with or without low toxicity treatment is installed in geographical areas that have subterranean termite infestation potential determined.</t>
    </r>
  </si>
  <si>
    <r>
      <t xml:space="preserve">602.1.6 </t>
    </r>
    <r>
      <rPr>
        <sz val="10"/>
        <color theme="1"/>
        <rFont val="Calibri"/>
        <family val="2"/>
      </rPr>
      <t>Termite-resistant materials are used as follows:</t>
    </r>
  </si>
  <si>
    <r>
      <t xml:space="preserve">602.1.6(1) </t>
    </r>
    <r>
      <rPr>
        <sz val="10"/>
        <color theme="1"/>
        <rFont val="Calibri"/>
        <family val="2"/>
      </rPr>
      <t>Areas of slight to moderate termite infestion probability</t>
    </r>
  </si>
  <si>
    <r>
      <t>602.1.6(2)</t>
    </r>
    <r>
      <rPr>
        <sz val="10"/>
        <color theme="1"/>
        <rFont val="Calibri"/>
        <family val="2"/>
      </rPr>
      <t xml:space="preserve"> Areas of moderate to heavy termite infestion probability</t>
    </r>
  </si>
  <si>
    <r>
      <t xml:space="preserve">602.1.6(3) </t>
    </r>
    <r>
      <rPr>
        <sz val="10"/>
        <color theme="1"/>
        <rFont val="Calibri"/>
        <family val="2"/>
      </rPr>
      <t>Areas of very heavy termite infestion probability</t>
    </r>
  </si>
  <si>
    <t>602.1.7 Moisture Control Measures</t>
  </si>
  <si>
    <r>
      <t xml:space="preserve">602.1.7.1 </t>
    </r>
    <r>
      <rPr>
        <sz val="10"/>
        <color theme="1"/>
        <rFont val="Calibri"/>
        <family val="2"/>
      </rPr>
      <t>Moisture control measures are in accordance with the following conditions.</t>
    </r>
  </si>
  <si>
    <r>
      <t xml:space="preserve">602.1.7.1(1) </t>
    </r>
    <r>
      <rPr>
        <sz val="10"/>
        <color theme="1"/>
        <rFont val="Calibri"/>
        <family val="2"/>
      </rPr>
      <t>Building materials with visible mold are not installed or are cleaned or encapsulated prior to concealment and closing.</t>
    </r>
  </si>
  <si>
    <r>
      <t>602.1.7.1(2)</t>
    </r>
    <r>
      <rPr>
        <sz val="10"/>
        <color theme="1"/>
        <rFont val="Calibri"/>
        <family val="2"/>
      </rPr>
      <t xml:space="preserve"> Insulation in cavities is dry in accordance with manufacturer’s installation instructions when enclosed (e.g., with drywall).</t>
    </r>
  </si>
  <si>
    <r>
      <t xml:space="preserve">602.1.7.1(3) </t>
    </r>
    <r>
      <rPr>
        <sz val="10"/>
        <color theme="1"/>
        <rFont val="Calibri"/>
        <family val="2"/>
      </rPr>
      <t>The moisture content of lumber is sampled to ensure it does not exceed 19% prior to the surface and/or wall cavity enclosure.</t>
    </r>
  </si>
  <si>
    <t>Mandatory
2 points if applicable</t>
  </si>
  <si>
    <r>
      <t xml:space="preserve">602.1.7.2 </t>
    </r>
    <r>
      <rPr>
        <sz val="10"/>
        <color theme="1"/>
        <rFont val="Calibri"/>
        <family val="2"/>
      </rPr>
      <t>Moisture content of subfloor, substrate, or concrete slabs is in accordance with the appropriate industry standard for the finish flooring to be applied.</t>
    </r>
  </si>
  <si>
    <r>
      <t xml:space="preserve">602.1.8 </t>
    </r>
    <r>
      <rPr>
        <sz val="10"/>
        <color theme="1"/>
        <rFont val="Calibri"/>
        <family val="2"/>
      </rPr>
      <t>Where required by the ICC IRC or IBC, a water-resistive barrier and/or drainage plane system is installed behind exterior veneer and/or siding.</t>
    </r>
  </si>
  <si>
    <r>
      <t xml:space="preserve">602.1.9 </t>
    </r>
    <r>
      <rPr>
        <sz val="10"/>
        <rFont val="Calibri"/>
        <family val="2"/>
        <scheme val="minor"/>
      </rPr>
      <t>Flashing is provided to minimize water entry into wall and roof assemblies and to direct water to exterior surfaces or exterior water-resistive barriers for drainage. Flashing details are provided in the construction documents and are in accordance with the fenestration manufacturer’s instructions, the flashing manufacturer’s instructions, or as detailed by a registered design professional.</t>
    </r>
  </si>
  <si>
    <r>
      <t>602.1.9(1)</t>
    </r>
    <r>
      <rPr>
        <sz val="10"/>
        <rFont val="Calibri"/>
        <family val="2"/>
        <scheme val="minor"/>
      </rPr>
      <t xml:space="preserve"> Flashing are installed at all of the following locations, as applicable:
(a) around exterior fenestrations, skylights and doors
(b) at roof valleys
(c) at deck, balcony, porch or stair to building intersections
(d) at roof-to-wall intersections, at roof-to-chimney intersections, at wall-to-chimney intersections, and at parapets.
(e) at ends of and under masonry, wood, or metal copings and sills
(f) above projecting wood trim
(g) at built-in roof gutters
(h) drip edge is installed at eaves and rake edges.</t>
    </r>
  </si>
  <si>
    <r>
      <t>602.1.9(2)</t>
    </r>
    <r>
      <rPr>
        <sz val="10"/>
        <rFont val="Calibri"/>
        <family val="2"/>
        <scheme val="minor"/>
      </rPr>
      <t xml:space="preserve"> All window head and jamb flashing are self-adhered flashing complying with AAMA 711-07.</t>
    </r>
  </si>
  <si>
    <r>
      <t xml:space="preserve">602.1.9(3) </t>
    </r>
    <r>
      <rPr>
        <sz val="10"/>
        <rFont val="Calibri"/>
        <family val="2"/>
        <scheme val="minor"/>
      </rPr>
      <t>Pan flashing is installed at sills of all exterior windows and doors.</t>
    </r>
  </si>
  <si>
    <r>
      <t>602.1.9(4)</t>
    </r>
    <r>
      <rPr>
        <sz val="10"/>
        <rFont val="Calibri"/>
        <family val="2"/>
        <scheme val="minor"/>
      </rPr>
      <t xml:space="preserve"> Seamless, preformed kickout flashing, or prefabricated metal with soldered seams is provided at all roof-to-wall intersections. The type and thickness of the material used for roof flashing including but not limited kickout and step flashing is commensurate with the anticipated service life of the roofing material.</t>
    </r>
  </si>
  <si>
    <r>
      <t>602.1.9(5)</t>
    </r>
    <r>
      <rPr>
        <sz val="10"/>
        <rFont val="Calibri"/>
        <family val="2"/>
        <scheme val="minor"/>
      </rPr>
      <t xml:space="preserve"> A rainscreen wall design is used for exterior wall assemblies.</t>
    </r>
  </si>
  <si>
    <r>
      <t xml:space="preserve">(a) </t>
    </r>
    <r>
      <rPr>
        <sz val="10"/>
        <rFont val="Calibri"/>
        <family val="2"/>
        <scheme val="minor"/>
      </rPr>
      <t>A system designed with minimum ¼” inch air space exterior to the water-resistive barrier, vented to the exterior at top and bottom of the wall and integrated with flashing details.</t>
    </r>
  </si>
  <si>
    <r>
      <t xml:space="preserve">(b) </t>
    </r>
    <r>
      <rPr>
        <sz val="10"/>
        <rFont val="Calibri"/>
        <family val="2"/>
        <scheme val="minor"/>
      </rPr>
      <t>Either a cladding material or a water-resistive barrier with enhanced drainage, meeting 75% drainage efficiency requirement of ASTM E2273.</t>
    </r>
  </si>
  <si>
    <r>
      <t xml:space="preserve">602.1.9(6) </t>
    </r>
    <r>
      <rPr>
        <sz val="10"/>
        <rFont val="Calibri"/>
        <family val="2"/>
        <scheme val="minor"/>
      </rPr>
      <t>Through wall flashing is installed at transitions between wall cladding materials, or wall construction types.</t>
    </r>
  </si>
  <si>
    <r>
      <t>602.1.9(7)</t>
    </r>
    <r>
      <rPr>
        <sz val="10"/>
        <rFont val="Calibri"/>
        <family val="2"/>
        <scheme val="minor"/>
      </rPr>
      <t xml:space="preserve"> Flashing is installed at expansion joints in stucco walls.</t>
    </r>
  </si>
  <si>
    <t>Above grade plane finished floor area:</t>
  </si>
  <si>
    <t>Total conditioned floor area:</t>
  </si>
  <si>
    <r>
      <t xml:space="preserve"> Additional renewable energy options.  Renewable energy system(s) is installed on the property (e.g., solar photovoltaic panels, building integrated photovoltaic system, wind energy system, on-site micro-hydro power system, active solar space heating system, solar thermal hydronic heating system, photovoltaic hybrid heating system).  
</t>
    </r>
    <r>
      <rPr>
        <b/>
        <i/>
        <sz val="10"/>
        <rFont val="Calibri"/>
        <family val="2"/>
        <scheme val="minor"/>
      </rPr>
      <t>Points awarded per 100 W of system rating per 2,000 square feet of  total conditioned floor area of the building.</t>
    </r>
    <r>
      <rPr>
        <sz val="10"/>
        <rFont val="Calibri"/>
        <family val="2"/>
        <scheme val="minor"/>
      </rPr>
      <t xml:space="preserve">
</t>
    </r>
  </si>
  <si>
    <t>County:</t>
  </si>
  <si>
    <r>
      <rPr>
        <b/>
        <sz val="10"/>
        <rFont val="Calibri"/>
        <family val="2"/>
        <scheme val="minor"/>
      </rPr>
      <t xml:space="preserve">Sun-tempered design. </t>
    </r>
    <r>
      <rPr>
        <sz val="10"/>
        <rFont val="Calibri"/>
        <family val="2"/>
        <scheme val="minor"/>
      </rPr>
      <t xml:space="preserve">Building orientation, sizing of glazing, and design of overhangs are in accordance with Sections 703.6.1(1-9).
</t>
    </r>
    <r>
      <rPr>
        <b/>
        <i/>
        <sz val="10"/>
        <rFont val="Calibri"/>
        <family val="2"/>
        <scheme val="minor"/>
      </rPr>
      <t>Points not available for Climate Zones 1, 2, &amp; 3.</t>
    </r>
  </si>
  <si>
    <t>Visual Inspection Option</t>
  </si>
  <si>
    <t>Testing Option</t>
  </si>
  <si>
    <t>Select the Visual Inspection Option [701.4.3.2(2)] 
OR 
Testing Option [701.4.3.2(1)] &amp; enter expected ACH50</t>
  </si>
  <si>
    <t>Rubberized coating</t>
  </si>
  <si>
    <t>Drainage mat</t>
  </si>
  <si>
    <t>countertops</t>
  </si>
  <si>
    <t>composite trim</t>
  </si>
  <si>
    <t>custom woodwork</t>
  </si>
  <si>
    <t>shelving</t>
  </si>
  <si>
    <r>
      <rPr>
        <b/>
        <sz val="10"/>
        <color rgb="FFFF0000"/>
        <rFont val="Calibri"/>
        <family val="2"/>
      </rPr>
      <t>NOTE:</t>
    </r>
    <r>
      <rPr>
        <sz val="10"/>
        <rFont val="Calibri"/>
        <family val="2"/>
      </rPr>
      <t xml:space="preserve"> See 704.5.3.</t>
    </r>
  </si>
  <si>
    <t>602.1.13</t>
  </si>
  <si>
    <r>
      <t>Passive solar heating design</t>
    </r>
    <r>
      <rPr>
        <sz val="10"/>
        <rFont val="Calibri"/>
        <family val="2"/>
        <scheme val="minor"/>
      </rPr>
      <t xml:space="preserve">. In addition to the sun-tempered design features in Section 703.6.1, all of Sections 703.6.4 (1-3) are implemented.
</t>
    </r>
    <r>
      <rPr>
        <b/>
        <i/>
        <sz val="10"/>
        <rFont val="Calibri"/>
        <family val="2"/>
        <scheme val="minor"/>
      </rPr>
      <t>Points not available for Climate Zones 1, 2, &amp; 3.</t>
    </r>
  </si>
  <si>
    <t>Enter the # of recessed luminaires penetrating the thermal envelope:</t>
  </si>
  <si>
    <r>
      <rPr>
        <b/>
        <sz val="10"/>
        <color rgb="FFFF0000"/>
        <rFont val="Calibri"/>
        <family val="2"/>
      </rPr>
      <t>NOTE:</t>
    </r>
    <r>
      <rPr>
        <sz val="10"/>
        <rFont val="Calibri"/>
        <family val="2"/>
      </rPr>
      <t xml:space="preserve"> Points are rewarded only for buildings that use natural draft combustion space and/or water heating equipment.</t>
    </r>
  </si>
  <si>
    <t>No masonry heater</t>
  </si>
  <si>
    <t>No factory-built wood-burning fireplace</t>
  </si>
  <si>
    <t>solid wood</t>
  </si>
  <si>
    <t>metal, glass, or non-emitting</t>
  </si>
  <si>
    <t>CDPH/EHLB Method V1.1</t>
  </si>
  <si>
    <t>Met plus window</t>
  </si>
  <si>
    <t>Climate Type:</t>
  </si>
  <si>
    <t>Climate Type</t>
  </si>
  <si>
    <t>Warm-Humid</t>
  </si>
  <si>
    <t>Dry</t>
  </si>
  <si>
    <t>Moist</t>
  </si>
  <si>
    <t>Marine</t>
  </si>
  <si>
    <t>One</t>
  </si>
  <si>
    <t>Two</t>
  </si>
  <si>
    <t>Three</t>
  </si>
  <si>
    <t>Four</t>
  </si>
  <si>
    <t>Five</t>
  </si>
  <si>
    <t>Six</t>
  </si>
  <si>
    <t>Seven</t>
  </si>
  <si>
    <t>Eight</t>
  </si>
  <si>
    <t>Subarctic/Arctic</t>
  </si>
  <si>
    <t>30 points if Alternative Bronze Path is chosen</t>
  </si>
  <si>
    <t>Enter expected ACH50 result:</t>
  </si>
  <si>
    <t>704.5.2.1_1</t>
  </si>
  <si>
    <r>
      <rPr>
        <b/>
        <sz val="10"/>
        <color rgb="FFFF0000"/>
        <rFont val="Calibri"/>
        <family val="2"/>
      </rPr>
      <t>NOTE:</t>
    </r>
    <r>
      <rPr>
        <sz val="10"/>
        <rFont val="Calibri"/>
        <family val="2"/>
      </rPr>
      <t xml:space="preserve"> If points are awarded in 703.1.1, they cannot be awarded in section 703.1.2.
In the assigned Notes area, </t>
    </r>
    <r>
      <rPr>
        <b/>
        <sz val="10"/>
        <rFont val="Calibri"/>
        <family val="2"/>
      </rPr>
      <t>list the third party grader</t>
    </r>
    <r>
      <rPr>
        <sz val="10"/>
        <rFont val="Calibri"/>
        <family val="2"/>
      </rPr>
      <t>.</t>
    </r>
  </si>
  <si>
    <r>
      <t>Wood materials</t>
    </r>
    <r>
      <rPr>
        <sz val="10"/>
        <color theme="1"/>
        <rFont val="Calibri"/>
        <family val="2"/>
        <scheme val="minor"/>
      </rPr>
      <t xml:space="preserve">. A minimum of 85% of material within a product group (i.e., wood structural panels, countertops, composite trim/doors, custom woodwork, and/or component closet shelving) is manufactured in accordance with the following:
</t>
    </r>
    <r>
      <rPr>
        <b/>
        <u/>
        <sz val="10"/>
        <color theme="1"/>
        <rFont val="Calibri"/>
        <family val="2"/>
        <scheme val="minor"/>
      </rPr>
      <t>Claim points for all that apply from (2)-(6) below. Select a product group only once.</t>
    </r>
  </si>
  <si>
    <r>
      <t xml:space="preserve">A minimum of 10 percent of the conditioned floor space has carpet and at least 85 percent of installed carpet area and/or carpet cushion (padding) are in accordance with the emission levels of CDPH/EHLB Standard Method v1.1 except footnote b in Table 4.1 does not apply (i.e., allowable maximum formaldehyde concentration is 16.5 µg/m3 (13.5 ppb)). Product is tested by a laboratory with the CDPH/EHLB Standard Method v1.1 within the laboratory scope of accreditation to ISO/IEC 17025 and certified by a third-party program accredited to ISO Guide 65, such as, but not limited to, those in Appendix D.
</t>
    </r>
    <r>
      <rPr>
        <b/>
        <u/>
        <sz val="10"/>
        <color theme="1"/>
        <rFont val="Calibri"/>
        <family val="2"/>
        <scheme val="minor"/>
      </rPr>
      <t>Claim points for all that apply from (a)-(b) below:</t>
    </r>
  </si>
  <si>
    <r>
      <rPr>
        <b/>
        <sz val="10"/>
        <color theme="1"/>
        <rFont val="Calibri"/>
        <family val="2"/>
        <scheme val="minor"/>
      </rPr>
      <t>Hard-surface flooring</t>
    </r>
    <r>
      <rPr>
        <sz val="10"/>
        <color theme="1"/>
        <rFont val="Calibri"/>
        <family val="2"/>
        <scheme val="minor"/>
      </rPr>
      <t>.A minimum of 10 percent of the conditioned floor space has pre-finished hard-surface flooring installed and a minimum of 85 percent of all prefinished installed hard-surface flooring is in accordance with the emission concentration limits of CDPH/EHLB Standard Method v1.1 except footnote b in Table 4.1 does not apply (i.e., allowable maximum formaldehyde concentration is 16.5 µg/m3 (13.5 ppb)). Emission levels are determined by a laboratory accredited to ISO/IEC 17025 and the CDPH/EHLB Standard Method v1.1 is in its  scope of accreditation.  The product is certified by a third-party program accredited to ISO Guide 65, such as, but not limited to, those found in Appendix D.
Where post-manufacture coatings or surface applications have not been applied, the following hard surface flooring types are deemed to comply with the emission requirements of this section:
     (a) Ceramic tile flooring
     (b) Organic-free, mineral-based flooring
     (c) Clay masonry flooring
     (d) Concrete masonry flooring
     (e) Concrete flooring
     (f) Metal flooring
     (g) Glass</t>
    </r>
  </si>
  <si>
    <r>
      <rPr>
        <b/>
        <sz val="10"/>
        <color theme="1"/>
        <rFont val="Calibri"/>
        <family val="2"/>
        <scheme val="minor"/>
      </rPr>
      <t>Wall coverings</t>
    </r>
    <r>
      <rPr>
        <sz val="10"/>
        <color theme="1"/>
        <rFont val="Calibri"/>
        <family val="2"/>
        <scheme val="minor"/>
      </rPr>
      <t>. A minimum of 10 percent of the interior wall surfaces are covered and a minimum of 85 percent of wall coverings are in accordance with the emission concentration limits of CDPH/EHLB Standard Method v1.1 except footnote b in Table 4.1 does not apply (i.e., allowable maximum formaldehyde concentration is 16.5 µg/m3 (13.5 ppb)). Emission levels are determined by a laboratory accredited to ISO/IEC 17025 and the CDPH/EHLB Standard Method v1.1 is in its scope. The product is certified by a third-party program accredited to ISO Guide 65, such as, but not limited to, those in Appendix D.</t>
    </r>
  </si>
  <si>
    <t>Site-applied interior architectural coatings, which are inside the water proofing envelope, are in accordance with the emission levels of CDPH/EHLB Standard Method v1.1 , except footnote b in Table 4.1 does not apply (i.e., allowable maximum formaldehyde concentration is 16.5 µg/m3 (13.5 ppb)). Emission levels are determined by a laboratory accredited to ISO/IEC 17025 and the CDPH/EHLB Standard Method v1.1 in its scope of accreditation.  The product is certified by a third-party program accredited to ISO Guide 65, such as, but not limited to, those found in Appendix D.</t>
  </si>
  <si>
    <t>The emission levels are in accordance with CDPH/EHLB Standard Method v1.1  except footnote b in Table 4.1 does not apply (i.e., allowable maximum formaldehyde concentration is 16.5 µg/m3 (13.5 ppb)). Emission levels are determined by a laboratory accredited to ISO/IEC 17025 and the CDPH/EHLB Standard Method v1.1 is in its scope of accreditation. The product is certified by a third-party program accredited to ISO Guide 65, such as, but not limited to, those found in Appendix D.</t>
  </si>
  <si>
    <r>
      <t>Insulation</t>
    </r>
    <r>
      <rPr>
        <sz val="10"/>
        <color theme="1"/>
        <rFont val="Calibri"/>
        <family val="2"/>
        <scheme val="minor"/>
      </rPr>
      <t>. Emissions of 85 percent of wall, ceiling, and floor insulation materials are in accordance with the emission levels of CDPH/EHLB Standard Method v1.1 except footnote b in Table 4.1 does not apply (i.e., allowable maximum formaldehyde concentration is 16.5 µg/m3 (13.5 ppb)). Emission levels are determined by a laboratory accredited to ISO/IEC 17025 and the CDPH/EHLB Standard Method v1.1 is in its scope of accreditation. Insulation is certified by a third-party program accredited to ISO Guide 65, such as, but not limited to, those in Appendix D.</t>
    </r>
  </si>
  <si>
    <t>2 pts</t>
  </si>
  <si>
    <t>6 pts</t>
  </si>
  <si>
    <t>9 pts</t>
  </si>
  <si>
    <t>10 pts</t>
  </si>
  <si>
    <t>8 pts</t>
  </si>
  <si>
    <t>4 pts</t>
  </si>
  <si>
    <r>
      <t xml:space="preserve">Two or more products with the same intended use are compared based on LCA and the product with at least a 15% average improvement is selected. Number of points awarded is based on the number of environmental impact measures compared. The environmental impact measures to be considered are chosen from the following:
     (a) Fossil fuel consumption;  (b) Global warming potential; (c) Acidification potential; (d) Eutrophication potential; (e) Ozone depletion potential
</t>
    </r>
    <r>
      <rPr>
        <b/>
        <sz val="9"/>
        <color theme="1"/>
        <rFont val="Calibri"/>
        <family val="2"/>
        <scheme val="minor"/>
      </rPr>
      <t>(Points awarded per product/system comparison.)</t>
    </r>
  </si>
  <si>
    <t>Points per Table 610.1.2(2)</t>
  </si>
  <si>
    <t>15 points for 610.1.1
10 points max. for 610.1.2</t>
  </si>
  <si>
    <t>3pts</t>
  </si>
  <si>
    <t># of product comparisons</t>
  </si>
  <si>
    <t>5+</t>
  </si>
  <si>
    <r>
      <rPr>
        <b/>
        <sz val="9"/>
        <color rgb="FFFF0000"/>
        <rFont val="Calibri"/>
        <family val="2"/>
      </rPr>
      <t>NOTE:</t>
    </r>
    <r>
      <rPr>
        <sz val="9"/>
        <rFont val="Calibri"/>
        <family val="2"/>
      </rPr>
      <t xml:space="preserve"> List products/systems compared &amp; impact measures considered in the assigned Notes area.</t>
    </r>
  </si>
  <si>
    <r>
      <rPr>
        <sz val="9"/>
        <color rgb="FFFF0000"/>
        <rFont val="Calibri"/>
        <family val="2"/>
      </rPr>
      <t>NOTE:</t>
    </r>
    <r>
      <rPr>
        <sz val="9"/>
        <rFont val="Calibri"/>
        <family val="2"/>
      </rPr>
      <t xml:space="preserve"> List assemblies compared &amp; impact measures considered in the assigned Notes area.</t>
    </r>
  </si>
  <si>
    <t>Pick type of landscape plan:</t>
  </si>
  <si>
    <t>0% or WaterSense</t>
  </si>
  <si>
    <t>&gt;0% - &lt;20%</t>
  </si>
  <si>
    <t>20% - &lt;40%</t>
  </si>
  <si>
    <t>40% - 60%</t>
  </si>
  <si>
    <r>
      <rPr>
        <b/>
        <sz val="9"/>
        <color theme="1"/>
        <rFont val="Calibri"/>
        <family val="2"/>
        <scheme val="minor"/>
      </rPr>
      <t>Building assembly LCA.</t>
    </r>
    <r>
      <rPr>
        <sz val="9"/>
        <color theme="1"/>
        <rFont val="Calibri"/>
        <family val="2"/>
        <scheme val="minor"/>
      </rPr>
      <t xml:space="preserve">  A building assembly with improved environmental impact measures compared to an alternative assembly of the same function is selected. The full life cycle, from resource extraction to demolition and disposal (including but not limited to on-site construction, maintenance and replacement, material and product embodied acquisition, and process and transportation energy), is assessed. The assessment includes all structural elements, insulation, and wall coverings of the assembly. The assessment does not include electrical and mechanical equipment and controls, plumbing products, fire detection and alarm systems, elevators, and conveying systems. The following types of building assemblies are eligible for points under this practice:
     (a) exterior walls; (b) roof/ceiling; (c) interior walls or ceilings; (d) intermediate floors
</t>
    </r>
    <r>
      <rPr>
        <b/>
        <sz val="9"/>
        <color theme="1"/>
        <rFont val="Calibri"/>
        <family val="2"/>
        <scheme val="minor"/>
      </rPr>
      <t>Exceptions:</t>
    </r>
    <r>
      <rPr>
        <sz val="9"/>
        <color theme="1"/>
        <rFont val="Calibri"/>
        <family val="2"/>
        <scheme val="minor"/>
      </rPr>
      <t xml:space="preserve"> Electrical and mechanical equipment and controls, plumbing products, fire detection and alarm systems, elevators, and conveying systems are not included in the assessment.
The environmental impact measures to be considered are chosen from the following:
     (a) Fossil fuel consumption; (b) Global warming potential; (c) Acidification potential; (d) Eutrophication potential; (e) Ozone depletion potential
</t>
    </r>
    <r>
      <rPr>
        <b/>
        <sz val="9"/>
        <color theme="1"/>
        <rFont val="Calibri"/>
        <family val="2"/>
        <scheme val="minor"/>
      </rPr>
      <t>(Points are awarded based on the number types of building assemblies that improve upon environmental impact measures by an average of 15%.)</t>
    </r>
  </si>
  <si>
    <t># of Types of Building Assemblies</t>
  </si>
  <si>
    <t>4 Impact Measures</t>
  </si>
  <si>
    <t>5 Impact Measures</t>
  </si>
  <si>
    <t>3 points</t>
  </si>
  <si>
    <r>
      <t>801.1.1(5)</t>
    </r>
    <r>
      <rPr>
        <sz val="10"/>
        <rFont val="Calibri"/>
        <family val="2"/>
        <scheme val="minor"/>
      </rPr>
      <t xml:space="preserve"> A central hot water recirculation system is implemented in multi-unit buildings in which the hot water line distance from the recirculating loop to the engineered parallel piping system (i.e., manifold system) is less than 30 feet (9144 mm) and the parallel piping to the fixture fittings contains a maximum of 64 ounces (1.89 liters) (115.50 cubic inches) (0.50 gallons).</t>
    </r>
  </si>
  <si>
    <r>
      <t xml:space="preserve">801.1.1(6) </t>
    </r>
    <r>
      <rPr>
        <sz val="10"/>
        <rFont val="Calibri"/>
        <family val="2"/>
        <scheme val="minor"/>
      </rPr>
      <t>Tankless water heater(s) with at least 0.5 gallon (1.89 liters) of storage are installed or a tankless water heater that ramps up to at least 110F within 5 seconds is installed. The storage may be internal or external to the tankless water heater.</t>
    </r>
  </si>
  <si>
    <t xml:space="preserve">801.2 ENERGY STAR or equivalent water conserving appliances are installed. </t>
  </si>
  <si>
    <r>
      <t>801.2(2)(a)</t>
    </r>
    <r>
      <rPr>
        <sz val="10"/>
        <rFont val="Calibri"/>
        <family val="2"/>
        <scheme val="minor"/>
      </rPr>
      <t xml:space="preserve"> washing machine with a water factor of &gt;6.0</t>
    </r>
  </si>
  <si>
    <r>
      <t>801.2(2)(b)</t>
    </r>
    <r>
      <rPr>
        <sz val="10"/>
        <rFont val="Calibri"/>
        <family val="2"/>
        <scheme val="minor"/>
      </rPr>
      <t xml:space="preserve"> washing machine with a water factor of ≤6.0</t>
    </r>
  </si>
  <si>
    <t>801.3 Showerheads are in accordance with the following:</t>
  </si>
  <si>
    <r>
      <t>801.3(1)</t>
    </r>
    <r>
      <rPr>
        <sz val="10"/>
        <rFont val="Calibri"/>
        <family val="2"/>
        <scheme val="minor"/>
      </rPr>
      <t xml:space="preserve"> The total maximum combined flow rate of all showerheads controlled by a single valve at any point in time in a shower compartment is 1.6 to less than 2.5 gpm. Maximum of two valves are installed per shower compartment. The flow rate is tested at 80 psi (552 kPa) in accordance with ASME A112.18.1. Showerheads are served by an automatic compensating valve that complies with ASSE 1016 or ASME A112.18.1 and specifically designed to provide thermal shock and scald protection at the flow rate of the showerhead.</t>
    </r>
  </si>
  <si>
    <r>
      <t>801.3(2)</t>
    </r>
    <r>
      <rPr>
        <sz val="10"/>
        <rFont val="Calibri"/>
        <family val="2"/>
        <scheme val="minor"/>
      </rPr>
      <t xml:space="preserve"> All shower compartments in the dwelling units and common areas meet the requirements of 801.3(1).</t>
    </r>
  </si>
  <si>
    <r>
      <t>801.3(3)</t>
    </r>
    <r>
      <rPr>
        <sz val="10"/>
        <rFont val="Calibri"/>
        <family val="2"/>
        <scheme val="minor"/>
      </rPr>
      <t xml:space="preserve"> Any control that can shut off water flow without affecting temperature is installed.</t>
    </r>
  </si>
  <si>
    <t>801.4.1</t>
  </si>
  <si>
    <r>
      <rPr>
        <b/>
        <sz val="10"/>
        <color rgb="FFFF0000"/>
        <rFont val="Calibri"/>
        <family val="2"/>
      </rPr>
      <t>NOTE:</t>
    </r>
    <r>
      <rPr>
        <sz val="10"/>
        <rFont val="Calibri"/>
        <family val="2"/>
      </rPr>
      <t xml:space="preserve"> Points must be claimed for 801.4.1(1) in order to claim points for 801.4.1(2).</t>
    </r>
  </si>
  <si>
    <t>801.4.2</t>
  </si>
  <si>
    <t>All water closets are in accordance with Section 801.5(2).</t>
  </si>
  <si>
    <t>Dual flush (or other) water closets are used that have a flush volume of 1.2 gallons or less and comply with 801.5(2); and all other water closets comply with 801.5(2).</t>
  </si>
  <si>
    <r>
      <rPr>
        <b/>
        <sz val="10"/>
        <color rgb="FFFF0000"/>
        <rFont val="Calibri"/>
        <family val="2"/>
      </rPr>
      <t>NOTE:</t>
    </r>
    <r>
      <rPr>
        <sz val="10"/>
        <rFont val="Calibri"/>
        <family val="2"/>
      </rPr>
      <t xml:space="preserve"> Points must be claimed for 801.5(3) in order to claim points for 801.5(3)(a).</t>
    </r>
  </si>
  <si>
    <t>One or more urinals are installed with a flush volume of 0.5 gallons (1.9L) or less when tested in accordance with ASME A112.19.2 and all other water closets comply with 801.5(2).</t>
  </si>
  <si>
    <r>
      <rPr>
        <b/>
        <sz val="10"/>
        <color rgb="FFFF0000"/>
        <rFont val="Calibri"/>
        <family val="2"/>
      </rPr>
      <t>NOTE:</t>
    </r>
    <r>
      <rPr>
        <sz val="10"/>
        <rFont val="Calibri"/>
        <family val="2"/>
      </rPr>
      <t xml:space="preserve"> Points must be claimed for 801.5(3) in order to claim points for 801.5(3)(b).</t>
    </r>
  </si>
  <si>
    <t>One or more composting or waterless toilets and/or urinals are installed and all other water closets comply with 801.5(2).</t>
  </si>
  <si>
    <r>
      <rPr>
        <b/>
        <sz val="10"/>
        <color rgb="FFFF0000"/>
        <rFont val="Calibri"/>
        <family val="2"/>
      </rPr>
      <t>NOTE:</t>
    </r>
    <r>
      <rPr>
        <sz val="10"/>
        <rFont val="Calibri"/>
        <family val="2"/>
      </rPr>
      <t xml:space="preserve"> Points must be claimed for 801.5(3) in order to claim points for 801.5(3)(c).</t>
    </r>
  </si>
  <si>
    <t>801.6.1</t>
  </si>
  <si>
    <t>801.6.2</t>
  </si>
  <si>
    <t>801.6.3</t>
  </si>
  <si>
    <t>801.6.4</t>
  </si>
  <si>
    <t>801.6.5</t>
  </si>
  <si>
    <t>801.4  Faucets.</t>
  </si>
  <si>
    <r>
      <t>801.4.1</t>
    </r>
    <r>
      <rPr>
        <sz val="10"/>
        <rFont val="Calibri"/>
        <family val="2"/>
        <scheme val="minor"/>
      </rPr>
      <t xml:space="preserve"> Water-efficient lavatory faucets with 1.5 gpm (5.68 L/m) or less maximum flow rate when tested at 60 psi (414 kPa) in accordance with ASME A112.18.1 are installed:</t>
    </r>
  </si>
  <si>
    <r>
      <t>801.4.1(1)</t>
    </r>
    <r>
      <rPr>
        <sz val="10"/>
        <rFont val="Calibri"/>
        <family val="2"/>
        <scheme val="minor"/>
      </rPr>
      <t xml:space="preserve">  ALL lavatory faucets per bathroom comply.</t>
    </r>
  </si>
  <si>
    <r>
      <t>801.4.1(2)</t>
    </r>
    <r>
      <rPr>
        <sz val="10"/>
        <rFont val="Calibri"/>
        <family val="2"/>
        <scheme val="minor"/>
      </rPr>
      <t xml:space="preserve"> ALL lavatory faucets per dwelling unit comply.</t>
    </r>
  </si>
  <si>
    <r>
      <t xml:space="preserve">801.4.2 </t>
    </r>
    <r>
      <rPr>
        <sz val="10"/>
        <rFont val="Calibri"/>
        <family val="2"/>
        <scheme val="minor"/>
      </rPr>
      <t>Self-closing valve, motion sensor, metering, or pedal-activated faucet is installed to enable intermittent on/off operation.</t>
    </r>
  </si>
  <si>
    <t>801.5 Water closets and urinals are in accordance with the following:</t>
  </si>
  <si>
    <r>
      <t xml:space="preserve">801.5(1) </t>
    </r>
    <r>
      <rPr>
        <sz val="10"/>
        <rFont val="Calibri"/>
        <family val="2"/>
        <scheme val="minor"/>
      </rPr>
      <t>Water closets and urinals installed meet the following conditions:
              (a) All water closets are 1.28 gallons per flush or less and all urinals are 
                     0.5 gallons per flush or less, OR
              (b) All water closets and urinals are waterless or composting.</t>
    </r>
  </si>
  <si>
    <r>
      <t>801.5(2)</t>
    </r>
    <r>
      <rPr>
        <sz val="10"/>
        <rFont val="Calibri"/>
        <family val="2"/>
        <scheme val="minor"/>
      </rPr>
      <t xml:space="preserve"> A water closet is installed with an effective flush volume of 1.28 gallons (4.85 L) or less when tested in accordance with ASME A112.19.2/CSA B45.1 (all water closets) or when tested in accordance with ASME A112.19.14 (all dual flush water closets), and is in accordance with EPA WaterSense Tank-Type High-Efficiency Toilet.</t>
    </r>
  </si>
  <si>
    <r>
      <t>801.5(3)</t>
    </r>
    <r>
      <rPr>
        <sz val="10"/>
        <rFont val="Calibri"/>
        <family val="2"/>
        <scheme val="minor"/>
      </rPr>
      <t xml:space="preserve"> All water closets are in accordance with Section 801.5(2).</t>
    </r>
  </si>
  <si>
    <r>
      <t xml:space="preserve">801.5(3)(a) </t>
    </r>
    <r>
      <rPr>
        <sz val="10"/>
        <rFont val="Calibri"/>
        <family val="2"/>
        <scheme val="minor"/>
      </rPr>
      <t>Dual flush (or other) water closets are used that have a flush volume of 1.2 gallons or less and comply with 801.5(2); and all other water closets comply with 801.5(2).</t>
    </r>
  </si>
  <si>
    <r>
      <t xml:space="preserve">801.5(3)(b) </t>
    </r>
    <r>
      <rPr>
        <sz val="10"/>
        <rFont val="Calibri"/>
        <family val="2"/>
        <scheme val="minor"/>
      </rPr>
      <t>One or more urinals are installed with a flush volume of 0.5 gallons (1.9L) or less when tested in accordance with ASME A112.19.2 and all other water closets comply with 801.6(2).</t>
    </r>
  </si>
  <si>
    <r>
      <t>801.5(3)(c)</t>
    </r>
    <r>
      <rPr>
        <sz val="10"/>
        <rFont val="Calibri"/>
        <family val="2"/>
        <scheme val="minor"/>
      </rPr>
      <t xml:space="preserve"> One or more composting or waterless toilets and/or urinals are installed and all other water closets comply with 801.6(2).</t>
    </r>
  </si>
  <si>
    <r>
      <t>801.6</t>
    </r>
    <r>
      <rPr>
        <sz val="10"/>
        <rFont val="Calibri"/>
        <family val="2"/>
        <scheme val="minor"/>
      </rPr>
      <t xml:space="preserve"> </t>
    </r>
    <r>
      <rPr>
        <b/>
        <sz val="10"/>
        <rFont val="Calibri"/>
        <family val="2"/>
        <scheme val="minor"/>
      </rPr>
      <t>Irrigation systems.</t>
    </r>
  </si>
  <si>
    <r>
      <t>801.6.1</t>
    </r>
    <r>
      <rPr>
        <sz val="10"/>
        <rFont val="Calibri"/>
        <family val="2"/>
        <scheme val="minor"/>
      </rPr>
      <t xml:space="preserve">  Multi-stream, multi-trajectory rotating nozzles are installed in lieu of spray nozzles for turf or landscaping.</t>
    </r>
  </si>
  <si>
    <r>
      <t xml:space="preserve">801.6.2(1) </t>
    </r>
    <r>
      <rPr>
        <sz val="10"/>
        <rFont val="Calibri"/>
        <family val="2"/>
        <scheme val="minor"/>
      </rPr>
      <t>Drip irrigation is installed for landscape beds.</t>
    </r>
  </si>
  <si>
    <r>
      <t>801.6.2(2)</t>
    </r>
    <r>
      <rPr>
        <sz val="10"/>
        <rFont val="Calibri"/>
        <family val="2"/>
        <scheme val="minor"/>
      </rPr>
      <t xml:space="preserve"> Subsurface drip is installed for turf grass areas.</t>
    </r>
  </si>
  <si>
    <r>
      <t xml:space="preserve">801.6.3 </t>
    </r>
    <r>
      <rPr>
        <sz val="10"/>
        <rFont val="Calibri"/>
        <family val="2"/>
        <scheme val="minor"/>
      </rPr>
      <t>Landscape Plan &amp; Implementation are executed by a certified WaterSense Professional or equivalent as approved by adopting entity.</t>
    </r>
  </si>
  <si>
    <r>
      <t>801.6.4</t>
    </r>
    <r>
      <rPr>
        <sz val="10"/>
        <rFont val="Calibri"/>
        <family val="2"/>
        <scheme val="minor"/>
      </rPr>
      <t xml:space="preserve"> Drip Irrigation Zones Implemented show plant type by name and water use or need for each emitter.</t>
    </r>
  </si>
  <si>
    <r>
      <t xml:space="preserve">801.6.5 </t>
    </r>
    <r>
      <rPr>
        <sz val="10"/>
        <rFont val="Calibri"/>
        <family val="2"/>
        <scheme val="minor"/>
      </rPr>
      <t>The irrigation system(s) is controlled by a smart controller.</t>
    </r>
  </si>
  <si>
    <t>Rainwater is diverted for landscape irrigation without impermeable water storage.</t>
  </si>
  <si>
    <r>
      <t>(1)</t>
    </r>
    <r>
      <rPr>
        <sz val="10"/>
        <rFont val="Calibri"/>
        <family val="2"/>
        <scheme val="minor"/>
      </rPr>
      <t xml:space="preserve"> Rainwater is diverted for landscape irrigation without impermeable water storage.</t>
    </r>
  </si>
  <si>
    <r>
      <t>(2)</t>
    </r>
    <r>
      <rPr>
        <sz val="10"/>
        <rFont val="Calibri"/>
        <family val="2"/>
        <scheme val="minor"/>
      </rPr>
      <t xml:space="preserve"> Rainwater is diverted for landscape irrigation with impermeable water storage.</t>
    </r>
  </si>
  <si>
    <r>
      <t xml:space="preserve">(d) </t>
    </r>
    <r>
      <rPr>
        <sz val="10"/>
        <rFont val="Calibri"/>
        <family val="2"/>
        <scheme val="minor"/>
      </rPr>
      <t>All irrigation demands are met by rainwater capture</t>
    </r>
  </si>
  <si>
    <r>
      <t xml:space="preserve">(b) </t>
    </r>
    <r>
      <rPr>
        <sz val="10"/>
        <rFont val="Calibri"/>
        <family val="2"/>
        <scheme val="minor"/>
      </rPr>
      <t>500-2499 gallon storage capacity</t>
    </r>
  </si>
  <si>
    <r>
      <t xml:space="preserve">(a) </t>
    </r>
    <r>
      <rPr>
        <sz val="10"/>
        <rFont val="Calibri"/>
        <family val="2"/>
        <scheme val="minor"/>
      </rPr>
      <t>50-499 gallon storage capacity</t>
    </r>
  </si>
  <si>
    <t>2500+ gallon or larger storage capacity
(system is designed by a professional certified by The American Rainwater Catchment Systems Association or equivalent)</t>
  </si>
  <si>
    <r>
      <t xml:space="preserve">(c) </t>
    </r>
    <r>
      <rPr>
        <sz val="10"/>
        <rFont val="Calibri"/>
        <family val="2"/>
        <scheme val="minor"/>
      </rPr>
      <t>2500+ gallon storage capacity</t>
    </r>
  </si>
  <si>
    <r>
      <t xml:space="preserve">801.7.2 </t>
    </r>
    <r>
      <rPr>
        <sz val="10"/>
        <rFont val="Calibri"/>
        <family val="2"/>
        <scheme val="minor"/>
      </rPr>
      <t>Rainwater is used for interior demand in the following way (system is designed by a professional certified by The American Rainwater Catchment Systems Association or equivalent).</t>
    </r>
  </si>
  <si>
    <r>
      <t xml:space="preserve">801.7.1 </t>
    </r>
    <r>
      <rPr>
        <sz val="10"/>
        <rFont val="Calibri"/>
        <family val="2"/>
        <scheme val="minor"/>
      </rPr>
      <t>Rainwater is used for irrigation in accordance with one of the following:</t>
    </r>
  </si>
  <si>
    <t>801.8 Water filter is installed to reduce sediment and protect plumbing fixtures for the whole building or whole dwelling unit.</t>
  </si>
  <si>
    <t>802.1 Reclaimed, gray, or recycled water is used as permitted by applicable code.</t>
  </si>
  <si>
    <t>802.2 One of following automatic shutoff water supply devices is installed. Where a fire sprinkler system is present, installer is to ensure the device will not interfere with the operation of the fire sprinkler system.</t>
  </si>
  <si>
    <t>802.3 An Engineered Biological System or Intensive Bioremediation System is installed and the treated water is used on site. Design and implementation is approved by appropriate regional authority.</t>
  </si>
  <si>
    <t>802.4 Where a humidifier is required, a recirculating humidifier is used in lieu of a traditional “flow through” type.</t>
  </si>
  <si>
    <t>802.5 Advanced wastewater (aerobic) treatment system is installed and treated water is used on site.</t>
  </si>
  <si>
    <r>
      <t xml:space="preserve">(1) </t>
    </r>
    <r>
      <rPr>
        <sz val="10"/>
        <rFont val="Calibri"/>
        <family val="2"/>
        <scheme val="minor"/>
      </rPr>
      <t>The maximum volume from the water heater to the termination of the fixture supply at furthest fixture is 128 ounces (1 gallon or 3.78 liters).</t>
    </r>
  </si>
  <si>
    <r>
      <t xml:space="preserve">(2) </t>
    </r>
    <r>
      <rPr>
        <sz val="10"/>
        <rFont val="Calibri"/>
        <family val="2"/>
        <scheme val="minor"/>
      </rPr>
      <t>The maximum volume from the water heater to the termination of the fixture supply at furthest fixture is 64 ounces (0.5 gallon or 1.89 liters).</t>
    </r>
  </si>
  <si>
    <r>
      <rPr>
        <b/>
        <sz val="10"/>
        <rFont val="Calibri"/>
        <family val="2"/>
        <scheme val="minor"/>
      </rPr>
      <t>(3)</t>
    </r>
    <r>
      <rPr>
        <sz val="10"/>
        <rFont val="Calibri"/>
        <family val="2"/>
        <scheme val="minor"/>
      </rPr>
      <t xml:space="preserve"> The maximum volume from the water heater to the termination of the fixture supply at furthest fixture is 32 ounces (0.25 gallon or 0.945 liters).</t>
    </r>
  </si>
  <si>
    <r>
      <t>(4)</t>
    </r>
    <r>
      <rPr>
        <sz val="10"/>
        <rFont val="Calibri"/>
        <family val="2"/>
        <scheme val="minor"/>
      </rPr>
      <t xml:space="preserve"> A demand controlled hot water priming pump is installed on the main supply pipe of the circulation loop and the maximum volume from this supply pipe to the furthest fixture is 24 ounces (0.19 gallons or 0.71 liters).</t>
    </r>
  </si>
  <si>
    <r>
      <t>(4)(a)</t>
    </r>
    <r>
      <rPr>
        <sz val="10"/>
        <rFont val="Calibri"/>
        <family val="2"/>
        <scheme val="minor"/>
      </rPr>
      <t xml:space="preserve"> 801.1(4) is met AND the volume in the circulation loop (supply) from the water heater or boiler to the branch for the furthest fixture is no more than 128 ounces (1 gallon or 3.78 liters).</t>
    </r>
  </si>
  <si>
    <r>
      <t xml:space="preserve">1001.1  A building owner's manual is provided that includes the following conditions, as available and applicable.   </t>
    </r>
    <r>
      <rPr>
        <i/>
        <sz val="10"/>
        <color theme="1"/>
        <rFont val="Calibri"/>
        <family val="2"/>
        <scheme val="minor"/>
      </rPr>
      <t>(Points awarded per two items.  Points awarded for both mandatory and non-mandatory items.)  NOT AVAILABLE FOR MULTI-UNIT BUILDINGS</t>
    </r>
  </si>
  <si>
    <t>1 point per 2 items
including (1)-(3)
MAX = 8</t>
  </si>
  <si>
    <t>1002.1  Building owners are familiarized with the role of occupants in achieving green goals. On-site training is provided to the responsible party(ies) regarding equipment operation and maintenance, control systems, and occupant actions that will improve the environmental performance of the building. These include:
        (1) HVAC filters
        (2) thermostat operation and programming
        (3) lighting controls
        (4) appliances operation
        (5) water heater settings and hot water use
        (6) fan controls
        (7) recycling practices</t>
  </si>
  <si>
    <r>
      <t>1003.1 A building construction manual,</t>
    </r>
    <r>
      <rPr>
        <b/>
        <sz val="10"/>
        <color rgb="FFFF0000"/>
        <rFont val="Calibri"/>
        <family val="2"/>
        <scheme val="minor"/>
      </rPr>
      <t xml:space="preserve"> including five or more of the following</t>
    </r>
    <r>
      <rPr>
        <b/>
        <sz val="10"/>
        <rFont val="Calibri"/>
        <family val="2"/>
        <scheme val="minor"/>
      </rPr>
      <t xml:space="preserve">, is compiled and distributed in accordance with the intent of this practice. 
</t>
    </r>
    <r>
      <rPr>
        <i/>
        <sz val="10"/>
        <rFont val="Calibri"/>
        <family val="2"/>
        <scheme val="minor"/>
      </rPr>
      <t>NOT AVAILABLE FOR SINGLE-FAMILY DWELLINGS.</t>
    </r>
  </si>
  <si>
    <r>
      <t>1003.0 Intent.</t>
    </r>
    <r>
      <rPr>
        <sz val="10"/>
        <color theme="1"/>
        <rFont val="Calibri"/>
        <family val="2"/>
        <scheme val="minor"/>
      </rPr>
      <t xml:space="preserve">  Manuals are provided to the responsible parties (owner, management, tenant, and/or maintenance team) regarding the construction, operation, and maintenance of the building. Manuals are to include information regarding those aspects of the building's construction, maintenance, and operation that are within the area of responsibilities of the respective recipient. 
</t>
    </r>
    <r>
      <rPr>
        <i/>
        <sz val="10"/>
        <color theme="1"/>
        <rFont val="Calibri"/>
        <family val="2"/>
        <scheme val="minor"/>
      </rPr>
      <t>NOT AVAILABLE FOR SINGLE-FAMILY DWELLINGS.</t>
    </r>
  </si>
  <si>
    <r>
      <t xml:space="preserve">1001.1(1) </t>
    </r>
    <r>
      <rPr>
        <sz val="10"/>
        <rFont val="Calibri"/>
        <family val="2"/>
        <scheme val="minor"/>
      </rPr>
      <t>A green building program certificate or completion document.</t>
    </r>
  </si>
  <si>
    <r>
      <t xml:space="preserve">1001.1(2) </t>
    </r>
    <r>
      <rPr>
        <sz val="10"/>
        <rFont val="Calibri"/>
        <family val="2"/>
        <scheme val="minor"/>
      </rPr>
      <t>List of green building features (can include the national green building checklist).</t>
    </r>
  </si>
  <si>
    <r>
      <t xml:space="preserve">1001.1(3) </t>
    </r>
    <r>
      <rPr>
        <sz val="10"/>
        <rFont val="Calibri"/>
        <family val="2"/>
        <scheme val="minor"/>
      </rPr>
      <t>Product manufacturer's manuals or product data sheet for installed major equipment, fixtures, and appliances.</t>
    </r>
  </si>
  <si>
    <r>
      <t xml:space="preserve">1001.1(4) </t>
    </r>
    <r>
      <rPr>
        <sz val="10"/>
        <rFont val="Calibri"/>
        <family val="2"/>
        <scheme val="minor"/>
      </rPr>
      <t>Maintenance checklist.</t>
    </r>
  </si>
  <si>
    <r>
      <t>1001.1(5)</t>
    </r>
    <r>
      <rPr>
        <sz val="10"/>
        <rFont val="Calibri"/>
        <family val="2"/>
        <scheme val="minor"/>
      </rPr>
      <t xml:space="preserve"> Information on local recycling programs.</t>
    </r>
  </si>
  <si>
    <r>
      <t xml:space="preserve">1001.1(6) </t>
    </r>
    <r>
      <rPr>
        <sz val="10"/>
        <rFont val="Calibri"/>
        <family val="2"/>
        <scheme val="minor"/>
      </rPr>
      <t>Information on available local utility programs that purchase a portion of energy from renewable energy providers.</t>
    </r>
  </si>
  <si>
    <r>
      <t>1001.1(7)</t>
    </r>
    <r>
      <rPr>
        <sz val="10"/>
        <rFont val="Calibri"/>
        <family val="2"/>
        <scheme val="minor"/>
      </rPr>
      <t xml:space="preserve"> Explanation of the benefits of using energy efficient lighting systems (e.g., compact fluorescent light bulbs, LED) in high usage areas.</t>
    </r>
  </si>
  <si>
    <r>
      <t>1001.1(8)</t>
    </r>
    <r>
      <rPr>
        <sz val="10"/>
        <rFont val="Calibri"/>
        <family val="2"/>
        <scheme val="minor"/>
      </rPr>
      <t xml:space="preserve"> A list of practices to conserve water and energy.</t>
    </r>
  </si>
  <si>
    <r>
      <t>1001.1(9)</t>
    </r>
    <r>
      <rPr>
        <sz val="10"/>
        <rFont val="Calibri"/>
        <family val="2"/>
        <scheme val="minor"/>
      </rPr>
      <t xml:space="preserve"> Local public transporation options.</t>
    </r>
  </si>
  <si>
    <r>
      <t>1001.1(10)</t>
    </r>
    <r>
      <rPr>
        <sz val="10"/>
        <rFont val="Calibri"/>
        <family val="2"/>
        <scheme val="minor"/>
      </rPr>
      <t xml:space="preserve"> A diagram showing the location of safety valves and controls for major building systems.</t>
    </r>
  </si>
  <si>
    <r>
      <t>1001.1(11)</t>
    </r>
    <r>
      <rPr>
        <sz val="10"/>
        <rFont val="Calibri"/>
        <family val="2"/>
        <scheme val="minor"/>
      </rPr>
      <t xml:space="preserve"> Where frost-protected shallow foundations are used, owner is informed of precautions.</t>
    </r>
  </si>
  <si>
    <r>
      <t>1001.1(12)</t>
    </r>
    <r>
      <rPr>
        <sz val="10"/>
        <rFont val="Calibri"/>
        <family val="2"/>
        <scheme val="minor"/>
      </rPr>
      <t xml:space="preserve"> List of local service providers that offer regularly scheduled service &amp; maintenance contracts to assure proper performance of equipment &amp; the structure</t>
    </r>
  </si>
  <si>
    <r>
      <t>1001.1(13)</t>
    </r>
    <r>
      <rPr>
        <sz val="10"/>
        <rFont val="Calibri"/>
        <family val="2"/>
        <scheme val="minor"/>
      </rPr>
      <t xml:space="preserve"> Photo record of framing with utilities installed.</t>
    </r>
  </si>
  <si>
    <r>
      <t>1001.1(14)</t>
    </r>
    <r>
      <rPr>
        <sz val="10"/>
        <rFont val="Calibri"/>
        <family val="2"/>
        <scheme val="minor"/>
      </rPr>
      <t xml:space="preserve"> List of common hazardous materials often used around the building and instructions for proper handling and disposal of these materials.</t>
    </r>
  </si>
  <si>
    <r>
      <t>1001.1(15)</t>
    </r>
    <r>
      <rPr>
        <sz val="10"/>
        <rFont val="Calibri"/>
        <family val="2"/>
        <scheme val="minor"/>
      </rPr>
      <t xml:space="preserve"> Information on organic pest control, fertilizers, deicers, and cleaning products.</t>
    </r>
  </si>
  <si>
    <r>
      <t>1001.1(17)</t>
    </r>
    <r>
      <rPr>
        <sz val="10"/>
        <rFont val="Calibri"/>
        <family val="2"/>
        <scheme val="minor"/>
      </rPr>
      <t xml:space="preserve"> Information on methods of maintaining the building's relative humidity in the range of 30% to 60%.</t>
    </r>
  </si>
  <si>
    <r>
      <t>1001.1(18)</t>
    </r>
    <r>
      <rPr>
        <sz val="10"/>
        <rFont val="Calibri"/>
        <family val="2"/>
        <scheme val="minor"/>
      </rPr>
      <t xml:space="preserve"> Instructions for inspecting the building for termite infestation.</t>
    </r>
  </si>
  <si>
    <r>
      <t>1001.1(19)</t>
    </r>
    <r>
      <rPr>
        <sz val="10"/>
        <rFont val="Calibri"/>
        <family val="2"/>
        <scheme val="minor"/>
      </rPr>
      <t xml:space="preserve"> Instructions for maintaining gutters and downspouts and importance of diverting water a minimum of 5 feet away from foundation.</t>
    </r>
  </si>
  <si>
    <r>
      <t>1001.1(20)</t>
    </r>
    <r>
      <rPr>
        <sz val="10"/>
        <rFont val="Calibri"/>
        <family val="2"/>
        <scheme val="minor"/>
      </rPr>
      <t xml:space="preserve"> A narrative detailing the importance of maintenance and operation in retaining the attributes of a green-built building.</t>
    </r>
  </si>
  <si>
    <r>
      <t>1001.1(21)</t>
    </r>
    <r>
      <rPr>
        <sz val="10"/>
        <rFont val="Calibri"/>
        <family val="2"/>
        <scheme val="minor"/>
      </rPr>
      <t xml:space="preserve"> Where storm water management measures are installed on the lot, information on the location, purpose, and upkeep of these measures.</t>
    </r>
  </si>
  <si>
    <r>
      <t xml:space="preserve">1003.1(1) </t>
    </r>
    <r>
      <rPr>
        <sz val="10"/>
        <rFont val="Calibri"/>
        <family val="2"/>
        <scheme val="minor"/>
      </rPr>
      <t>A narrative detailing the importance of constructing a green building, including a list of green building attributes included in the building.</t>
    </r>
  </si>
  <si>
    <r>
      <t>1003.1(2)</t>
    </r>
    <r>
      <rPr>
        <sz val="10"/>
        <rFont val="Calibri"/>
        <family val="2"/>
        <scheme val="minor"/>
      </rPr>
      <t xml:space="preserve"> A local green building program certificate as well as a copy of the National Green Building Standard™ and the individual measures achieved by the building.</t>
    </r>
  </si>
  <si>
    <r>
      <t>1003.1(3)</t>
    </r>
    <r>
      <rPr>
        <sz val="10"/>
        <rFont val="Calibri"/>
        <family val="2"/>
        <scheme val="minor"/>
      </rPr>
      <t xml:space="preserve"> Warranty, operation, and maintenance instructions for all equipment, fixtures, appliances, and finishes.</t>
    </r>
  </si>
  <si>
    <r>
      <t xml:space="preserve">1003.1(4) </t>
    </r>
    <r>
      <rPr>
        <sz val="10"/>
        <rFont val="Calibri"/>
        <family val="2"/>
        <scheme val="minor"/>
      </rPr>
      <t>Record drawings of the building.</t>
    </r>
  </si>
  <si>
    <r>
      <t>1003.1(5)</t>
    </r>
    <r>
      <rPr>
        <sz val="10"/>
        <rFont val="Calibri"/>
        <family val="2"/>
        <scheme val="minor"/>
      </rPr>
      <t xml:space="preserve"> A record drawing of the site including stormwater management plans, utility lines, landscaping with common name &amp; genus/species of plantings.</t>
    </r>
  </si>
  <si>
    <r>
      <t>1003.1(6)</t>
    </r>
    <r>
      <rPr>
        <sz val="10"/>
        <rFont val="Calibri"/>
        <family val="2"/>
        <scheme val="minor"/>
      </rPr>
      <t xml:space="preserve"> A diagram showing the location of safety valves and controls for major building systems.</t>
    </r>
  </si>
  <si>
    <r>
      <t>1003.1(7)</t>
    </r>
    <r>
      <rPr>
        <sz val="10"/>
        <rFont val="Calibri"/>
        <family val="2"/>
        <scheme val="minor"/>
      </rPr>
      <t xml:space="preserve"> A list of the type and wattage of light bulbs installed in light fixtures.</t>
    </r>
  </si>
  <si>
    <r>
      <t>1003.1(8)</t>
    </r>
    <r>
      <rPr>
        <sz val="10"/>
        <rFont val="Calibri"/>
        <family val="2"/>
        <scheme val="minor"/>
      </rPr>
      <t xml:space="preserve"> A photo record of framing with utilities installed. Photos are taken prior to installing insulation and clearly labeled.</t>
    </r>
  </si>
  <si>
    <r>
      <t>1003.2 Operations manuals are created and distributed to the responsible parties in accordance with 1003.0. Between all of the operation manuals,</t>
    </r>
    <r>
      <rPr>
        <b/>
        <sz val="10"/>
        <color rgb="FFFF0000"/>
        <rFont val="Calibri"/>
        <family val="2"/>
        <scheme val="minor"/>
      </rPr>
      <t xml:space="preserve"> five or more of the following options are included</t>
    </r>
    <r>
      <rPr>
        <b/>
        <sz val="10"/>
        <rFont val="Calibri"/>
        <family val="2"/>
        <scheme val="minor"/>
      </rPr>
      <t xml:space="preserve">.
</t>
    </r>
    <r>
      <rPr>
        <i/>
        <sz val="10"/>
        <rFont val="Calibri"/>
        <family val="2"/>
        <scheme val="minor"/>
      </rPr>
      <t>NOT AVAILABLE FOR SINGLE-FAMILY DWELLINGS.</t>
    </r>
    <r>
      <rPr>
        <b/>
        <sz val="10"/>
        <rFont val="Calibri"/>
        <family val="2"/>
        <scheme val="minor"/>
      </rPr>
      <t xml:space="preserve">
</t>
    </r>
  </si>
  <si>
    <r>
      <t>1003.2(1)</t>
    </r>
    <r>
      <rPr>
        <sz val="10"/>
        <rFont val="Calibri"/>
        <family val="2"/>
        <scheme val="minor"/>
      </rPr>
      <t xml:space="preserve"> A narrative detailing the importance of operating and living in a green building.</t>
    </r>
  </si>
  <si>
    <r>
      <t>1003.2(2)</t>
    </r>
    <r>
      <rPr>
        <sz val="10"/>
        <rFont val="Calibri"/>
        <family val="2"/>
        <scheme val="minor"/>
      </rPr>
      <t xml:space="preserve"> A list of practices to conserve water and energy.</t>
    </r>
  </si>
  <si>
    <r>
      <t>1003.2(3)</t>
    </r>
    <r>
      <rPr>
        <sz val="10"/>
        <rFont val="Calibri"/>
        <family val="2"/>
        <scheme val="minor"/>
      </rPr>
      <t xml:space="preserve"> Information on methods of maintaining the building's relative humidity in the range of 30% to 60%.</t>
    </r>
  </si>
  <si>
    <r>
      <t>1003.2(4)</t>
    </r>
    <r>
      <rPr>
        <sz val="10"/>
        <rFont val="Calibri"/>
        <family val="2"/>
        <scheme val="minor"/>
      </rPr>
      <t xml:space="preserve"> Information on opportunities to purchase renewable energy from local utilities or national green power providers and information on utility and tax incentives for the installation of on-site renewable energy systems.</t>
    </r>
  </si>
  <si>
    <r>
      <t>1003.2(5)</t>
    </r>
    <r>
      <rPr>
        <sz val="10"/>
        <rFont val="Calibri"/>
        <family val="2"/>
        <scheme val="minor"/>
      </rPr>
      <t xml:space="preserve"> Informtation on local and on-site recycling and hazardous waste disposal programs and, if applicable, building recycling and hazardous waste handling and disposal procedures.</t>
    </r>
  </si>
  <si>
    <r>
      <t>1003.2(6)</t>
    </r>
    <r>
      <rPr>
        <sz val="10"/>
        <rFont val="Calibri"/>
        <family val="2"/>
        <scheme val="minor"/>
      </rPr>
      <t xml:space="preserve"> Local public transportation options.</t>
    </r>
  </si>
  <si>
    <r>
      <t>1003.2(7)</t>
    </r>
    <r>
      <rPr>
        <sz val="10"/>
        <rFont val="Calibri"/>
        <family val="2"/>
        <scheme val="minor"/>
      </rPr>
      <t xml:space="preserve"> Explanation of the benefits of using compact fluorescent light bulbs, LEDs, or other high-efficiency lighting.</t>
    </r>
  </si>
  <si>
    <r>
      <t>1003.2(8)</t>
    </r>
    <r>
      <rPr>
        <sz val="10"/>
        <rFont val="Calibri"/>
        <family val="2"/>
        <scheme val="minor"/>
      </rPr>
      <t xml:space="preserve"> Information on native landscape materials and/or those that have low water requirements.</t>
    </r>
  </si>
  <si>
    <r>
      <t>1003.2(9)</t>
    </r>
    <r>
      <rPr>
        <sz val="10"/>
        <rFont val="Calibri"/>
        <family val="2"/>
        <scheme val="minor"/>
      </rPr>
      <t xml:space="preserve"> Information on radon mitigation, if applicableInformation on the radon mitigation system, where applicable.</t>
    </r>
  </si>
  <si>
    <r>
      <t xml:space="preserve">1003.2(10) </t>
    </r>
    <r>
      <rPr>
        <sz val="10"/>
        <rFont val="Calibri"/>
        <family val="2"/>
        <scheme val="minor"/>
      </rPr>
      <t>A procedure for educating tenants in rental properties on the proper use, benefits, and maintenance of green building systems including a maintenance staff notification process for improperly functioning equipment.</t>
    </r>
  </si>
  <si>
    <r>
      <t>1003.3  Maintenance manuals are created and distributed to the responsible parties in accordance with 1003.0. Between all of the maintenance manuals,</t>
    </r>
    <r>
      <rPr>
        <b/>
        <sz val="10"/>
        <color rgb="FFFF0000"/>
        <rFont val="Calibri"/>
        <family val="2"/>
        <scheme val="minor"/>
      </rPr>
      <t xml:space="preserve"> five or more of the following options are included</t>
    </r>
    <r>
      <rPr>
        <b/>
        <sz val="10"/>
        <rFont val="Calibri"/>
        <family val="2"/>
        <scheme val="minor"/>
      </rPr>
      <t xml:space="preserve">.
</t>
    </r>
    <r>
      <rPr>
        <i/>
        <sz val="10"/>
        <rFont val="Calibri"/>
        <family val="2"/>
        <scheme val="minor"/>
      </rPr>
      <t>NOT AVAILABLE FOR SINGLE-FAMILY DWELLINGS.</t>
    </r>
  </si>
  <si>
    <r>
      <t>1003.3(1)</t>
    </r>
    <r>
      <rPr>
        <sz val="10"/>
        <rFont val="Calibri"/>
        <family val="2"/>
        <scheme val="minor"/>
      </rPr>
      <t xml:space="preserve"> A narrative detailing the importance of maintaining a green building. This narrative is included in all responsible parties' manuals.</t>
    </r>
  </si>
  <si>
    <r>
      <t>1003.3(2)</t>
    </r>
    <r>
      <rPr>
        <sz val="10"/>
        <rFont val="Calibri"/>
        <family val="2"/>
        <scheme val="minor"/>
      </rPr>
      <t xml:space="preserve"> A list of local service providers that offer regularly scheduled service and maintenance contracts to assure proper performance of equipment and the structure.</t>
    </r>
  </si>
  <si>
    <r>
      <t>1003.3(4)</t>
    </r>
    <r>
      <rPr>
        <sz val="10"/>
        <rFont val="Calibri"/>
        <family val="2"/>
        <scheme val="minor"/>
      </rPr>
      <t xml:space="preserve"> List of common hazardous materials often used around the building and instructions for proper handling and disposal of these materials.</t>
    </r>
  </si>
  <si>
    <r>
      <t>1003.3(5)</t>
    </r>
    <r>
      <rPr>
        <sz val="10"/>
        <rFont val="Calibri"/>
        <family val="2"/>
        <scheme val="minor"/>
      </rPr>
      <t xml:space="preserve"> Information on organic pest control, fertilizers, deicers, and cleaning products.</t>
    </r>
  </si>
  <si>
    <r>
      <t>1003.3(6)</t>
    </r>
    <r>
      <rPr>
        <sz val="10"/>
        <rFont val="Calibri"/>
        <family val="2"/>
        <scheme val="minor"/>
      </rPr>
      <t xml:space="preserve">  Instructions for maintaining gutters and downspouts and importance of diverting water a minimum of 5 feet away from foundation.</t>
    </r>
  </si>
  <si>
    <r>
      <t xml:space="preserve">1003.3(7) </t>
    </r>
    <r>
      <rPr>
        <sz val="10"/>
        <rFont val="Calibri"/>
        <family val="2"/>
        <scheme val="minor"/>
      </rPr>
      <t>Instructions for inspecting the building for termite infestation.</t>
    </r>
  </si>
  <si>
    <r>
      <t>1003.3(8)</t>
    </r>
    <r>
      <rPr>
        <sz val="10"/>
        <rFont val="Calibri"/>
        <family val="2"/>
        <scheme val="minor"/>
      </rPr>
      <t xml:space="preserve"> A procedure for rental tenant occupancy turnover that preserves the green features.</t>
    </r>
  </si>
  <si>
    <r>
      <t>1003.3(9)</t>
    </r>
    <r>
      <rPr>
        <sz val="10"/>
        <rFont val="Calibri"/>
        <family val="2"/>
        <scheme val="minor"/>
      </rPr>
      <t xml:space="preserve"> An outline of a formal green building training program for maintenance staff.</t>
    </r>
  </si>
  <si>
    <r>
      <t xml:space="preserve">503.6 Wildlife habitat. Measures are planned that will support wildlife habitat and </t>
    </r>
    <r>
      <rPr>
        <b/>
        <sz val="10"/>
        <color rgb="FFFF0000"/>
        <rFont val="Calibri"/>
        <family val="2"/>
        <scheme val="minor"/>
      </rPr>
      <t>include at least two of the following</t>
    </r>
    <r>
      <rPr>
        <b/>
        <sz val="10"/>
        <rFont val="Calibri"/>
        <family val="2"/>
        <scheme val="minor"/>
      </rPr>
      <t>:</t>
    </r>
  </si>
  <si>
    <r>
      <t>901.1.1</t>
    </r>
    <r>
      <rPr>
        <sz val="10"/>
        <rFont val="Calibri"/>
        <family val="2"/>
        <scheme val="minor"/>
      </rPr>
      <t xml:space="preserve"> Natural draft furnaces, boilers or water heaters are not located in conditioned spaces, including conditioned crawlspaces. Natural draft furnaces, boilers and water heaters are permitted to be installed within the conditioned spaces if located in a mechanical room that has an outdoor air source, and is otherwise sealed and insulated to separate it from the conditioned space(s).</t>
    </r>
  </si>
  <si>
    <r>
      <t xml:space="preserve">901.1.2 </t>
    </r>
    <r>
      <rPr>
        <sz val="10"/>
        <rFont val="Calibri"/>
        <family val="2"/>
        <scheme val="minor"/>
      </rPr>
      <t>Air handling equipment or return ducts are not located in the garage, unless placed in isolated, air-sealed mechanical rooms with an outside air source.</t>
    </r>
  </si>
  <si>
    <r>
      <t>901.1.3</t>
    </r>
    <r>
      <rPr>
        <sz val="10"/>
        <rFont val="Calibri"/>
        <family val="2"/>
        <scheme val="minor"/>
      </rPr>
      <t xml:space="preserve"> The following combustion space heating or water heating equipment is installed within conditioned space:</t>
    </r>
  </si>
  <si>
    <r>
      <t xml:space="preserve">(1)(a) </t>
    </r>
    <r>
      <rPr>
        <sz val="10"/>
        <rFont val="Calibri"/>
        <family val="2"/>
        <scheme val="minor"/>
      </rPr>
      <t>All furnaces or all boilers are power vent</t>
    </r>
  </si>
  <si>
    <r>
      <t xml:space="preserve">(1)(b) </t>
    </r>
    <r>
      <rPr>
        <sz val="10"/>
        <rFont val="Calibri"/>
        <family val="2"/>
        <scheme val="minor"/>
      </rPr>
      <t>All furnaces or all boilers are direct vent</t>
    </r>
  </si>
  <si>
    <r>
      <t>(2)(a)</t>
    </r>
    <r>
      <rPr>
        <sz val="10"/>
        <rFont val="Calibri"/>
        <family val="2"/>
        <scheme val="minor"/>
      </rPr>
      <t xml:space="preserve"> All water heaters are power vent</t>
    </r>
  </si>
  <si>
    <r>
      <t>(2)(b)</t>
    </r>
    <r>
      <rPr>
        <sz val="10"/>
        <rFont val="Calibri"/>
        <family val="2"/>
        <scheme val="minor"/>
      </rPr>
      <t xml:space="preserve"> All water heaters are direct vent</t>
    </r>
  </si>
  <si>
    <r>
      <t>901.1.4</t>
    </r>
    <r>
      <rPr>
        <sz val="10"/>
        <rFont val="Calibri"/>
        <family val="2"/>
        <scheme val="minor"/>
      </rPr>
      <t xml:space="preserve"> Gas-fired fireplaces and direct heating equipment is listed and is installed in accordance with the NFPA National Fuel Gas Code or ICC International Fuel Gas Code or the applicable local gas appliance installation code. Gas-fired fireplaces and direct heating equipment are vented to the outdoors.</t>
    </r>
  </si>
  <si>
    <r>
      <t>901.1.5</t>
    </r>
    <r>
      <rPr>
        <sz val="10"/>
        <rFont val="Calibri"/>
        <family val="2"/>
        <scheme val="minor"/>
      </rPr>
      <t xml:space="preserve"> Natural gas and propane fireplaces are direct vented, have permanently fixed glass fronts or gasketed doors, and comply with CSA ANSI Z21.88/CSA 2.33 or CSA ANSI Z21.50b/CSA 2.22b.</t>
    </r>
  </si>
  <si>
    <r>
      <t>901.1.6</t>
    </r>
    <r>
      <rPr>
        <sz val="10"/>
        <rFont val="Calibri"/>
        <family val="2"/>
        <scheme val="minor"/>
      </rPr>
      <t xml:space="preserve"> Heat pump air handler is installed in conditioned or unconditioned space.</t>
    </r>
  </si>
  <si>
    <r>
      <rPr>
        <b/>
        <sz val="10"/>
        <rFont val="Calibri"/>
        <family val="2"/>
        <scheme val="minor"/>
      </rPr>
      <t>(1)</t>
    </r>
    <r>
      <rPr>
        <sz val="10"/>
        <rFont val="Calibri"/>
        <family val="2"/>
        <scheme val="minor"/>
      </rPr>
      <t xml:space="preserve"> Unconditioned space</t>
    </r>
  </si>
  <si>
    <r>
      <rPr>
        <b/>
        <sz val="10"/>
        <rFont val="Calibri"/>
        <family val="2"/>
        <scheme val="minor"/>
      </rPr>
      <t>(2)</t>
    </r>
    <r>
      <rPr>
        <sz val="10"/>
        <rFont val="Calibri"/>
        <family val="2"/>
        <scheme val="minor"/>
      </rPr>
      <t xml:space="preserve"> Conditioned space</t>
    </r>
  </si>
  <si>
    <t>901.2  Solid fuel-burning appliances.</t>
  </si>
  <si>
    <r>
      <t>901.2.1</t>
    </r>
    <r>
      <rPr>
        <sz val="10"/>
        <rFont val="Calibri"/>
        <family val="2"/>
        <scheme val="minor"/>
      </rPr>
      <t xml:space="preserve"> Solid fuel-burning fireplaces, inserts, stoves and heaters are code compliant and are in accordance with the following requirements:</t>
    </r>
  </si>
  <si>
    <r>
      <t>901.2.1(1)</t>
    </r>
    <r>
      <rPr>
        <sz val="10"/>
        <rFont val="Calibri"/>
        <family val="2"/>
        <scheme val="minor"/>
      </rPr>
      <t xml:space="preserve"> Site-built masonry wood-burning fireplaces are equipped with outside combustion air and a means of sealing the flue and the combustion air outlets to minimize interior air (heat) loss when not in operation.</t>
    </r>
  </si>
  <si>
    <t>Mandatory
4 points if applicable</t>
  </si>
  <si>
    <r>
      <t>901.2.1(2)</t>
    </r>
    <r>
      <rPr>
        <sz val="10"/>
        <rFont val="Calibri"/>
        <family val="2"/>
        <scheme val="minor"/>
      </rPr>
      <t xml:space="preserve"> Factory-built, wood-burning fireplaces are in accordance with the certification requirements of UL 127 and are EPA certified.</t>
    </r>
  </si>
  <si>
    <t>Mandatory
6 points if applicable</t>
  </si>
  <si>
    <r>
      <t xml:space="preserve">901.2.1(3) </t>
    </r>
    <r>
      <rPr>
        <sz val="10"/>
        <rFont val="Calibri"/>
        <family val="2"/>
        <scheme val="minor"/>
      </rPr>
      <t>Wood stove and fireplace inserts, as defined in UL 1482 Section 3.8, are in accordance with the certification requirements of UL 1482 and are in accordance with the emission requirements of the EPA Certification and the State of Washington WAC 173-433-100(3).</t>
    </r>
  </si>
  <si>
    <r>
      <t>901.2.1(4)</t>
    </r>
    <r>
      <rPr>
        <sz val="10"/>
        <rFont val="Calibri"/>
        <family val="2"/>
        <scheme val="minor"/>
      </rPr>
      <t xml:space="preserve"> Pellet (biomass) stoves and furnaces are in accordance with the requirements of ASTM E1509 or are EPA certified.</t>
    </r>
  </si>
  <si>
    <r>
      <t>901.2.1(5)</t>
    </r>
    <r>
      <rPr>
        <sz val="10"/>
        <rFont val="Calibri"/>
        <family val="2"/>
        <scheme val="minor"/>
      </rPr>
      <t xml:space="preserve"> Masonry heaters are in accordance with the definitions in ASTM E1602 and ICC IBC, Section 2112.1.</t>
    </r>
  </si>
  <si>
    <r>
      <t>901.2.2</t>
    </r>
    <r>
      <rPr>
        <sz val="10"/>
        <rFont val="Calibri"/>
        <family val="2"/>
        <scheme val="minor"/>
      </rPr>
      <t xml:space="preserve"> Fireplaces, wood stoves, pellet stoves, or masonry heaters are not installed.</t>
    </r>
  </si>
  <si>
    <r>
      <t>901.3(1)(a)</t>
    </r>
    <r>
      <rPr>
        <sz val="10"/>
        <rFont val="Calibri"/>
        <family val="2"/>
        <scheme val="minor"/>
      </rPr>
      <t xml:space="preserve"> Where installed in the common wall between the attached garage and conditioned space, the door is tightly sealed and gasketed.</t>
    </r>
  </si>
  <si>
    <r>
      <t>901.3(1)(b)</t>
    </r>
    <r>
      <rPr>
        <sz val="10"/>
        <rFont val="Calibri"/>
        <family val="2"/>
        <scheme val="minor"/>
      </rPr>
      <t xml:space="preserve"> A continuous air barrier is provided between walls and ceilings separating the garage space from the conditioned living spaces.</t>
    </r>
  </si>
  <si>
    <r>
      <t>901.3(1)(c)</t>
    </r>
    <r>
      <rPr>
        <sz val="10"/>
        <rFont val="Calibri"/>
        <family val="2"/>
        <scheme val="minor"/>
      </rPr>
      <t xml:space="preserve"> For one- and two-family dwelling units, a 100 cfm (47 L/s) or greater ducted, or 70 cfm (33 L/s) cfm or greater unducted wall exhaust fan is installed and vented to the outdoors, designed and installed for continuous operation, or has controls (e.g., motion detectors, pressure switches) that activate operation for a minimum of 1 hour when either human passage door or roll-up automatic doors are operated.</t>
    </r>
  </si>
  <si>
    <r>
      <t>901.3(2)</t>
    </r>
    <r>
      <rPr>
        <sz val="10"/>
        <rFont val="Calibri"/>
        <family val="2"/>
        <scheme val="minor"/>
      </rPr>
      <t xml:space="preserve"> A carport is installed, the garage is detached from the building, or no garage is installed.</t>
    </r>
  </si>
  <si>
    <r>
      <t xml:space="preserve">901.4(1) </t>
    </r>
    <r>
      <rPr>
        <sz val="10"/>
        <rFont val="Calibri"/>
        <family val="2"/>
        <scheme val="minor"/>
      </rPr>
      <t>Structural plywood used for floor, wall, and/or roof sheathing is compliant with DOC PS 1 and/or DOC PS 2. OSB used for floor, wall, and/or roof sheathing is compliant with DOC PS 2. The panels are made with moisture resistant adhesives. The trademark indicates these adhesives as follows: Exposure 1 or Exterior for plywood, and Exposure 1 for OSB.</t>
    </r>
  </si>
  <si>
    <r>
      <t xml:space="preserve">901.4(2)-(6) Wood materials. </t>
    </r>
    <r>
      <rPr>
        <sz val="10"/>
        <rFont val="Calibri"/>
        <family val="2"/>
        <scheme val="minor"/>
      </rPr>
      <t>A minimum of 85% of material within a product group (i.e., wood structural panels, countertops, composite trim/doors, custom woodwork, and/or component closet shelving) is manufactured in accordance with the following:</t>
    </r>
  </si>
  <si>
    <t>10 points maximum</t>
  </si>
  <si>
    <r>
      <t>901.4(2)</t>
    </r>
    <r>
      <rPr>
        <sz val="10"/>
        <rFont val="Calibri"/>
        <family val="2"/>
        <scheme val="minor"/>
      </rPr>
      <t xml:space="preserve"> Particleboard and MDF (medium density fiberboard) is manufactured and labeled in accordance with CPA A208.1 and CPA A208.2, respectively.</t>
    </r>
  </si>
  <si>
    <r>
      <t>901.4(4)</t>
    </r>
    <r>
      <rPr>
        <sz val="10"/>
        <rFont val="Calibri"/>
        <family val="2"/>
        <scheme val="minor"/>
      </rPr>
      <t xml:space="preserve"> Particleboard, MDF, or hardwood plywood is in accordance with CPA 2.</t>
    </r>
  </si>
  <si>
    <r>
      <t>901.4(5)</t>
    </r>
    <r>
      <rPr>
        <sz val="10"/>
        <rFont val="Calibri"/>
        <family val="2"/>
        <scheme val="minor"/>
      </rPr>
      <t xml:space="preserve"> Composite wood or agrifiber panel products contain no added urea-formaldehyde or are in accordance with the CARB Composite Wood Air Toxic Contaminant Measure Standard.</t>
    </r>
  </si>
  <si>
    <r>
      <t>901.4(6)</t>
    </r>
    <r>
      <rPr>
        <sz val="10"/>
        <rFont val="Calibri"/>
        <family val="2"/>
        <scheme val="minor"/>
      </rPr>
      <t xml:space="preserve"> Non-emitting products.</t>
    </r>
  </si>
  <si>
    <r>
      <t>901.4(3)</t>
    </r>
    <r>
      <rPr>
        <sz val="10"/>
        <rFont val="Calibri"/>
        <family val="2"/>
        <scheme val="minor"/>
      </rPr>
      <t xml:space="preserve"> Hardwood plywood in accordance w/ HPVA HP-1 &amp; HUD Title 24, Part 3280.</t>
    </r>
  </si>
  <si>
    <r>
      <t>Cabinets</t>
    </r>
    <r>
      <rPr>
        <sz val="10"/>
        <color theme="1"/>
        <rFont val="Calibri"/>
        <family val="2"/>
        <scheme val="minor"/>
      </rPr>
      <t>. A minimum of 85 percent of installed cabinets are in accordance with one or any combination of the following.
(</t>
    </r>
    <r>
      <rPr>
        <i/>
        <sz val="10"/>
        <color theme="1"/>
        <rFont val="Calibri"/>
        <family val="2"/>
        <scheme val="minor"/>
      </rPr>
      <t>Where more than one of the following practices is used, points are awarded based on the practice with the fewest number of points.</t>
    </r>
    <r>
      <rPr>
        <sz val="10"/>
        <color theme="1"/>
        <rFont val="Calibri"/>
        <family val="2"/>
        <scheme val="minor"/>
      </rPr>
      <t xml:space="preserve">)
</t>
    </r>
    <r>
      <rPr>
        <b/>
        <u/>
        <sz val="10"/>
        <color theme="1"/>
        <rFont val="Calibri"/>
        <family val="2"/>
        <scheme val="minor"/>
      </rPr>
      <t>Claim points for only one from (1)-(2) below:</t>
    </r>
  </si>
  <si>
    <r>
      <t>901.5</t>
    </r>
    <r>
      <rPr>
        <sz val="10"/>
        <rFont val="Calibri"/>
        <family val="2"/>
        <scheme val="minor"/>
      </rPr>
      <t xml:space="preserve"> </t>
    </r>
    <r>
      <rPr>
        <b/>
        <sz val="10"/>
        <rFont val="Calibri"/>
        <family val="2"/>
        <scheme val="minor"/>
      </rPr>
      <t>Cabinets.</t>
    </r>
    <r>
      <rPr>
        <sz val="10"/>
        <rFont val="Calibri"/>
        <family val="2"/>
        <scheme val="minor"/>
      </rPr>
      <t xml:space="preserve"> A minimum of 85 percent of installed cabinets are in accordance with one or any combination of the following.</t>
    </r>
  </si>
  <si>
    <r>
      <t xml:space="preserve">(1) </t>
    </r>
    <r>
      <rPr>
        <sz val="10"/>
        <rFont val="Calibri"/>
        <family val="2"/>
        <scheme val="minor"/>
      </rPr>
      <t>All parts of the cabinet are made of solid wood or non-formaldehyde emitting materials such as metal or glass.</t>
    </r>
  </si>
  <si>
    <r>
      <t xml:space="preserve">(2) </t>
    </r>
    <r>
      <rPr>
        <sz val="10"/>
        <rFont val="Calibri"/>
        <family val="2"/>
        <scheme val="minor"/>
      </rPr>
      <t>The composite wood used in wood cabinets are in accordance with CARB Composite Wood Air Toxic Contaminant Measure Standard or equivalent as certified by a third-party program such as but not limited to, those in Appendix D.</t>
    </r>
  </si>
  <si>
    <r>
      <t>901.6 Carpets.</t>
    </r>
    <r>
      <rPr>
        <sz val="10"/>
        <rFont val="Calibri"/>
        <family val="2"/>
        <scheme val="minor"/>
      </rPr>
      <t xml:space="preserve"> Carpets are in accordance with the following:</t>
    </r>
  </si>
  <si>
    <r>
      <t>901.6(1)</t>
    </r>
    <r>
      <rPr>
        <sz val="10"/>
        <rFont val="Calibri"/>
        <family val="2"/>
        <scheme val="minor"/>
      </rPr>
      <t xml:space="preserve"> Wall-to-wall carpeting is not installed adjacent to water closets and bathing fixtures.</t>
    </r>
  </si>
  <si>
    <r>
      <t xml:space="preserve">901.6(2)(a) </t>
    </r>
    <r>
      <rPr>
        <sz val="10"/>
        <rFont val="Calibri"/>
        <family val="2"/>
        <scheme val="minor"/>
      </rPr>
      <t>Carpet in accordance with the emission levels of CDPH/EHLB Standard Method v1.1.</t>
    </r>
  </si>
  <si>
    <r>
      <t>901.6(2)(b)</t>
    </r>
    <r>
      <rPr>
        <sz val="10"/>
        <rFont val="Calibri"/>
        <family val="2"/>
        <scheme val="minor"/>
      </rPr>
      <t xml:space="preserve"> Carpet adhesives in accordance with the emission levels of CDPH/EHLB Standard Method v1.1.</t>
    </r>
  </si>
  <si>
    <r>
      <t xml:space="preserve">901.7 Hard-surface flooring. </t>
    </r>
    <r>
      <rPr>
        <sz val="10"/>
        <rFont val="Calibri"/>
        <family val="2"/>
        <scheme val="minor"/>
      </rPr>
      <t>Minimum of 10% of the conditioned floor space has pre-finished hard-surface flooring installed &amp; a minimum of 85% of all prefinished installed hard-surface flooring is in accordance with the emission concentration limits of CDPH/EHLB Standard Method v1.1.</t>
    </r>
  </si>
  <si>
    <r>
      <t xml:space="preserve">901.8 Wall coverings. </t>
    </r>
    <r>
      <rPr>
        <sz val="10"/>
        <rFont val="Calibri"/>
        <family val="2"/>
        <scheme val="minor"/>
      </rPr>
      <t>Minimum of 10% of the interior wall surfaces are covered &amp; a minimum of 85% of wall coverings are in accordance with the emission concentration limits of CDPH/EHLB Standard Method v1.1.</t>
    </r>
  </si>
  <si>
    <r>
      <t xml:space="preserve">901.9 Architectural coatings. </t>
    </r>
    <r>
      <rPr>
        <sz val="10"/>
        <rFont val="Calibri"/>
        <family val="2"/>
        <scheme val="minor"/>
      </rPr>
      <t>A minimum of 85% of the architectural coatings are in accordance with either Section 901.9.1 or Section 901.9.3, not both. A minimum of 85% of architectural colorants are in accordance with Section 901.9.2.</t>
    </r>
  </si>
  <si>
    <r>
      <t>901.9.1</t>
    </r>
    <r>
      <rPr>
        <sz val="10"/>
        <rFont val="Calibri"/>
        <family val="2"/>
        <scheme val="minor"/>
      </rPr>
      <t xml:space="preserve"> Site-applied interior architectural coatings, which are inside the water proofing envelope, are in accordance with one or more of the following:
     (1) Zero VOC as determined by EPA Method 24
     (2) GreenSeal GS-11 Standard for Paints and Coatings
     (3) CARB Suggested Control Measure for Architectural Coatings</t>
    </r>
  </si>
  <si>
    <r>
      <t>901.9.2</t>
    </r>
    <r>
      <rPr>
        <sz val="10"/>
        <rFont val="Calibri"/>
        <family val="2"/>
        <scheme val="minor"/>
      </rPr>
      <t xml:space="preserve"> Architectural coating colorant additive VOC content is in accordance with Table 901.9.2.</t>
    </r>
  </si>
  <si>
    <r>
      <t>901.9.3</t>
    </r>
    <r>
      <rPr>
        <sz val="10"/>
        <rFont val="Calibri"/>
        <family val="2"/>
        <scheme val="minor"/>
      </rPr>
      <t xml:space="preserve">  Site-applied interior architectural coatings, which are inside the water proofing envelope, are in accordance with the emission levels of CDPH/EHLB Standard Method v1.1.</t>
    </r>
  </si>
  <si>
    <r>
      <t xml:space="preserve">901.10  Adhesives and sealants. </t>
    </r>
    <r>
      <rPr>
        <sz val="10"/>
        <rFont val="Calibri"/>
        <family val="2"/>
        <scheme val="minor"/>
      </rPr>
      <t>Interior low-VOC adhesives and sealants located inside the water proofing envelope: A minimum of 85% of site-applied products used within the interior of the building are in accordance with one of the following, as applicable.</t>
    </r>
  </si>
  <si>
    <r>
      <t>901.10(1)</t>
    </r>
    <r>
      <rPr>
        <sz val="10"/>
        <rFont val="Calibri"/>
        <family val="2"/>
        <scheme val="minor"/>
      </rPr>
      <t xml:space="preserve"> CDPH/EHLB Method V1.1</t>
    </r>
  </si>
  <si>
    <r>
      <t>901.10(2)</t>
    </r>
    <r>
      <rPr>
        <sz val="10"/>
        <rFont val="Calibri"/>
        <family val="2"/>
        <scheme val="minor"/>
      </rPr>
      <t xml:space="preserve"> GreenSeal GS-36</t>
    </r>
  </si>
  <si>
    <r>
      <t>901.10(3)</t>
    </r>
    <r>
      <rPr>
        <sz val="10"/>
        <rFont val="Calibri"/>
        <family val="2"/>
        <scheme val="minor"/>
      </rPr>
      <t xml:space="preserve"> SCAQMD Rule 1168</t>
    </r>
  </si>
  <si>
    <r>
      <rPr>
        <b/>
        <sz val="10"/>
        <color rgb="FFFF0000"/>
        <rFont val="Calibri"/>
        <family val="2"/>
      </rPr>
      <t>NOTE:</t>
    </r>
    <r>
      <rPr>
        <sz val="10"/>
        <rFont val="Calibri"/>
        <family val="2"/>
      </rPr>
      <t xml:space="preserve"> Points must be taken in 801.7.1(2)(a)-(d) to be awarded points in 801.7.2.</t>
    </r>
  </si>
  <si>
    <r>
      <t>801.1</t>
    </r>
    <r>
      <rPr>
        <sz val="10"/>
        <rFont val="Calibri"/>
        <family val="2"/>
        <scheme val="minor"/>
      </rPr>
      <t xml:space="preserve">  Indoor hot water supply system is in accordance with one of the practices listed in items (1) through (5). The maximum length from the source of hot water to the termination of the fixture supply is determined in accordance with Tables 801.1(1) or 801.1(2), or 50 feet, whichever is less.
- Where more than one water heater is used or where more than one type of hot water supply system, including multiple circulation loops, is used, points are awarded based on the system that qualifies for minimum number of points.
- Systems with circulation loops are eligible for points only if pumps are demand controlled. Circulation systems with timers or aquastats and constant-on circulation systems are not eligible to receive points.
-The points are awarded only if the pipes are insulated in accordance with Section 704.5.3.</t>
    </r>
  </si>
  <si>
    <t>24 oz max supply to fixture &amp; 128 oz max in circ. loop</t>
  </si>
  <si>
    <r>
      <rPr>
        <b/>
        <sz val="10"/>
        <color theme="1"/>
        <rFont val="Calibri"/>
        <family val="2"/>
        <scheme val="minor"/>
      </rPr>
      <t>Landscape plan.</t>
    </r>
    <r>
      <rPr>
        <sz val="10"/>
        <color theme="1"/>
        <rFont val="Calibri"/>
        <family val="2"/>
        <scheme val="minor"/>
      </rPr>
      <t xml:space="preserve"> A landscape plan for the lot is developed to limit water and energy use while preserving or enhancing the natural environment.
</t>
    </r>
    <r>
      <rPr>
        <i/>
        <sz val="10"/>
        <color theme="1"/>
        <rFont val="Calibri"/>
        <family val="2"/>
        <scheme val="minor"/>
      </rPr>
      <t>Points must be taken in 503.5(1), 503.5(2), 503.5(3), or 503.5(4) to claim points for 801.6.5(3).</t>
    </r>
    <r>
      <rPr>
        <sz val="10"/>
        <color theme="1"/>
        <rFont val="Calibri"/>
        <family val="2"/>
        <scheme val="minor"/>
      </rPr>
      <t xml:space="preserve">
</t>
    </r>
    <r>
      <rPr>
        <b/>
        <u/>
        <sz val="10"/>
        <color theme="1"/>
        <rFont val="Calibri"/>
        <family val="2"/>
        <scheme val="minor"/>
      </rPr>
      <t>Claim points for all that apply from (1)-(8) below:</t>
    </r>
  </si>
  <si>
    <t>Enter # of comparions with 4 impact measures:</t>
  </si>
  <si>
    <t>Enter # of comparions with 5 impact measures:</t>
  </si>
  <si>
    <r>
      <t xml:space="preserve">901.11 Insulation. </t>
    </r>
    <r>
      <rPr>
        <sz val="10"/>
        <rFont val="Calibri"/>
        <family val="2"/>
        <scheme val="minor"/>
      </rPr>
      <t>Emissions of 85 percent of wall, ceiling, and floor insulation materials are in accordance with the emission levels of CDPH/EHLB Standard Method v1.1 except footnote b in Table 4.1 does not apply (i.e., allowable maximum formaldehyde concentration is 16.5 µg/m3 (13.5 ppb)).</t>
    </r>
  </si>
  <si>
    <r>
      <t xml:space="preserve">901.12 Carbon monoxide (CO) alarms. </t>
    </r>
    <r>
      <rPr>
        <sz val="10"/>
        <rFont val="Calibri"/>
        <family val="2"/>
        <scheme val="minor"/>
      </rPr>
      <t>Where not required by local codes, a carbon monoxide (CO) alarm is installed in a central location outside of each separate sleeping area in the immediate vicinity of the bedrooms.</t>
    </r>
  </si>
  <si>
    <r>
      <t xml:space="preserve">901.13 Building entrance pollutants control. </t>
    </r>
    <r>
      <rPr>
        <sz val="10"/>
        <rFont val="Calibri"/>
        <family val="2"/>
        <scheme val="minor"/>
      </rPr>
      <t>Pollutants are controlled at all main building entrances.</t>
    </r>
  </si>
  <si>
    <r>
      <t xml:space="preserve">902.0 Intent. </t>
    </r>
    <r>
      <rPr>
        <sz val="10"/>
        <rFont val="Calibri"/>
        <family val="2"/>
        <scheme val="minor"/>
      </rPr>
      <t>Pollutants generated in the building are controlled.</t>
    </r>
  </si>
  <si>
    <r>
      <t>902.1.2(4)</t>
    </r>
    <r>
      <rPr>
        <sz val="10"/>
        <rFont val="Calibri"/>
        <family val="2"/>
        <scheme val="minor"/>
      </rPr>
      <t xml:space="preserve"> 4 or more automatic timer/humidistat devices installed</t>
    </r>
  </si>
  <si>
    <r>
      <t>902.1.2(3)</t>
    </r>
    <r>
      <rPr>
        <sz val="10"/>
        <rFont val="Calibri"/>
        <family val="2"/>
        <scheme val="minor"/>
      </rPr>
      <t xml:space="preserve"> 3 automatic timer/humidistat devices installed</t>
    </r>
  </si>
  <si>
    <r>
      <t>902.1.3</t>
    </r>
    <r>
      <rPr>
        <sz val="10"/>
        <rFont val="Calibri"/>
        <family val="2"/>
        <scheme val="minor"/>
      </rPr>
      <t xml:space="preserve"> Kitchen range, bathroom, and laundry exhaust are verified to specification. Ventilation airflow at the point of exhaust is tested to a minimum of 100 cfm (47.2 L/s) intermittent or 25 cfm (11.8 L/s) continuous for kitchens, and 50 cfm (23.6 L/s) intermittent or 20 cfm (9.4 L/s) continuous for bathrooms and/or laundry.</t>
    </r>
  </si>
  <si>
    <r>
      <t>902.2.1(1)</t>
    </r>
    <r>
      <rPr>
        <sz val="10"/>
        <rFont val="Calibri"/>
        <family val="2"/>
        <scheme val="minor"/>
      </rPr>
      <t xml:space="preserve"> Exhaust or supply fan(s) ready for continuous operation and with appropriately labeled controls.</t>
    </r>
  </si>
  <si>
    <r>
      <t xml:space="preserve">902.2.1(2) </t>
    </r>
    <r>
      <rPr>
        <sz val="10"/>
        <rFont val="Calibri"/>
        <family val="2"/>
        <scheme val="minor"/>
      </rPr>
      <t>Balanced exhaust and supply fans with supply intakes located in accordance with the manufacturer's guidelines to not introduce polluted air back into the building.</t>
    </r>
  </si>
  <si>
    <r>
      <t>902.2.1(3)</t>
    </r>
    <r>
      <rPr>
        <sz val="10"/>
        <rFont val="Calibri"/>
        <family val="2"/>
        <scheme val="minor"/>
      </rPr>
      <t xml:space="preserve"> Heat-recovery ventilator</t>
    </r>
  </si>
  <si>
    <r>
      <t>902.2.1(4)</t>
    </r>
    <r>
      <rPr>
        <sz val="10"/>
        <rFont val="Calibri"/>
        <family val="2"/>
        <scheme val="minor"/>
      </rPr>
      <t xml:space="preserve"> Energy-recovery ventilator</t>
    </r>
  </si>
  <si>
    <t>Mandatory where the maximum air infiltration rate is less than 5 ACH50.</t>
  </si>
  <si>
    <r>
      <t>902.2.2</t>
    </r>
    <r>
      <rPr>
        <sz val="10"/>
        <rFont val="Calibri"/>
        <family val="2"/>
        <scheme val="minor"/>
      </rPr>
      <t xml:space="preserve"> Ventilation airflow is tested to achieve the design fan airflow at point of exhaust in accordance with section 902.2.1.</t>
    </r>
  </si>
  <si>
    <r>
      <t>902.2.3</t>
    </r>
    <r>
      <rPr>
        <sz val="10"/>
        <rFont val="Calibri"/>
        <family val="2"/>
        <scheme val="minor"/>
      </rPr>
      <t xml:space="preserve"> MERV filters 8 or greater are installed on central forced air systems and are accessible. Designer or installer is to verify that the HVAC equipment is able to accommodate the greater pressure drop of MERV 8 filters.</t>
    </r>
  </si>
  <si>
    <r>
      <t xml:space="preserve">902.4(1) </t>
    </r>
    <r>
      <rPr>
        <sz val="10"/>
        <rFont val="Calibri"/>
        <family val="2"/>
        <scheme val="minor"/>
      </rPr>
      <t>HVAC supply registers (boots), return grilles, and rough-ins are covered during construction activities to prevent dust and other pollutants from entering the system.</t>
    </r>
  </si>
  <si>
    <r>
      <t xml:space="preserve">902.4(2) </t>
    </r>
    <r>
      <rPr>
        <sz val="10"/>
        <rFont val="Calibri"/>
        <family val="2"/>
        <scheme val="minor"/>
      </rPr>
      <t>Prior to owner occupancy, HVAC supply registers (boots), return grilles, and duct terminations are inspected and vacuumed. In addition, the coils are inspected and cleaned and the filter is replaced if necessary.</t>
    </r>
  </si>
  <si>
    <r>
      <t xml:space="preserve">902.6 Living space contaminants. </t>
    </r>
    <r>
      <rPr>
        <sz val="10"/>
        <rFont val="Calibri"/>
        <family val="2"/>
        <scheme val="minor"/>
      </rPr>
      <t>The living space is sealed to prevent unwanted contaminants.The living space is sealed in accordance with Section 701.4.3.1 to prevent unwanted contaminants.</t>
    </r>
  </si>
  <si>
    <r>
      <t xml:space="preserve">903.1.1 </t>
    </r>
    <r>
      <rPr>
        <sz val="10"/>
        <rFont val="Calibri"/>
        <family val="2"/>
        <scheme val="minor"/>
      </rPr>
      <t>Cold water pipes in unconditioned spaces are insulated to a minimum of R-4 with pipe insulation or other covering that adequately prevents condensation.</t>
    </r>
  </si>
  <si>
    <t>903.1 Plumbing</t>
  </si>
  <si>
    <r>
      <t xml:space="preserve">903.1.2 </t>
    </r>
    <r>
      <rPr>
        <sz val="10"/>
        <rFont val="Calibri"/>
        <family val="2"/>
        <scheme val="minor"/>
      </rPr>
      <t>Plumbing is not installed in unconditioned spaces.</t>
    </r>
  </si>
  <si>
    <r>
      <t xml:space="preserve">903.2 Duct insulation. </t>
    </r>
    <r>
      <rPr>
        <sz val="10"/>
        <rFont val="Calibri"/>
        <family val="2"/>
        <scheme val="minor"/>
      </rPr>
      <t>Ducts are in accordance with one of the following.</t>
    </r>
  </si>
  <si>
    <r>
      <t>903.2(1)</t>
    </r>
    <r>
      <rPr>
        <sz val="10"/>
        <rFont val="Calibri"/>
        <family val="2"/>
        <scheme val="minor"/>
      </rPr>
      <t xml:space="preserve">  All HVAC ducts, plenums, and trunks are in conditioned space.</t>
    </r>
  </si>
  <si>
    <r>
      <t>903.2(2)</t>
    </r>
    <r>
      <rPr>
        <sz val="10"/>
        <rFont val="Calibri"/>
        <family val="2"/>
        <scheme val="minor"/>
      </rPr>
      <t xml:space="preserve"> All HVAC ducts, plenums, and trunks are in conditioned space. All HVAC ducts are insulated to a minimum of R4.</t>
    </r>
  </si>
  <si>
    <r>
      <t>903.3 Relative humidity.</t>
    </r>
    <r>
      <rPr>
        <sz val="10"/>
        <rFont val="Calibri"/>
        <family val="2"/>
        <scheme val="minor"/>
      </rPr>
      <t xml:space="preserve"> In climate zones 1A, 2A, 3A, 4A, and 5A as defined by Figure 6(1), equipment is installed to maintain relative humidity (RH) at or below 60% using one of the following:</t>
    </r>
  </si>
  <si>
    <r>
      <t>903.3(1)</t>
    </r>
    <r>
      <rPr>
        <sz val="10"/>
        <rFont val="Calibri"/>
        <family val="2"/>
        <scheme val="minor"/>
      </rPr>
      <t xml:space="preserve"> Additional dehumidification system(s)</t>
    </r>
  </si>
  <si>
    <r>
      <t xml:space="preserve">903.3(2) </t>
    </r>
    <r>
      <rPr>
        <sz val="10"/>
        <rFont val="Calibri"/>
        <family val="2"/>
        <scheme val="minor"/>
      </rPr>
      <t>Central HVAC system equipped with additional controls to operate in dehumidification mode</t>
    </r>
  </si>
  <si>
    <r>
      <t xml:space="preserve">904.1   Humidity monitoring system. </t>
    </r>
    <r>
      <rPr>
        <sz val="10"/>
        <rFont val="Calibri"/>
        <family val="2"/>
        <scheme val="minor"/>
      </rPr>
      <t>A humidity monitoring system is installed with a mobile base unit that displays a reading of temperature and relative humidity at the base unit with a minimum of two remote units. One remote unit is placed permanently inside the conditioned space in a central location, excluding attachment to exterior walls, and another remote unit is placed permanently outside of the conditioned space.</t>
    </r>
  </si>
  <si>
    <r>
      <t xml:space="preserve">904.2   Kitchen exhaust. </t>
    </r>
    <r>
      <rPr>
        <sz val="10"/>
        <rFont val="Calibri"/>
        <family val="2"/>
        <scheme val="minor"/>
      </rPr>
      <t xml:space="preserve">Kitchen exhaust unit(s) that equal or exceeds 400 cfm (189 L/s), and make-up air is provided.
</t>
    </r>
  </si>
  <si>
    <t>Point per 
Table 601.6</t>
  </si>
  <si>
    <r>
      <t xml:space="preserve">602.1.10 </t>
    </r>
    <r>
      <rPr>
        <sz val="10"/>
        <rFont val="Calibri"/>
        <family val="2"/>
        <scheme val="minor"/>
      </rPr>
      <t>Entries at exterior door assemblies are covered</t>
    </r>
  </si>
  <si>
    <r>
      <t xml:space="preserve">602.1.11 </t>
    </r>
    <r>
      <rPr>
        <sz val="10"/>
        <rFont val="Calibri"/>
        <family val="2"/>
        <scheme val="minor"/>
      </rPr>
      <t>Tile backing materials installed under tiled surfaces in wet areas are in accordance with ASTM C1178, C1278, C1288, or C1325.</t>
    </r>
  </si>
  <si>
    <r>
      <t xml:space="preserve">602.1.12 </t>
    </r>
    <r>
      <rPr>
        <sz val="10"/>
        <rFont val="Calibri"/>
        <family val="2"/>
        <scheme val="minor"/>
      </rPr>
      <t>Roof overhangs are provided over a minimum of 90% of exterior walls to protect the building envelope.</t>
    </r>
  </si>
  <si>
    <r>
      <t xml:space="preserve">602.1.13 </t>
    </r>
    <r>
      <rPr>
        <sz val="10"/>
        <rFont val="Calibri"/>
        <family val="2"/>
        <scheme val="minor"/>
      </rPr>
      <t xml:space="preserve"> In areas where there has been a history of ice forming along the eaves causing a backup of water, an ice barrier is installed in accordance with the ICC IRC or IBC at roof eaves and extends at a minimum of 24 inches (610 mm) inside the exterior wall line of the building.</t>
    </r>
  </si>
  <si>
    <r>
      <t xml:space="preserve">602.1.14 </t>
    </r>
    <r>
      <rPr>
        <sz val="10"/>
        <rFont val="Calibri"/>
        <family val="2"/>
        <scheme val="minor"/>
      </rPr>
      <t>Architectural features that increase the potential for water intrusion are avoided.</t>
    </r>
  </si>
  <si>
    <t>Mandatory
1 point if applicable</t>
  </si>
  <si>
    <r>
      <t xml:space="preserve">602.2 </t>
    </r>
    <r>
      <rPr>
        <sz val="10"/>
        <rFont val="Calibri"/>
        <family val="2"/>
        <scheme val="minor"/>
      </rPr>
      <t xml:space="preserve">A minimum of 90% of roof surfaces, not used for roof penetrations and associated equipment, on-site renewable energy systems such as photovoltaics or solar thermal energy collectors, or rooftop decks, amenities and walkways, are constructed of one or both of the following:
     </t>
    </r>
  </si>
  <si>
    <r>
      <t xml:space="preserve">(1) </t>
    </r>
    <r>
      <rPr>
        <sz val="10"/>
        <rFont val="Calibri"/>
        <family val="2"/>
        <scheme val="minor"/>
      </rPr>
      <t>products accordance with the ENERGY STAR® cool roof certification or equivalent</t>
    </r>
  </si>
  <si>
    <r>
      <t xml:space="preserve">(2) </t>
    </r>
    <r>
      <rPr>
        <sz val="10"/>
        <rFont val="Calibri"/>
        <family val="2"/>
        <scheme val="minor"/>
      </rPr>
      <t>a vegetated roof system</t>
    </r>
  </si>
  <si>
    <r>
      <t xml:space="preserve">(3) </t>
    </r>
    <r>
      <rPr>
        <sz val="10"/>
        <rFont val="Calibri"/>
        <family val="2"/>
        <scheme val="minor"/>
      </rPr>
      <t>Both</t>
    </r>
  </si>
  <si>
    <r>
      <t xml:space="preserve">602.3 </t>
    </r>
    <r>
      <rPr>
        <sz val="10"/>
        <rFont val="Calibri"/>
        <family val="2"/>
        <scheme val="minor"/>
      </rPr>
      <t>A gutter and downspout system or splash blocks and effective grading are provided to carry water a minimum of 5 feet (1524 mm) away from perimeter foundation walls.</t>
    </r>
  </si>
  <si>
    <r>
      <t xml:space="preserve">602.4.1 </t>
    </r>
    <r>
      <rPr>
        <sz val="10"/>
        <rFont val="Calibri"/>
        <family val="2"/>
        <scheme val="minor"/>
      </rPr>
      <t>Finished grade at all sides of a building is sloped to provide a minimum of 6 inches (150 mm) of fall within 10 feet (3048 mm) of the edge of the building. Where lot lines, walls, slopes, or other physical barriers prohibit 6 inches (152 mm) of fall within 10 feet (3048 mm), the final grade is sloped away from the edge of the building at a minimum slope of 2%.</t>
    </r>
  </si>
  <si>
    <t>The final grade is sloped away from the edge of the building at a minimum slope of 5%.</t>
  </si>
  <si>
    <r>
      <t>602.4.2</t>
    </r>
    <r>
      <rPr>
        <sz val="10"/>
        <rFont val="Calibri"/>
        <family val="2"/>
        <scheme val="minor"/>
      </rPr>
      <t xml:space="preserve"> The final grade is sloped away from the edge of the building at a minimum slope of 5%.</t>
    </r>
  </si>
  <si>
    <r>
      <t xml:space="preserve">602.4.3 </t>
    </r>
    <r>
      <rPr>
        <sz val="10"/>
        <rFont val="Calibri"/>
        <family val="2"/>
        <scheme val="minor"/>
      </rPr>
      <t>Water is directed to drains or swales to ensure drainage away from the structure.</t>
    </r>
  </si>
  <si>
    <r>
      <t xml:space="preserve">603.1 </t>
    </r>
    <r>
      <rPr>
        <sz val="10"/>
        <rFont val="Calibri"/>
        <family val="2"/>
        <scheme val="minor"/>
      </rPr>
      <t>Existing buildings and structures are reused, modified, or deconstructed in lieu of demolition.</t>
    </r>
    <r>
      <rPr>
        <b/>
        <sz val="10"/>
        <rFont val="Calibri"/>
        <family val="2"/>
        <scheme val="minor"/>
      </rPr>
      <t xml:space="preserve">  </t>
    </r>
    <r>
      <rPr>
        <b/>
        <i/>
        <sz val="10"/>
        <rFont val="Calibri"/>
        <family val="2"/>
        <scheme val="minor"/>
      </rPr>
      <t>(1 point per 200 ft² reused)</t>
    </r>
  </si>
  <si>
    <r>
      <t xml:space="preserve">603.2 </t>
    </r>
    <r>
      <rPr>
        <sz val="10"/>
        <rFont val="Calibri"/>
        <family val="2"/>
        <scheme val="minor"/>
      </rPr>
      <t>Reclaimed and/or salvaged materials and components are used. The total material value and labor cost of salvaged materials is equal to or exceeds 1 percent of the total construction cost.</t>
    </r>
    <r>
      <rPr>
        <b/>
        <sz val="10"/>
        <rFont val="Calibri"/>
        <family val="2"/>
        <scheme val="minor"/>
      </rPr>
      <t xml:space="preserve">  </t>
    </r>
    <r>
      <rPr>
        <b/>
        <i/>
        <sz val="10"/>
        <rFont val="Calibri"/>
        <family val="2"/>
        <scheme val="minor"/>
      </rPr>
      <t>(Points awarded per 1% of salvaged materials used based on the total construction cost.)</t>
    </r>
  </si>
  <si>
    <r>
      <t xml:space="preserve">603.3 </t>
    </r>
    <r>
      <rPr>
        <sz val="10"/>
        <rFont val="Calibri"/>
        <family val="2"/>
        <scheme val="minor"/>
      </rPr>
      <t>Facilitation for sorting and reuse of scrap building material (e.g., provide a central storage area or dedicated bins).</t>
    </r>
  </si>
  <si>
    <r>
      <rPr>
        <b/>
        <sz val="10"/>
        <rFont val="Calibri"/>
        <family val="2"/>
        <scheme val="minor"/>
      </rPr>
      <t>604.1.1</t>
    </r>
    <r>
      <rPr>
        <sz val="10"/>
        <rFont val="Calibri"/>
        <family val="2"/>
        <scheme val="minor"/>
      </rPr>
      <t xml:space="preserve"> Building materials w/ recycled content are used.  (MINOR Components)</t>
    </r>
  </si>
  <si>
    <r>
      <rPr>
        <b/>
        <sz val="10"/>
        <rFont val="Calibri"/>
        <family val="2"/>
        <scheme val="minor"/>
      </rPr>
      <t>604.1.2</t>
    </r>
    <r>
      <rPr>
        <sz val="10"/>
        <rFont val="Calibri"/>
        <family val="2"/>
        <scheme val="minor"/>
      </rPr>
      <t xml:space="preserve"> Building materials w/ recycled content are used.  (MAJOR Components)</t>
    </r>
  </si>
  <si>
    <r>
      <t xml:space="preserve">605.1 </t>
    </r>
    <r>
      <rPr>
        <sz val="10"/>
        <rFont val="Calibri"/>
        <family val="2"/>
        <scheme val="minor"/>
      </rPr>
      <t>A construction waste management plan is developed, posted at the jobsite, and implemented with a goal of recycling or salvaging a minimum of 50% (by weight) of construction waste.</t>
    </r>
  </si>
  <si>
    <r>
      <t xml:space="preserve">605.2 </t>
    </r>
    <r>
      <rPr>
        <sz val="10"/>
        <rFont val="Calibri"/>
        <family val="2"/>
        <scheme val="minor"/>
      </rPr>
      <t>On-site recycling of 50% by weight of C&amp; D waste (e.g., grinding/application for soil amendment).</t>
    </r>
  </si>
  <si>
    <r>
      <t xml:space="preserve">605.3 </t>
    </r>
    <r>
      <rPr>
        <sz val="10"/>
        <rFont val="Calibri"/>
        <family val="2"/>
        <scheme val="minor"/>
      </rPr>
      <t>Construction materials (e.g., wood, cardboard, metals, drywall, plastic, asphalt roofing shingles, or concrete) are recycled offsite.</t>
    </r>
    <r>
      <rPr>
        <b/>
        <sz val="10"/>
        <rFont val="Calibri"/>
        <family val="2"/>
        <scheme val="minor"/>
      </rPr>
      <t/>
    </r>
  </si>
  <si>
    <t>two types @ 0.5% of material cost</t>
  </si>
  <si>
    <t>two types @ 1% of material cost</t>
  </si>
  <si>
    <t>each additional material at 0.5%</t>
  </si>
  <si>
    <t>1 per type</t>
  </si>
  <si>
    <r>
      <t xml:space="preserve">606.1 </t>
    </r>
    <r>
      <rPr>
        <sz val="10"/>
        <rFont val="Calibri"/>
        <family val="2"/>
        <scheme val="minor"/>
      </rPr>
      <t>Biobased products are used.</t>
    </r>
  </si>
  <si>
    <r>
      <t xml:space="preserve">601.7 </t>
    </r>
    <r>
      <rPr>
        <sz val="10"/>
        <rFont val="Calibri"/>
        <family val="2"/>
        <scheme val="minor"/>
      </rPr>
      <t>Building materials/assemblies do not require additional site applied material for finishing.</t>
    </r>
    <r>
      <rPr>
        <b/>
        <sz val="10"/>
        <rFont val="Calibri"/>
        <family val="2"/>
        <scheme val="minor"/>
      </rPr>
      <t xml:space="preserve">  </t>
    </r>
  </si>
  <si>
    <r>
      <t xml:space="preserve">601.8 </t>
    </r>
    <r>
      <rPr>
        <sz val="10"/>
        <rFont val="Calibri"/>
        <family val="2"/>
        <scheme val="minor"/>
      </rPr>
      <t>Frost-protected shallow foundations, pier and pad foundations, post foundations, etc.</t>
    </r>
  </si>
  <si>
    <r>
      <t xml:space="preserve">601.9 </t>
    </r>
    <r>
      <rPr>
        <sz val="10"/>
        <rFont val="Calibri"/>
        <family val="2"/>
        <scheme val="minor"/>
      </rPr>
      <t>Adobe, concrete, log, earth systems provide sufficient structural and thermal characteristics (&gt;75% of the exterior wall area )</t>
    </r>
  </si>
  <si>
    <r>
      <t xml:space="preserve">606.2 </t>
    </r>
    <r>
      <rPr>
        <sz val="10"/>
        <rFont val="Calibri"/>
        <family val="2"/>
        <scheme val="minor"/>
      </rPr>
      <t>Wood or wood-based product types are certified to the requirements of a recognized product program:</t>
    </r>
  </si>
  <si>
    <t>2 materials</t>
  </si>
  <si>
    <t>3 materials</t>
  </si>
  <si>
    <r>
      <t xml:space="preserve">606.3 </t>
    </r>
    <r>
      <rPr>
        <sz val="10"/>
        <rFont val="Calibri"/>
        <family val="2"/>
        <scheme val="minor"/>
      </rPr>
      <t>Materials used for major components are manufactured using a min. of 33% of the primary manufacturing process energy from renewable sources, combustible waste sources, or renewable energy credits (RECs).</t>
    </r>
  </si>
  <si>
    <t>3+ materials</t>
  </si>
  <si>
    <r>
      <t xml:space="preserve">607.1(1) </t>
    </r>
    <r>
      <rPr>
        <sz val="10"/>
        <rFont val="Calibri"/>
        <family val="2"/>
        <scheme val="minor"/>
      </rPr>
      <t>A built-in collection space in each kitchen and an aggregation/pick-up space in a garage, covered outdoor space, or other area for recycling containers.</t>
    </r>
  </si>
  <si>
    <r>
      <t xml:space="preserve">607.1(2) </t>
    </r>
    <r>
      <rPr>
        <sz val="10"/>
        <rFont val="Calibri"/>
        <family val="2"/>
        <scheme val="minor"/>
      </rPr>
      <t>Compost facility provided on-site.</t>
    </r>
  </si>
  <si>
    <r>
      <t xml:space="preserve">607.2 </t>
    </r>
    <r>
      <rPr>
        <sz val="10"/>
        <rFont val="Calibri"/>
        <family val="2"/>
        <scheme val="minor"/>
      </rPr>
      <t>A minimum of one food waste disposer is installed at the primary kitchen sink.</t>
    </r>
  </si>
  <si>
    <r>
      <t xml:space="preserve">608.1 </t>
    </r>
    <r>
      <rPr>
        <sz val="10"/>
        <rFont val="Calibri"/>
        <family val="2"/>
        <scheme val="minor"/>
      </rPr>
      <t>Products containing fewer materials are used to achieve the same end-use requirements as conventional products, including but not limited to:
     (1) lighter, thinner brick with bed depth &lt; 3 inches and/or brick with coring &gt; 25%
     (2) engineered wood or engineered steel products
     (3) roof or floor trusses</t>
    </r>
  </si>
  <si>
    <r>
      <t xml:space="preserve">609.1 </t>
    </r>
    <r>
      <rPr>
        <sz val="10"/>
        <rFont val="Calibri"/>
        <family val="2"/>
        <scheme val="minor"/>
      </rPr>
      <t>Regional materials are used for major elements or components of the building.</t>
    </r>
  </si>
  <si>
    <r>
      <t xml:space="preserve">610.1  </t>
    </r>
    <r>
      <rPr>
        <sz val="10"/>
        <rFont val="Calibri"/>
        <family val="2"/>
        <scheme val="minor"/>
      </rPr>
      <t>A life cycle analysis (LCA) tool is used to select environmentally preferable products or assemblies, or an LCA is conducted on the entire building.</t>
    </r>
  </si>
  <si>
    <r>
      <t xml:space="preserve">610.1.1 </t>
    </r>
    <r>
      <rPr>
        <sz val="10"/>
        <rFont val="Calibri"/>
        <family val="2"/>
        <scheme val="minor"/>
      </rPr>
      <t>A whole-building LCA is performed using a life cycle assessment and data compliant with ISO 14044 or other recognized standards.</t>
    </r>
  </si>
  <si>
    <r>
      <t xml:space="preserve">610.1.2 </t>
    </r>
    <r>
      <rPr>
        <sz val="10"/>
        <rFont val="Calibri"/>
        <family val="2"/>
        <scheme val="minor"/>
      </rPr>
      <t>An environmentally preferable product or assembly is selected for an application based upon the use of an LCA tool that incorporates data methods compliant with ISO 14044 or other recognized standards that compare the environmental impact of products or assemblies.</t>
    </r>
  </si>
  <si>
    <r>
      <t xml:space="preserve">610.1.2(1) </t>
    </r>
    <r>
      <rPr>
        <sz val="10"/>
        <rFont val="Calibri"/>
        <family val="2"/>
        <scheme val="minor"/>
      </rPr>
      <t>Two or more products with the same intended use are compared based on LCA and the product with at least a 15% average improvement is selected. Number of points awarded is based on the number of environmental impact measures compared.</t>
    </r>
  </si>
  <si>
    <t>611 INNOVATIVE PRACTICES</t>
  </si>
  <si>
    <t>610 LIFE CYCLE ANALYSIS</t>
  </si>
  <si>
    <t>609 REGIONAL MATERIALS</t>
  </si>
  <si>
    <t>607 - Recycling</t>
  </si>
  <si>
    <t>608 RESOURCE-EFFICIENT MATERIALS</t>
  </si>
  <si>
    <t>607 RECYCLING &amp; WASTE REDUCTION</t>
  </si>
  <si>
    <r>
      <t xml:space="preserve">611.1  </t>
    </r>
    <r>
      <rPr>
        <sz val="10"/>
        <rFont val="Calibri"/>
        <family val="2"/>
        <scheme val="minor"/>
      </rPr>
      <t>Product manufacturer's operations and business practices include environmental management system concepts, and the production facility is ISO 14001 certified or equivalent.  The aggregate value of building products from ISO 14001 certified or equivalent production facilities is 1% or more of the estimated total building materials cost.</t>
    </r>
  </si>
  <si>
    <t>10+%</t>
  </si>
  <si>
    <r>
      <t xml:space="preserve">611.2  </t>
    </r>
    <r>
      <rPr>
        <sz val="10"/>
        <rFont val="Calibri"/>
        <family val="2"/>
        <scheme val="minor"/>
      </rPr>
      <t>One or more of the following products are used for at least 30% of the floor or wall area of the entire dwelling unit, as applicable. Certification third-party agency is ISO Guide 65 accredited.</t>
    </r>
  </si>
  <si>
    <t>(1) 50% or more of carpet installed (by square feet) is third-party certified to NSF/ANSI 140.</t>
  </si>
  <si>
    <t>(2) 50% or more of resilient flooring installed (by square feet) is third-party certified to NSF/ANSI 332.</t>
  </si>
  <si>
    <t>(3) 50% or more of the insulation installed (by square feet) is third-party certified to EcoLogo CCD-016.</t>
  </si>
  <si>
    <t>(4) 50% or more of interior wall coverings installed (by square feet) is third-party certified to NSF/ANSI 342.</t>
  </si>
  <si>
    <t>(5) 50% or more of the gypsum board installed (by square feet) is third-party certified to ULE ISR 100.</t>
  </si>
  <si>
    <t>(6) 50% or more of the door leafs installed (by number of door leafs) is third-party certified to ULE ISR 102.</t>
  </si>
  <si>
    <t>(7) 50% or more of the tile installed (by square feet) is third-party certified to ANSI A138.1 Specifications for Sustainable Ceramic Tiles, Glass Tiles and Tile Installation Materials.</t>
  </si>
  <si>
    <r>
      <t>611.3  Universal design elements.</t>
    </r>
    <r>
      <rPr>
        <sz val="10"/>
        <rFont val="Calibri"/>
        <family val="2"/>
        <scheme val="minor"/>
      </rPr>
      <t xml:space="preserve"> Dwelling incorporates one or more of the following universal design elements.</t>
    </r>
  </si>
  <si>
    <t>(1) Any no-step entrance into the dwelling which is accessible from a substantially level parking or drop-off area (no more than 2%) via an accessible path which has no individual change in elevation or other obstruction of more than 1-1/2 inches in height, whose pitch does not exceed 1 in 12 and which provides a minimum 32-inch wide clearance into the dwelling.</t>
  </si>
  <si>
    <t>(2) Minimum 36-inch wide accessible route from the no-step entrance into at least one visiting room in the dwelling and into at least one full or half bathroom which has a minimum 32 inch clear door width and a 30 inch by 48 inch clear area inside the bathroom outside the door swing.</t>
  </si>
  <si>
    <t>(3) Minimum 36-inch wide accessible route from the no-step entrance into at least one bedroom which has a minimum 32 inch clear door width.</t>
  </si>
  <si>
    <t>(4) Blocking or equivalent installed in the accessible bathroom walls for future installation of grab bars at commode and bathing fixture, if applicable.</t>
  </si>
  <si>
    <t>Select # of impact measures in LCA for exterior walls:</t>
  </si>
  <si>
    <t>Select # of impact measures in LCA for roof/ceilings:</t>
  </si>
  <si>
    <t>Select # of impact measures in LCA for intermediate floors:</t>
  </si>
  <si>
    <t>Select # of impact measures in LCA for interior walls or ceilings:</t>
  </si>
  <si>
    <t>4 measures</t>
  </si>
  <si>
    <t>5 measures</t>
  </si>
  <si>
    <t># of comparions with 4 impact measures:</t>
  </si>
  <si>
    <t># of comparions with 5 impact measures:</t>
  </si>
  <si>
    <r>
      <t>610.1.2(2) Building assembly LCA.</t>
    </r>
    <r>
      <rPr>
        <sz val="10"/>
        <rFont val="Calibri"/>
        <family val="2"/>
        <scheme val="minor"/>
      </rPr>
      <t xml:space="preserve">  A building assembly with improved environmental impact measures compared to an alternative assembly of the same function is selected.</t>
    </r>
  </si>
  <si>
    <t># of impact measures in LCA for exterior walls:</t>
  </si>
  <si>
    <t># of impact measures in LCA for roof/ceilings:</t>
  </si>
  <si>
    <t># of impact measures in LCA for interior walls or ceilings:</t>
  </si>
  <si>
    <t># of impact measures in LCA for intermediate floors:</t>
  </si>
  <si>
    <r>
      <t xml:space="preserve">701.3  Adopting Entity review. </t>
    </r>
    <r>
      <rPr>
        <sz val="10"/>
        <rFont val="Calibri"/>
        <family val="2"/>
        <scheme val="minor"/>
      </rPr>
      <t xml:space="preserve">A review by third party shall be conducted to verify design and compliance with Chapter 7 points.  </t>
    </r>
  </si>
  <si>
    <r>
      <t>701.4.2.1</t>
    </r>
    <r>
      <rPr>
        <sz val="10"/>
        <rFont val="Calibri"/>
        <family val="2"/>
        <scheme val="minor"/>
      </rPr>
      <t xml:space="preserve">  Ducts are air sealed with materials in conformance with UL 181A or UL 181B specifications</t>
    </r>
  </si>
  <si>
    <r>
      <t>701.4.2.3</t>
    </r>
    <r>
      <rPr>
        <sz val="10"/>
        <rFont val="Calibri"/>
        <family val="2"/>
        <scheme val="minor"/>
      </rPr>
      <t xml:space="preserve">  Duct system is sized and designed in accordance with ACCA Manual D or equivalent</t>
    </r>
  </si>
  <si>
    <r>
      <t xml:space="preserve">701.4.3.2 Air sealing and insulation. </t>
    </r>
    <r>
      <rPr>
        <sz val="10"/>
        <rFont val="Calibri"/>
        <family val="2"/>
        <scheme val="minor"/>
      </rPr>
      <t>Grade 3 insulation installation is not permitted. The compliance of the building envelope air tightness and insulation installation is demonstrated in accordance with Section 701.4.3.2(1) or 701.4.3.2(2).</t>
    </r>
  </si>
  <si>
    <r>
      <t xml:space="preserve">701.4.3.2(1) Testing option. </t>
    </r>
    <r>
      <rPr>
        <sz val="10"/>
        <rFont val="Calibri"/>
        <family val="2"/>
        <scheme val="minor"/>
      </rPr>
      <t>Building envelope tightness and insulation installation is considered acceptable when air leakage is less than seven air changes per hour (ACH) when tested with a blower door at a pressure of 33.5 psf (50 Pa).</t>
    </r>
  </si>
  <si>
    <r>
      <rPr>
        <b/>
        <sz val="10"/>
        <rFont val="Calibri"/>
        <family val="2"/>
        <scheme val="minor"/>
      </rPr>
      <t>Fenestration air leakage.</t>
    </r>
    <r>
      <rPr>
        <sz val="10"/>
        <rFont val="Calibri"/>
        <family val="2"/>
        <scheme val="minor"/>
      </rPr>
      <t xml:space="preserve"> Windows, skylights and sliding glass doors have an air infiltration rate of no more than 0.3 cfm per square foot (1.5 L/s/m2), and swinging doors no more than 0.5 cfm per square foot (2.6 L/s/m2), when tested in accordance with NFRC 400 or AAMA/WDMA/CSA 101/I.S.2/A440 by an accredited, independent laboratory and listed and labeled. 
</t>
    </r>
    <r>
      <rPr>
        <b/>
        <sz val="10"/>
        <rFont val="Calibri"/>
        <family val="2"/>
        <scheme val="minor"/>
      </rPr>
      <t>Exception:</t>
    </r>
    <r>
      <rPr>
        <sz val="10"/>
        <rFont val="Calibri"/>
        <family val="2"/>
        <scheme val="minor"/>
      </rPr>
      <t xml:space="preserve"> Site-built windows, skylights and doors.</t>
    </r>
  </si>
  <si>
    <r>
      <t>701.4.4</t>
    </r>
    <r>
      <rPr>
        <sz val="10"/>
        <rFont val="Calibri"/>
        <family val="2"/>
        <scheme val="minor"/>
      </rPr>
      <t xml:space="preserve">  </t>
    </r>
    <r>
      <rPr>
        <b/>
        <sz val="10"/>
        <rFont val="Calibri"/>
        <family val="2"/>
        <scheme val="minor"/>
      </rPr>
      <t xml:space="preserve">High-efficacy lighting. </t>
    </r>
    <r>
      <rPr>
        <sz val="10"/>
        <rFont val="Calibri"/>
        <family val="2"/>
        <scheme val="minor"/>
      </rPr>
      <t>A minimum of 50% of the total hard-wired lighting fixtures, or the bulbs in those fixtures, qualify as high efficacy or equivalent.</t>
    </r>
  </si>
  <si>
    <r>
      <t>701.4.3.4</t>
    </r>
    <r>
      <rPr>
        <sz val="10"/>
        <rFont val="Calibri"/>
        <family val="2"/>
        <scheme val="minor"/>
      </rPr>
      <t xml:space="preserve">  </t>
    </r>
    <r>
      <rPr>
        <b/>
        <sz val="10"/>
        <rFont val="Calibri"/>
        <family val="2"/>
        <scheme val="minor"/>
      </rPr>
      <t xml:space="preserve">Recessed lighting. </t>
    </r>
    <r>
      <rPr>
        <sz val="10"/>
        <rFont val="Calibri"/>
        <family val="2"/>
        <scheme val="minor"/>
      </rPr>
      <t>Recessed luminaires installed in the building thermal envelope are sealed to limit air leakage between conditioned and unconditioned spaces.</t>
    </r>
  </si>
  <si>
    <r>
      <t>701.4.3.3</t>
    </r>
    <r>
      <rPr>
        <sz val="10"/>
        <rFont val="Calibri"/>
        <family val="2"/>
        <scheme val="minor"/>
      </rPr>
      <t xml:space="preserve">  </t>
    </r>
    <r>
      <rPr>
        <b/>
        <sz val="10"/>
        <rFont val="Calibri"/>
        <family val="2"/>
        <scheme val="minor"/>
      </rPr>
      <t xml:space="preserve">Fenestration air leakage. </t>
    </r>
    <r>
      <rPr>
        <sz val="10"/>
        <rFont val="Calibri"/>
        <family val="2"/>
        <scheme val="minor"/>
      </rPr>
      <t>Windows, skylights and sliding glass doors have an air infiltration rate of no more than 0.3 cfm per square foot (1.5 L/s/m2), and swinging doors no more than 0.5 cfm per square foot (2.6 L/s/m2).</t>
    </r>
  </si>
  <si>
    <r>
      <t>701.4.5</t>
    </r>
    <r>
      <rPr>
        <sz val="10"/>
        <rFont val="Calibri"/>
        <family val="2"/>
        <scheme val="minor"/>
      </rPr>
      <t xml:space="preserve">  </t>
    </r>
    <r>
      <rPr>
        <b/>
        <sz val="10"/>
        <rFont val="Calibri"/>
        <family val="2"/>
        <scheme val="minor"/>
      </rPr>
      <t>Boiler supply piping.</t>
    </r>
    <r>
      <rPr>
        <sz val="10"/>
        <rFont val="Calibri"/>
        <family val="2"/>
        <scheme val="minor"/>
      </rPr>
      <t xml:space="preserve"> Boiler supply piping in unconditioned space is insulated.</t>
    </r>
  </si>
  <si>
    <r>
      <t xml:space="preserve">702.2.1 ICC IECC analysis. </t>
    </r>
    <r>
      <rPr>
        <sz val="10"/>
        <rFont val="Calibri"/>
        <family val="2"/>
        <scheme val="minor"/>
      </rPr>
      <t>Energy efficiency features are implemented to achieve energy cost performance that meets the ICC IECC.</t>
    </r>
  </si>
  <si>
    <r>
      <t>703.1.1</t>
    </r>
    <r>
      <rPr>
        <sz val="10"/>
        <rFont val="Calibri"/>
        <family val="2"/>
        <scheme val="minor"/>
      </rPr>
      <t xml:space="preserve"> </t>
    </r>
    <r>
      <rPr>
        <b/>
        <sz val="10"/>
        <rFont val="Calibri"/>
        <family val="2"/>
        <scheme val="minor"/>
      </rPr>
      <t>UA improvement.</t>
    </r>
    <r>
      <rPr>
        <sz val="10"/>
        <rFont val="Calibri"/>
        <family val="2"/>
        <scheme val="minor"/>
      </rPr>
      <t xml:space="preserve"> The total building thermal envelope UA is less than or equal to the total UA resulting from the U-factors provided in Table 703.1.1(a). Where insulation is used to achieve the UA improvement, the insulation installation is in accordance with Grade 1 requirements as graded by a third-party. Total UA is documented using a RESCheck or equivalent report to verify the baseline and the UA improvement.</t>
    </r>
  </si>
  <si>
    <r>
      <t>703.1.3 Mass walls.</t>
    </r>
    <r>
      <rPr>
        <sz val="10"/>
        <rFont val="Calibri"/>
        <family val="2"/>
        <scheme val="minor"/>
      </rPr>
      <t xml:space="preserve"> More than 75% of the above-grade exterior opaque wall area of the building is mass walls.</t>
    </r>
  </si>
  <si>
    <r>
      <t xml:space="preserve">703.1.4 </t>
    </r>
    <r>
      <rPr>
        <sz val="10"/>
        <rFont val="Calibri"/>
        <family val="2"/>
        <scheme val="minor"/>
      </rPr>
      <t>A radiant barrier with an emittance of 0.05 or less is used in the attic.</t>
    </r>
  </si>
  <si>
    <r>
      <t xml:space="preserve">703.1.5 Building envelope leakage. </t>
    </r>
    <r>
      <rPr>
        <sz val="10"/>
        <rFont val="Calibri"/>
        <family val="2"/>
        <scheme val="minor"/>
      </rPr>
      <t>The maximum building envelope leakage rate is in accordance with Table 703.1.5. (Also see Section 902.2.1)</t>
    </r>
  </si>
  <si>
    <t>Max Envelope Leakage Rate (ACH50) = 1</t>
  </si>
  <si>
    <t>Max Envelope Leakage Rate (ACH50) = 2</t>
  </si>
  <si>
    <t>Max Envelope Leakage Rate (ACH50) = 3</t>
  </si>
  <si>
    <t>Max Envelope Leakage Rate (ACH50) = 4</t>
  </si>
  <si>
    <t>Max Envelope Leakage Rate (ACH50) = 5</t>
  </si>
  <si>
    <t>703.1.6 Fenestration</t>
  </si>
  <si>
    <r>
      <t xml:space="preserve">703.1.6.1 </t>
    </r>
    <r>
      <rPr>
        <sz val="10"/>
        <rFont val="Calibri"/>
        <family val="2"/>
        <scheme val="minor"/>
      </rPr>
      <t>NFRC-certified (or equivalent) U-factor and SHGC of windows, exterior doors, skylights, and tubular daylighting devices (TDDs) on an area-weighted average basis are in accordance with Table 703.1.6.1.</t>
    </r>
  </si>
  <si>
    <r>
      <t xml:space="preserve">703.1.6.2 </t>
    </r>
    <r>
      <rPr>
        <sz val="10"/>
        <rFont val="Calibri"/>
        <family val="2"/>
        <scheme val="minor"/>
      </rPr>
      <t>The NFRC-certified (or equivalent) U-factor and SHGC of windows, exterior doors, skylights, and tubular daylighting devices (TDDs) are in accordance with Table 703.1.6.2(a), (b), or (c).</t>
    </r>
  </si>
  <si>
    <t>703.2 HVAC equipment efficiency</t>
  </si>
  <si>
    <r>
      <t xml:space="preserve">703.2.1 </t>
    </r>
    <r>
      <rPr>
        <sz val="10"/>
        <rFont val="Calibri"/>
        <family val="2"/>
        <scheme val="minor"/>
      </rPr>
      <t xml:space="preserve"> Combination space heating and water heating system (combo system) is installed using either a coil from the water heater connected to an air handler to provide heat for the building or dwelling unit, or a space heating boiler using an indirect-fired water heater.  Devices have a combined annual efficiency of 0.80.</t>
    </r>
  </si>
  <si>
    <r>
      <t xml:space="preserve">703.2.2 </t>
    </r>
    <r>
      <rPr>
        <sz val="10"/>
        <rFont val="Calibri"/>
        <family val="2"/>
        <scheme val="minor"/>
      </rPr>
      <t>Furnace and/or boiler efficiency is in accordance with Tables 703.2.2(1), 703.2.2(2), 703.2.2(3), 703.2.2(4).</t>
    </r>
  </si>
  <si>
    <r>
      <t xml:space="preserve">703.2.3 </t>
    </r>
    <r>
      <rPr>
        <sz val="10"/>
        <rFont val="Calibri"/>
        <family val="2"/>
        <scheme val="minor"/>
      </rPr>
      <t>Heat pump heating efficiency is in accordance with Table 703.2.4. Refrigerant charge is verified for compliance with manufacturer's instructions.</t>
    </r>
  </si>
  <si>
    <t>8.2 HSPF (11.5 EER)</t>
  </si>
  <si>
    <t>9.0 HSPF (12.5 EER)</t>
  </si>
  <si>
    <r>
      <t xml:space="preserve">703.2.4 </t>
    </r>
    <r>
      <rPr>
        <sz val="10"/>
        <rFont val="Calibri"/>
        <family val="2"/>
        <scheme val="minor"/>
      </rPr>
      <t>Cooling efficiency is in accordance with Table 703.2.4.  Refrigerant charge is verified for compliance with manufacturer's instructions.</t>
    </r>
  </si>
  <si>
    <t>≥ 14 SEER (11.5 EER)</t>
  </si>
  <si>
    <t>≥ 15 SEER (12.5 EER)</t>
  </si>
  <si>
    <t>≥ 17 SEER (12.5 EER)</t>
  </si>
  <si>
    <r>
      <t xml:space="preserve">703.2.5 </t>
    </r>
    <r>
      <rPr>
        <sz val="10"/>
        <rFont val="Calibri"/>
        <family val="2"/>
        <scheme val="minor"/>
      </rPr>
      <t xml:space="preserve"> Water source cooling and heating efficiency is ≥ 15 EER, ≥ 4.0 COP.</t>
    </r>
  </si>
  <si>
    <r>
      <t xml:space="preserve">703.2.6 </t>
    </r>
    <r>
      <rPr>
        <sz val="10"/>
        <rFont val="Calibri"/>
        <family val="2"/>
        <scheme val="minor"/>
      </rPr>
      <t>Ground source heat pump is installed by a Certified Geothermal Service Contractor in accordance with Table 703.2.6.</t>
    </r>
  </si>
  <si>
    <r>
      <t xml:space="preserve">703.2.7 </t>
    </r>
    <r>
      <rPr>
        <sz val="10"/>
        <rFont val="Calibri"/>
        <family val="2"/>
        <scheme val="minor"/>
      </rPr>
      <t xml:space="preserve"> ENERGY STAR, or equivalent, ceiling fan(s) are installed.</t>
    </r>
  </si>
  <si>
    <t>ENERGY STAR, or equivalent, ceiling fan(s) are installed.</t>
  </si>
  <si>
    <r>
      <t xml:space="preserve">703.2.8 </t>
    </r>
    <r>
      <rPr>
        <sz val="10"/>
        <rFont val="Calibri"/>
        <family val="2"/>
        <scheme val="minor"/>
      </rPr>
      <t xml:space="preserve"> Whole-building or whole-dwelling unit fan(s) with insulated louvers and a sealed enclosure is installed.</t>
    </r>
  </si>
  <si>
    <t>703.3  Duct Systems</t>
  </si>
  <si>
    <r>
      <t xml:space="preserve">703.3.1  </t>
    </r>
    <r>
      <rPr>
        <sz val="10"/>
        <rFont val="Calibri"/>
        <family val="2"/>
        <scheme val="minor"/>
      </rPr>
      <t>All space heating is provided by a system(s) that does not include air ducts.</t>
    </r>
  </si>
  <si>
    <r>
      <t xml:space="preserve">703.3.2  </t>
    </r>
    <r>
      <rPr>
        <sz val="10"/>
        <rFont val="Calibri"/>
        <family val="2"/>
        <scheme val="minor"/>
      </rPr>
      <t>All space cooling is provided by a system(s) that does not include air ducts.</t>
    </r>
  </si>
  <si>
    <r>
      <t xml:space="preserve">703.3.3  </t>
    </r>
    <r>
      <rPr>
        <sz val="10"/>
        <rFont val="Calibri"/>
        <family val="2"/>
        <scheme val="minor"/>
      </rPr>
      <t>Ductwork is in accordance with all of the following:
              (1) Building cavities are not used as return ductwork.
              (2) Heating and cooling ducts and mechanical equipment are installed within the conditioned building space.
              (3) Ductwork is not installed in exterior walls.</t>
    </r>
  </si>
  <si>
    <r>
      <t>703.3.4  Duct Leakage.</t>
    </r>
    <r>
      <rPr>
        <sz val="10"/>
        <rFont val="Calibri"/>
        <family val="2"/>
        <scheme val="minor"/>
      </rPr>
      <t xml:space="preserve"> The entire central HVAC duct system, including air handlers and register boots, is tested by a third party for total leakage at a pressure differential of 0.1 inches w.g. (25 Pa) and maximum air leakage is equal to or less than 6 percent of the system design flow rate.</t>
    </r>
  </si>
  <si>
    <t>703.4  Water heating system</t>
  </si>
  <si>
    <r>
      <t xml:space="preserve">703.4.1 </t>
    </r>
    <r>
      <rPr>
        <sz val="10"/>
        <rFont val="Calibri"/>
        <family val="2"/>
        <scheme val="minor"/>
      </rPr>
      <t>Water heater Energy Factor (EF) is in accordance with the tables in 703.4.1.</t>
    </r>
  </si>
  <si>
    <r>
      <t xml:space="preserve">703.4.2 </t>
    </r>
    <r>
      <rPr>
        <sz val="10"/>
        <rFont val="Calibri"/>
        <family val="2"/>
        <scheme val="minor"/>
      </rPr>
      <t>Desuperheater is installed by a qualified installer or is pre-installed in the factory.</t>
    </r>
  </si>
  <si>
    <r>
      <t xml:space="preserve">703.4.4 </t>
    </r>
    <r>
      <rPr>
        <sz val="10"/>
        <rFont val="Calibri"/>
        <family val="2"/>
        <scheme val="minor"/>
      </rPr>
      <t>Indirect-fired water heater storage tanks heated from boiler systems are installed.</t>
    </r>
  </si>
  <si>
    <r>
      <t>703.4.5 Solar water heater.</t>
    </r>
    <r>
      <rPr>
        <sz val="10"/>
        <rFont val="Calibri"/>
        <family val="2"/>
        <scheme val="minor"/>
      </rPr>
      <t xml:space="preserve">  SRCC (Solar Rating &amp; Certification Corporation) OG 300 rated, or equivalent, solar domestic water heating system is installed. Solar Energy Factor (SEF) as defined by SRCC) is in accordance with Table 703.4.5.</t>
    </r>
  </si>
  <si>
    <t>703.5  Lighting and appliances</t>
  </si>
  <si>
    <r>
      <rPr>
        <b/>
        <sz val="10"/>
        <rFont val="Calibri"/>
        <family val="2"/>
        <scheme val="minor"/>
      </rPr>
      <t xml:space="preserve">Hard-wired lighting. </t>
    </r>
    <r>
      <rPr>
        <sz val="10"/>
        <rFont val="Calibri"/>
        <family val="2"/>
        <scheme val="minor"/>
      </rPr>
      <t xml:space="preserve">Hard-wired lighting is in accordance with one of the following: </t>
    </r>
  </si>
  <si>
    <r>
      <t>703.5.1</t>
    </r>
    <r>
      <rPr>
        <sz val="10"/>
        <rFont val="Calibri"/>
        <family val="2"/>
        <scheme val="minor"/>
      </rPr>
      <t xml:space="preserve">  Hard-wired lighting is in accordance with one of the following:</t>
    </r>
  </si>
  <si>
    <r>
      <t xml:space="preserve">A minimum of 80 percent of the </t>
    </r>
    <r>
      <rPr>
        <b/>
        <sz val="10"/>
        <color theme="1"/>
        <rFont val="Calibri"/>
        <family val="2"/>
        <scheme val="minor"/>
      </rPr>
      <t>exterior lighting</t>
    </r>
    <r>
      <rPr>
        <sz val="10"/>
        <color theme="1"/>
        <rFont val="Calibri"/>
        <family val="2"/>
        <scheme val="minor"/>
      </rPr>
      <t xml:space="preserve"> wattage has a minimum efficiency of 40 lumens per watt or is solar-powered.  </t>
    </r>
  </si>
  <si>
    <r>
      <t>703.5.1(1)</t>
    </r>
    <r>
      <rPr>
        <sz val="10"/>
        <rFont val="Calibri"/>
        <family val="2"/>
        <scheme val="minor"/>
      </rPr>
      <t xml:space="preserve"> A minimum of 75% of the total hard-wired luminaires qualify as ENERGY STAR or equivalent.</t>
    </r>
  </si>
  <si>
    <r>
      <t>703.5.1(1)</t>
    </r>
    <r>
      <rPr>
        <sz val="10"/>
        <rFont val="Calibri"/>
        <family val="2"/>
        <scheme val="minor"/>
      </rPr>
      <t xml:space="preserve"> A minimum of 95% of the total hard-wired luminaires qualify as ENERGY STAR or equivalent.</t>
    </r>
  </si>
  <si>
    <r>
      <t>703.5.1(2)</t>
    </r>
    <r>
      <rPr>
        <sz val="10"/>
        <rFont val="Calibri"/>
        <family val="2"/>
        <scheme val="minor"/>
      </rPr>
      <t xml:space="preserve"> A minimum of 80% of the exterior lighting wattage has a minimum efficiency of 40 lumens per watt or is solar-powered.</t>
    </r>
  </si>
  <si>
    <r>
      <t>703.5.2  Recessed luminaires.</t>
    </r>
    <r>
      <rPr>
        <sz val="10"/>
        <rFont val="Calibri"/>
        <family val="2"/>
        <scheme val="minor"/>
      </rPr>
      <t xml:space="preserve"> The number of recessed luminaires that penetrate the thermal envelope are less than 1 per 400 square feet (37.16 m2) of total conditioned floor area and are in accordance with Section 701.4.3.4.</t>
    </r>
  </si>
  <si>
    <r>
      <t>703.5.3</t>
    </r>
    <r>
      <rPr>
        <sz val="10"/>
        <rFont val="Calibri"/>
        <family val="2"/>
        <scheme val="minor"/>
      </rPr>
      <t xml:space="preserve">  </t>
    </r>
    <r>
      <rPr>
        <b/>
        <sz val="10"/>
        <rFont val="Calibri"/>
        <family val="2"/>
        <scheme val="minor"/>
      </rPr>
      <t>Appliances.</t>
    </r>
    <r>
      <rPr>
        <sz val="10"/>
        <rFont val="Calibri"/>
        <family val="2"/>
        <scheme val="minor"/>
      </rPr>
      <t xml:space="preserve"> ENERGY STAR or equivalent appliance(s) are installed.</t>
    </r>
  </si>
  <si>
    <r>
      <t>703.5.4</t>
    </r>
    <r>
      <rPr>
        <sz val="10"/>
        <rFont val="Calibri"/>
        <family val="2"/>
        <scheme val="minor"/>
      </rPr>
      <t xml:space="preserve"> </t>
    </r>
    <r>
      <rPr>
        <b/>
        <sz val="10"/>
        <rFont val="Calibri"/>
        <family val="2"/>
        <scheme val="minor"/>
      </rPr>
      <t>Induction cooktop.</t>
    </r>
    <r>
      <rPr>
        <sz val="10"/>
        <rFont val="Calibri"/>
        <family val="2"/>
        <scheme val="minor"/>
      </rPr>
      <t xml:space="preserve"> Induction cooktop is installed.</t>
    </r>
  </si>
  <si>
    <t>703.6 Passive solar design</t>
  </si>
  <si>
    <r>
      <t>703.6.1</t>
    </r>
    <r>
      <rPr>
        <sz val="10"/>
        <rFont val="Calibri"/>
        <family val="2"/>
        <scheme val="minor"/>
      </rPr>
      <t xml:space="preserve"> </t>
    </r>
    <r>
      <rPr>
        <b/>
        <sz val="10"/>
        <rFont val="Calibri"/>
        <family val="2"/>
        <scheme val="minor"/>
      </rPr>
      <t>Sun-tempered design.</t>
    </r>
    <r>
      <rPr>
        <sz val="10"/>
        <rFont val="Calibri"/>
        <family val="2"/>
        <scheme val="minor"/>
      </rPr>
      <t xml:space="preserve"> Building orientation, sizing of glazing, and design of overhangs are in accordance with Sections 703.6.1(1-9).</t>
    </r>
  </si>
  <si>
    <r>
      <t xml:space="preserve">703.6.2 </t>
    </r>
    <r>
      <rPr>
        <sz val="10"/>
        <rFont val="Calibri"/>
        <family val="2"/>
        <scheme val="minor"/>
      </rPr>
      <t xml:space="preserve"> </t>
    </r>
    <r>
      <rPr>
        <b/>
        <sz val="10"/>
        <rFont val="Calibri"/>
        <family val="2"/>
        <scheme val="minor"/>
      </rPr>
      <t>Window shading.</t>
    </r>
    <r>
      <rPr>
        <sz val="10"/>
        <rFont val="Calibri"/>
        <family val="2"/>
        <scheme val="minor"/>
      </rPr>
      <t xml:space="preserve"> Automated solar protection is installed to provide shading for windows.</t>
    </r>
  </si>
  <si>
    <r>
      <t>703.6.3</t>
    </r>
    <r>
      <rPr>
        <sz val="10"/>
        <rFont val="Calibri"/>
        <family val="2"/>
        <scheme val="minor"/>
      </rPr>
      <t xml:space="preserve">  Passive cooling design features are in accordance with at least 3 from (1)-(6) below, but no more than 4.</t>
    </r>
  </si>
  <si>
    <r>
      <t xml:space="preserve">Overhangs are installed to provide shading on south-facing glazing in accordance with Section 703.6.1(7). 
</t>
    </r>
    <r>
      <rPr>
        <b/>
        <i/>
        <sz val="10"/>
        <rFont val="Calibri"/>
        <family val="2"/>
        <scheme val="minor"/>
      </rPr>
      <t>Points not awarded if points are taken under Section 703.6.1</t>
    </r>
  </si>
  <si>
    <t>Internal exposed thermal mass is a minimum of three inches (76 mm) in thickness. Thermal mass consists of concrete, brick, and/or tile that are fully adhered to a masonry base or other masonry material and is in accordance with one or a combination of the following:
      (a) A minimum of 1 square foot (0.09 m2) of exposed thermal mass of floor per 3 square feet (2.8 m2) of gross finished floor area.
      (b) A minimum of 3 square feet (2.8 m2) of exposed thermal mass in interior walls or elements per square foot (0.09 m2) of gross finished floor area.</t>
  </si>
  <si>
    <r>
      <t>703.6.4</t>
    </r>
    <r>
      <rPr>
        <sz val="10"/>
        <rFont val="Calibri"/>
        <family val="2"/>
        <scheme val="minor"/>
      </rPr>
      <t xml:space="preserve"> </t>
    </r>
    <r>
      <rPr>
        <b/>
        <sz val="10"/>
        <rFont val="Calibri"/>
        <family val="2"/>
        <scheme val="minor"/>
      </rPr>
      <t>Passive solar heating design.</t>
    </r>
    <r>
      <rPr>
        <sz val="10"/>
        <rFont val="Calibri"/>
        <family val="2"/>
        <scheme val="minor"/>
      </rPr>
      <t xml:space="preserve"> In addition to the sun-tempered design features in Section 703.6.1, all of Sections 703.6.4 (1-3) are implemented.</t>
    </r>
  </si>
  <si>
    <r>
      <t xml:space="preserve">704.2.1 Occupancy sensors. </t>
    </r>
    <r>
      <rPr>
        <sz val="10"/>
        <rFont val="Calibri"/>
        <family val="2"/>
        <scheme val="minor"/>
      </rPr>
      <t>Occupancy sensors are installed on indoor lights, and photo or motion sensors are installed on outdoor lights to control lighting.</t>
    </r>
  </si>
  <si>
    <t>704.2 Lighting</t>
  </si>
  <si>
    <r>
      <t>704.2.2</t>
    </r>
    <r>
      <rPr>
        <sz val="10"/>
        <rFont val="Calibri"/>
        <family val="2"/>
        <scheme val="minor"/>
      </rPr>
      <t xml:space="preserve"> </t>
    </r>
    <r>
      <rPr>
        <b/>
        <sz val="10"/>
        <rFont val="Calibri"/>
        <family val="2"/>
        <scheme val="minor"/>
      </rPr>
      <t>TDDs and skylights.</t>
    </r>
    <r>
      <rPr>
        <sz val="10"/>
        <rFont val="Calibri"/>
        <family val="2"/>
        <scheme val="minor"/>
      </rPr>
      <t xml:space="preserve"> Tubular daylighting device (TDD) or a skylight with sealed, insulated, low-E glass is installed in rooms without windows.</t>
    </r>
  </si>
  <si>
    <r>
      <t xml:space="preserve">704.3  Return ducts and transfer grilles. </t>
    </r>
    <r>
      <rPr>
        <sz val="10"/>
        <rFont val="Calibri"/>
        <family val="2"/>
        <scheme val="minor"/>
      </rPr>
      <t>Return ducts or transfer grilles are installed in every room with a door.  Return ducts or transfer grilles are not required for bathrooms, kitchens, closets, pantries, and laundry rooms.</t>
    </r>
  </si>
  <si>
    <t>Third-party on-site inspection is conducted to verify compliance with all of the following, as applicable.  Minimum of two inspections are performed.  One inspection after insulation is installed and prior to covering, and another inspection upon completion of the building. Where multiple buildings or dwelling units of the same model are built by the same builder, a representative sample inspection of a minimum of 15 percent of the buildings or dwelling units is permitted. 
     (1) Ducts are installed in accordance with the ICC IRC or IMC and ducts are sealed.
     (2) Building envelope air sealing is installed.
     (3) Insulation is installed in accordance with Section 703.1.2.
     (4) Windows, skylights, and doors are flashed, caulked, and sealed in accordance with manufacturer's instructions and in accordance with Section 701.4.3.</t>
  </si>
  <si>
    <t>704.4 HVAC design and installation</t>
  </si>
  <si>
    <r>
      <t>704.4.1</t>
    </r>
    <r>
      <rPr>
        <sz val="10"/>
        <rFont val="Calibri"/>
        <family val="2"/>
        <scheme val="minor"/>
      </rPr>
      <t xml:space="preserve">  HVAC contractor and service technician are certified by a nationally or regionally recognized program (e.g., North American Technician Excellence, Inc. (NATE), Air Conditioning Contractors of Americas Quality Assured Program (ACCA/QA), Building Performance Institute (BPI), Radiant Panel Association, or manufacturers’ training program).</t>
    </r>
  </si>
  <si>
    <t>704.5 Installation and performance verification</t>
  </si>
  <si>
    <r>
      <t>704.5.1</t>
    </r>
    <r>
      <rPr>
        <sz val="10"/>
        <rFont val="Calibri"/>
        <family val="2"/>
        <scheme val="minor"/>
      </rPr>
      <t xml:space="preserve"> Third-party on-site inspection is conducted to verify compliance with all of the following, as applicable.  Minimum of two inspections are performed.  One inspection after insulation is installed and prior to covering, and another inspection upon completion of the building. Where multiple buildings or dwelling units of the same model are built by the same builder, a representative sample inspection of a minimum of 15 percent of the buildings or dwelling units is permitted. 
     (1) Ducts are installed in accordance with the ICC IRC or IMC and ducts are sealed.
     (2) Building envelope air sealing is installed.
     (3) Insulation is installed in accordance with Section 703.1.2.
     (4) Windows, skylights, and doors are flashed, caulked, and sealed in accordance with manufacturer's instructions and in accordance with Section 701.4.3.</t>
    </r>
  </si>
  <si>
    <r>
      <t>704.5.2</t>
    </r>
    <r>
      <rPr>
        <sz val="10"/>
        <rFont val="Calibri"/>
        <family val="2"/>
        <scheme val="minor"/>
      </rPr>
      <t xml:space="preserve">  </t>
    </r>
    <r>
      <rPr>
        <b/>
        <sz val="10"/>
        <rFont val="Calibri"/>
        <family val="2"/>
        <scheme val="minor"/>
      </rPr>
      <t>Testing.</t>
    </r>
    <r>
      <rPr>
        <sz val="10"/>
        <rFont val="Calibri"/>
        <family val="2"/>
        <scheme val="minor"/>
      </rPr>
      <t xml:space="preserve"> Testing above mandatory requirements is conducted to verify performance.  </t>
    </r>
  </si>
  <si>
    <t>704.5.2.1 Building envelope leakage testing.</t>
  </si>
  <si>
    <r>
      <t>704.5.3</t>
    </r>
    <r>
      <rPr>
        <sz val="10"/>
        <rFont val="Calibri"/>
        <family val="2"/>
        <scheme val="minor"/>
      </rPr>
      <t xml:space="preserve"> Insulating hot water pipes. Insulation with a minimum thermal resistance (R-value) of at least R-3 is applied to the following, as applicable:
     (a) piping larger than 3/4-inch outside diameter   
     (b) piping serving more than one dwelling unit 
     (c) piping branches serving kitchen sinks 
     (d) piping located outside the conditioned space 
     (e) piping from the water heater to a distribution manifold 
     (f) piping located under a floor slab 
     (g) buried piping 
     (h) piping in recirculation systems other than demand recirculation systems
     (i) all other piping except the piping that meets the length requirements of Table 704.5.3</t>
    </r>
  </si>
  <si>
    <r>
      <t xml:space="preserve">704.5.2.2 HVAC airflow testing. </t>
    </r>
    <r>
      <rPr>
        <sz val="10"/>
        <rFont val="Calibri"/>
        <family val="2"/>
        <scheme val="minor"/>
      </rPr>
      <t>Balanced HVAC airflows are demonstrated by flow hood or other acceptable flow measurement tool by a third party. Test results are in accordance with both of the following:
     (1) Measured flow at each supply and return register is within 25% of design flow.
     (2) Total airflow is within 10% of design flow.</t>
    </r>
  </si>
  <si>
    <r>
      <t xml:space="preserve">705.1 Energy consumption control. </t>
    </r>
    <r>
      <rPr>
        <sz val="10"/>
        <rFont val="Calibri"/>
        <family val="2"/>
        <scheme val="minor"/>
      </rPr>
      <t>A whole-building or whole-dwelling unit device is installed that controls or monitors energy consumption.</t>
    </r>
  </si>
  <si>
    <r>
      <t xml:space="preserve">705.3 Smart Appliances and Systems. </t>
    </r>
    <r>
      <rPr>
        <sz val="10"/>
        <rFont val="Calibri"/>
        <family val="2"/>
        <scheme val="minor"/>
      </rPr>
      <t>Smart appliances and systems are installed as follows.</t>
    </r>
  </si>
  <si>
    <t>705.4 Pumps</t>
  </si>
  <si>
    <r>
      <t xml:space="preserve">705.4.1 </t>
    </r>
    <r>
      <rPr>
        <sz val="10"/>
        <rFont val="Calibri"/>
        <family val="2"/>
        <scheme val="minor"/>
      </rPr>
      <t>Pool, spa, and water features equipped with filtration pumps as follows.</t>
    </r>
  </si>
  <si>
    <r>
      <t xml:space="preserve">705.4.1(1) </t>
    </r>
    <r>
      <rPr>
        <sz val="10"/>
        <rFont val="Calibri"/>
        <family val="2"/>
        <scheme val="minor"/>
      </rPr>
      <t>Two-speed pump(s) is installed.</t>
    </r>
  </si>
  <si>
    <r>
      <t xml:space="preserve">705.4.1(2) </t>
    </r>
    <r>
      <rPr>
        <sz val="10"/>
        <rFont val="Calibri"/>
        <family val="2"/>
        <scheme val="minor"/>
      </rPr>
      <t>Electronically controlled variable-speed pump(s) is installed (efficiency of 90 percent or greater).</t>
    </r>
  </si>
  <si>
    <r>
      <t xml:space="preserve">705.4.2 </t>
    </r>
    <r>
      <rPr>
        <sz val="10"/>
        <rFont val="Calibri"/>
        <family val="2"/>
        <scheme val="minor"/>
      </rPr>
      <t>Sump pump(s) with electrically commutated motors (ECMs) or permanent split capacitor (PSC) motors installed (efficiency of 90% or greater).</t>
    </r>
  </si>
  <si>
    <r>
      <t xml:space="preserve">705.5  Additional renewable energy options. </t>
    </r>
    <r>
      <rPr>
        <sz val="10"/>
        <rFont val="Calibri"/>
        <family val="2"/>
        <scheme val="minor"/>
      </rPr>
      <t xml:space="preserve"> Renewable energy system(s) is installed on the property (e.g., solar photovoltaic panels, building integrated photovoltaic system, wind energy system, on-site micro-hydro power system, active solar space heating system, solar thermal hydronic heating system, photovoltaic hybrid heating system). </t>
    </r>
  </si>
  <si>
    <r>
      <t xml:space="preserve">705.6 Parking garage efficiency. </t>
    </r>
    <r>
      <rPr>
        <sz val="10"/>
        <rFont val="Calibri"/>
        <family val="2"/>
        <scheme val="minor"/>
      </rPr>
      <t xml:space="preserve"> Structured parking garages are designed to require no mechanical ventilation for fresh air requirements.</t>
    </r>
  </si>
  <si>
    <t>points</t>
  </si>
  <si>
    <r>
      <t xml:space="preserve">703.2.9 </t>
    </r>
    <r>
      <rPr>
        <sz val="10"/>
        <color rgb="FFFF0000"/>
        <rFont val="Calibri"/>
        <family val="2"/>
        <scheme val="minor"/>
      </rPr>
      <t xml:space="preserve"> In multi-unit buildings</t>
    </r>
    <r>
      <rPr>
        <sz val="10"/>
        <rFont val="Calibri"/>
        <family val="2"/>
        <scheme val="minor"/>
      </rPr>
      <t>, an advanced electric and fossil fuel submetering system is installed to monitor electricity and fossil fuel consumption for each unit.</t>
    </r>
  </si>
  <si>
    <r>
      <t xml:space="preserve">703.4.3 </t>
    </r>
    <r>
      <rPr>
        <sz val="10"/>
        <rFont val="Calibri"/>
        <family val="2"/>
        <scheme val="minor"/>
      </rPr>
      <t xml:space="preserve"> Drain-water heat recovery system is installed in </t>
    </r>
    <r>
      <rPr>
        <sz val="10"/>
        <color rgb="FFFF0000"/>
        <rFont val="Calibri"/>
        <family val="2"/>
        <scheme val="minor"/>
      </rPr>
      <t>multi-family units</t>
    </r>
    <r>
      <rPr>
        <sz val="10"/>
        <rFont val="Calibri"/>
        <family val="2"/>
        <scheme val="minor"/>
      </rPr>
      <t>.</t>
    </r>
  </si>
  <si>
    <t>&lt;50% of dwelling's projected electricity &amp; gas use is provided by renewable energy</t>
  </si>
  <si>
    <t>50% or more of dwelling's projected electricity &amp; gas use provided by renewable energy</t>
  </si>
  <si>
    <r>
      <t>602.1.10(1)</t>
    </r>
    <r>
      <rPr>
        <sz val="10"/>
        <rFont val="Calibri"/>
        <family val="2"/>
        <scheme val="minor"/>
      </rPr>
      <t xml:space="preserve"> 1 exterior door</t>
    </r>
  </si>
  <si>
    <r>
      <t>602.1.10(2)</t>
    </r>
    <r>
      <rPr>
        <sz val="10"/>
        <rFont val="Calibri"/>
        <family val="2"/>
        <scheme val="minor"/>
      </rPr>
      <t xml:space="preserve"> 2 exterior doors </t>
    </r>
  </si>
  <si>
    <r>
      <t xml:space="preserve">602.1.10(3) </t>
    </r>
    <r>
      <rPr>
        <sz val="10"/>
        <rFont val="Calibri"/>
        <family val="2"/>
        <scheme val="minor"/>
      </rPr>
      <t>3 or more exterior doors</t>
    </r>
  </si>
  <si>
    <r>
      <t>602.1.14(1)</t>
    </r>
    <r>
      <rPr>
        <sz val="10"/>
        <rFont val="Calibri"/>
        <family val="2"/>
        <scheme val="minor"/>
      </rPr>
      <t xml:space="preserve"> No roof configurations that create horizontal valleys in roof design.</t>
    </r>
  </si>
  <si>
    <r>
      <t>602.1.14(2)</t>
    </r>
    <r>
      <rPr>
        <sz val="10"/>
        <rFont val="Calibri"/>
        <family val="2"/>
        <scheme val="minor"/>
      </rPr>
      <t xml:space="preserve"> No recessed windows and architectural features that trap water on horizontal surfaces.</t>
    </r>
  </si>
  <si>
    <r>
      <t xml:space="preserve">602.1.14(3) </t>
    </r>
    <r>
      <rPr>
        <sz val="10"/>
        <rFont val="Calibri"/>
        <family val="2"/>
        <scheme val="minor"/>
      </rPr>
      <t>All horizontal ledgers are sloped away to provide gravity drainage as appropriate for the application.</t>
    </r>
  </si>
  <si>
    <t>* Meet the requirements of 801.5(1): High Efficiency or Waterless Toilets</t>
  </si>
  <si>
    <t>Section 801.5(1): High Efficiency or Waterless Toilets</t>
  </si>
  <si>
    <t>Conditions for this item must be met to attain the Gold or Emerald Level for this project.</t>
  </si>
  <si>
    <t>Section 801.1: Indoor hot water usage</t>
  </si>
  <si>
    <t>See Practice 801.1</t>
  </si>
  <si>
    <t>See Practice 602.1.5</t>
  </si>
  <si>
    <t>See Practice 602.1.6</t>
  </si>
  <si>
    <t>See 602.1.12</t>
  </si>
  <si>
    <t>See Practice 901.5(2)</t>
  </si>
  <si>
    <t>See 903.3</t>
  </si>
  <si>
    <t>Figure 9(1): EPA Map of Radon Zones</t>
  </si>
  <si>
    <t>See Practice 902.3</t>
  </si>
  <si>
    <t>See Practice 902.2.1</t>
  </si>
  <si>
    <t>See Practice 901.11</t>
  </si>
  <si>
    <t>See Practice 901.10</t>
  </si>
  <si>
    <t>See Practice 901.9.3</t>
  </si>
  <si>
    <t>See Practice 901.8</t>
  </si>
  <si>
    <t>See Practice 901.7</t>
  </si>
  <si>
    <t>See Practice 901.6(2)</t>
  </si>
  <si>
    <t>Initial launch of 2012 NGBS Scoring Spreadsheet</t>
  </si>
  <si>
    <t>Local Energy Code:</t>
  </si>
  <si>
    <t>Local Building Code:</t>
  </si>
  <si>
    <t>Local Energy Code</t>
  </si>
  <si>
    <t>2003 IECC</t>
  </si>
  <si>
    <t>2006 IECC</t>
  </si>
  <si>
    <t>2009 IECC</t>
  </si>
  <si>
    <t>2012 IECC</t>
  </si>
  <si>
    <t>Local Building Code</t>
  </si>
  <si>
    <t>2003 IRC</t>
  </si>
  <si>
    <t>2006 IRC</t>
  </si>
  <si>
    <t>2009 IRC</t>
  </si>
  <si>
    <t>2012 IRC</t>
  </si>
  <si>
    <t>2003 IBC</t>
  </si>
  <si>
    <t>2006 IBC</t>
  </si>
  <si>
    <t>2009 IBC</t>
  </si>
  <si>
    <t>2012 IBC</t>
  </si>
  <si>
    <t>Ductless:</t>
  </si>
  <si>
    <t>Radiant/Hydronic:</t>
  </si>
  <si>
    <t>Slab + crawlspace</t>
  </si>
  <si>
    <t>Electricity</t>
  </si>
  <si>
    <t>No regional history of ice dams</t>
  </si>
  <si>
    <t>No horizontal ledgers</t>
  </si>
  <si>
    <r>
      <t xml:space="preserve">Structural plywood used for floor, wall, and/or roof sheathing is compliant with DOC PS 1 and/or DOC PS 2. OSB used for floor, wall, and/or roof sheathing is compliant with DOC PS 2. The panels are made with moisture resistant adhesives. The trademark indicates these adhesives as follows: Exposure 1 or Exterior for plywood, and Exposure 1 for OSB.  </t>
    </r>
    <r>
      <rPr>
        <sz val="10"/>
        <color rgb="FFFF0000"/>
        <rFont val="Calibri"/>
        <family val="2"/>
        <scheme val="minor"/>
      </rPr>
      <t>NOTE: IF N/A IS SELECTED, PLEASE ENTER EXPLANATION IN THE Notes COLUMN.</t>
    </r>
  </si>
  <si>
    <t>Fiberglass</t>
  </si>
  <si>
    <t>Cellulose &amp; Rigid Foam</t>
  </si>
  <si>
    <t>SIP</t>
  </si>
  <si>
    <t>Spray &amp; Rigid Foam</t>
  </si>
  <si>
    <t>s.f./unit</t>
  </si>
  <si>
    <t xml:space="preserve">This is an indication to enter a value.  </t>
  </si>
  <si>
    <t xml:space="preserve"> The slightly darker blue cells have a drop down list for choosing the input value.</t>
  </si>
  <si>
    <t>This indicates a Mandatory input.</t>
  </si>
  <si>
    <t>This indicates scoring tool logic has been violated somehow. Check all instructions and warnings, make sure multiple values have not been chosen when only one is required, and do not enter data in fields marked as "off limits".  Look for notes or other nearby information to identify the cause of the problem.</t>
  </si>
  <si>
    <t>This indicates an area for personal notes in the Notes area.                   If the note is preceded with an asterisk (*), the area will be highlighted.</t>
  </si>
  <si>
    <t>The Notes column allows for personal comments. If more room is needed to enter text in a Notes field, expand the row height. This column must be used when a practice requires additional information.   Putting an * as the first character of a note will cause it to highlight a different color as a reminder to pay attention to the note.</t>
  </si>
  <si>
    <t>2 story bldg</t>
  </si>
  <si>
    <t>3 story bldg</t>
  </si>
  <si>
    <t>4+ story bldg</t>
  </si>
  <si>
    <t>No Duct System</t>
  </si>
  <si>
    <t>No Recessed Fixtures</t>
  </si>
  <si>
    <t>No Boiler</t>
  </si>
  <si>
    <t>Not Performance</t>
  </si>
  <si>
    <t>No site built wood burning</t>
  </si>
  <si>
    <t xml:space="preserve">Calculate per ANSI Z765.  For a multi-unit building, use a weighted average of the individual unit sizes. 
</t>
  </si>
  <si>
    <t>Project Information</t>
  </si>
  <si>
    <t>No pellet stove or furnace</t>
  </si>
  <si>
    <t>No wood stove or fireplace inserts</t>
  </si>
  <si>
    <t>Met - Zone 1 passive system</t>
  </si>
  <si>
    <t>Met - Zone 1 active system</t>
  </si>
  <si>
    <t>Points Awarded</t>
  </si>
  <si>
    <t>Designer Notes</t>
  </si>
  <si>
    <t>Verification Notes</t>
  </si>
  <si>
    <t>Project ID</t>
  </si>
  <si>
    <t>Fiberglass &amp; Rigid Foam</t>
  </si>
  <si>
    <t>Report Type</t>
  </si>
  <si>
    <t>Report Status</t>
  </si>
  <si>
    <t>Chapter 5 Totals</t>
  </si>
  <si>
    <t>&gt;=15%</t>
  </si>
  <si>
    <t>&gt;=30%</t>
  </si>
  <si>
    <t>&gt;=40%</t>
  </si>
  <si>
    <t>&gt;=50%</t>
  </si>
  <si>
    <t>902.2.1 test below</t>
  </si>
  <si>
    <r>
      <rPr>
        <b/>
        <sz val="14"/>
        <color theme="1"/>
        <rFont val="Calibri"/>
        <family val="2"/>
        <scheme val="minor"/>
      </rPr>
      <t>NGBS Scoring for New Construction</t>
    </r>
    <r>
      <rPr>
        <b/>
        <sz val="11"/>
        <color theme="1"/>
        <rFont val="Calibri"/>
        <family val="2"/>
        <scheme val="minor"/>
      </rPr>
      <t xml:space="preserve">
ICC 700-2012 National Green Building Standard™</t>
    </r>
  </si>
  <si>
    <t>Max=9</t>
  </si>
  <si>
    <r>
      <t>503.4(6)</t>
    </r>
    <r>
      <rPr>
        <sz val="10"/>
        <rFont val="Calibri"/>
        <family val="2"/>
        <scheme val="minor"/>
      </rPr>
      <t xml:space="preserve"> Conduct a hydrologic analysis that results in the design of a stormwater management system that maintains the pre-development (i.e., stable, natural) runoff hydrology of the lot throughout the development or redevelopment process. Post-construction runoff rate, volume, and duration cannot exceed predevelopment rates.</t>
    </r>
  </si>
  <si>
    <t xml:space="preserve">VERIFICATION REPORT - NATIONAL GREEN BUILDING STANDARD </t>
  </si>
  <si>
    <t>Not primary heat source</t>
  </si>
  <si>
    <t>age of report</t>
  </si>
  <si>
    <t>days old</t>
  </si>
  <si>
    <r>
      <t xml:space="preserve">Minimum </t>
    </r>
    <r>
      <rPr>
        <b/>
        <sz val="10"/>
        <color rgb="FFFF0000"/>
        <rFont val="Calibri"/>
        <family val="2"/>
        <scheme val="minor"/>
      </rPr>
      <t>Performance Path</t>
    </r>
    <r>
      <rPr>
        <b/>
        <sz val="10"/>
        <rFont val="Calibri"/>
        <family val="2"/>
        <scheme val="minor"/>
      </rPr>
      <t xml:space="preserve"> requirements.</t>
    </r>
    <r>
      <rPr>
        <sz val="10"/>
        <rFont val="Calibri"/>
        <family val="2"/>
        <scheme val="minor"/>
      </rPr>
      <t xml:space="preserve">  A building complying with Section 702 shall exceed the baseline minimum performance required by the ICC 2009 IECC by 15%, and include a minimum of 2 practices from Section 704.</t>
    </r>
  </si>
  <si>
    <t>Leak detection system with automatic shutoff</t>
  </si>
  <si>
    <t>Points per 
Table 703.2.2(1) or (2), (3), (4)</t>
  </si>
  <si>
    <t>Points per 
Table 703.4.1(1)(a) or (b)
 or
Table 703.4.1(2), (3), or (4)</t>
  </si>
  <si>
    <t>Building Type:</t>
  </si>
  <si>
    <t xml:space="preserve">Certification Level - As Designed </t>
  </si>
  <si>
    <t>Sign Off After ROUGH Inspection</t>
  </si>
  <si>
    <t>Designer Report Claimed</t>
  </si>
  <si>
    <t>Points Verified at Rough</t>
  </si>
  <si>
    <t xml:space="preserve">Points Needed For </t>
  </si>
  <si>
    <t>BRONZE</t>
  </si>
  <si>
    <t>SILVER</t>
  </si>
  <si>
    <t>GOLD</t>
  </si>
  <si>
    <t>EMERALD</t>
  </si>
  <si>
    <t>5 Lot Design</t>
  </si>
  <si>
    <t>6 Resource Efficiency</t>
  </si>
  <si>
    <t>7 Energy Efficiency</t>
  </si>
  <si>
    <t>8 Water Efficiecny</t>
  </si>
  <si>
    <t>9 Indoor Environment Quality</t>
  </si>
  <si>
    <t>10 Operation</t>
  </si>
  <si>
    <t>TOTAL</t>
  </si>
  <si>
    <t>Builder Comments &amp; Sign Off</t>
  </si>
  <si>
    <t>Email:</t>
  </si>
  <si>
    <t>Builder Rep. Signature (Optional)</t>
  </si>
  <si>
    <t>Name</t>
  </si>
  <si>
    <t>Phone:</t>
  </si>
  <si>
    <t>Verifier Comments &amp; Sign Off</t>
  </si>
  <si>
    <t>Email</t>
  </si>
  <si>
    <t>Verifier Signature</t>
  </si>
  <si>
    <t>End Time</t>
  </si>
  <si>
    <t>Verification Report</t>
  </si>
  <si>
    <t>Chapter 6 Totals</t>
  </si>
  <si>
    <t>Chapter 7 Totals</t>
  </si>
  <si>
    <t>Chapter 8 Totals</t>
  </si>
  <si>
    <t>Chapter 9 Totals</t>
  </si>
  <si>
    <t>Chapter 10 Totals</t>
  </si>
  <si>
    <t>BUILDING TOTAL</t>
  </si>
  <si>
    <t>Total Points Verified</t>
  </si>
  <si>
    <t>Verification Report Items</t>
  </si>
  <si>
    <t>Enter above grade conditioned Square footage:</t>
  </si>
  <si>
    <t>Status</t>
  </si>
  <si>
    <t>Ch 6</t>
  </si>
  <si>
    <t>Ch 7</t>
  </si>
  <si>
    <t>ch 10</t>
  </si>
  <si>
    <t>ch 9</t>
  </si>
  <si>
    <r>
      <t xml:space="preserve">505.4 Mixed-use development. </t>
    </r>
    <r>
      <rPr>
        <b/>
        <sz val="10"/>
        <color rgb="FFFF0000"/>
        <rFont val="Calibri"/>
        <family val="2"/>
        <scheme val="minor"/>
      </rPr>
      <t>The lot</t>
    </r>
    <r>
      <rPr>
        <b/>
        <sz val="10"/>
        <color theme="1"/>
        <rFont val="Calibri"/>
        <family val="2"/>
        <scheme val="minor"/>
      </rPr>
      <t xml:space="preserve"> contains a mixed-use building.</t>
    </r>
  </si>
  <si>
    <r>
      <t xml:space="preserve">505.5 Community garden(s). A portion of </t>
    </r>
    <r>
      <rPr>
        <b/>
        <sz val="10"/>
        <color rgb="FFFF0000"/>
        <rFont val="Calibri"/>
        <family val="2"/>
        <scheme val="minor"/>
      </rPr>
      <t>the lot</t>
    </r>
    <r>
      <rPr>
        <b/>
        <sz val="10"/>
        <color theme="1"/>
        <rFont val="Calibri"/>
        <family val="2"/>
        <scheme val="minor"/>
      </rPr>
      <t xml:space="preserve"> is established as a community garden(s), available to residents of the lot, to provide for local food production to residents or area consumers.</t>
    </r>
  </si>
  <si>
    <r>
      <t xml:space="preserve">503.5(8) </t>
    </r>
    <r>
      <rPr>
        <sz val="10"/>
        <rFont val="Calibri"/>
        <family val="2"/>
        <scheme val="minor"/>
      </rPr>
      <t xml:space="preserve">An </t>
    </r>
    <r>
      <rPr>
        <sz val="10"/>
        <color rgb="FFFF0000"/>
        <rFont val="Calibri"/>
        <family val="2"/>
        <scheme val="minor"/>
      </rPr>
      <t>integrated</t>
    </r>
    <r>
      <rPr>
        <sz val="10"/>
        <rFont val="Calibri"/>
        <family val="2"/>
        <scheme val="minor"/>
      </rPr>
      <t xml:space="preserve"> pest management plan is developed to minimize chemical use in pesticides and fertilizers.</t>
    </r>
  </si>
  <si>
    <t>505.2(1) Hardscape: Not less than 50 percent of the surface area of the hardscape on the lot meets one or a combination of the following methods.
     (a) Shading of hardscaping: Shade is provided from existing or new vegetation (within five years) or from trellises. Shade of hardscaping is to be measured on the summer solstice at noon.
     (b) Light-colored hardscaping: Horizontal hardscaping materials are installed with a solar reflectance index (SRI) of 29 or greater. The SRI shall be calculated in accordance with ASTM E1980. A default SRI value of 35 for new concrete without added color pigment is allowed to be used instead of measurements.
     (c) Permeable hardscaping: Permeable hardscaping materials are installed.</t>
  </si>
  <si>
    <t>Status points</t>
  </si>
  <si>
    <t>R &amp; F</t>
  </si>
  <si>
    <t>Explain</t>
  </si>
  <si>
    <t>logic 1</t>
  </si>
  <si>
    <t>logic 2</t>
  </si>
  <si>
    <t>logic3</t>
  </si>
  <si>
    <t>Level Achived</t>
  </si>
  <si>
    <t>5 points each</t>
  </si>
  <si>
    <t>2 points each</t>
  </si>
  <si>
    <t>Mandatory, if extends below grade</t>
  </si>
  <si>
    <r>
      <t xml:space="preserve">608.1 </t>
    </r>
    <r>
      <rPr>
        <sz val="10"/>
        <rFont val="Calibri"/>
        <family val="2"/>
        <scheme val="minor"/>
      </rPr>
      <t>Products containing fewer materials are used to achieve the same end-use requirements as conventional products, including but not limited to:
     (1) lighter, thinner brick &lt; 3 inches and/or brick with coring &gt; 25%
     (2) engineered wood or engineered steel products
     (3) roof or floor trusses</t>
    </r>
  </si>
  <si>
    <t>15 points max for 610.1</t>
  </si>
  <si>
    <r>
      <t xml:space="preserve">601.6(1) </t>
    </r>
    <r>
      <rPr>
        <sz val="10"/>
        <rFont val="Calibri"/>
        <family val="2"/>
        <scheme val="minor"/>
      </rPr>
      <t>2 story house</t>
    </r>
  </si>
  <si>
    <r>
      <t xml:space="preserve">601.6(2) </t>
    </r>
    <r>
      <rPr>
        <sz val="10"/>
        <rFont val="Calibri"/>
        <family val="2"/>
        <scheme val="minor"/>
      </rPr>
      <t>3 story house</t>
    </r>
  </si>
  <si>
    <r>
      <t xml:space="preserve">601.6(3) </t>
    </r>
    <r>
      <rPr>
        <sz val="10"/>
        <rFont val="Calibri"/>
        <family val="2"/>
        <scheme val="minor"/>
      </rPr>
      <t>4 or more  stories</t>
    </r>
  </si>
  <si>
    <t>503.4 Storm water management. A storm water management design includes one or more of the following low-impact development techniques: (For lots in a development, the points for items (1), (2), and (3) may be awarded for the lot when there is a community storm water management plan implemented and the builder does not violate that plan with respect to water leaving the lot.)</t>
  </si>
  <si>
    <t>505.1  Driveways and parking areas are minimized by one or more of the following:</t>
  </si>
  <si>
    <r>
      <t xml:space="preserve">601.6 Stories above grade are stacked, such as in 1½-story, 2-story, or greater structures.  </t>
    </r>
    <r>
      <rPr>
        <b/>
        <sz val="10"/>
        <color rgb="FFFF0000"/>
        <rFont val="Calibri"/>
        <family val="2"/>
        <scheme val="minor"/>
      </rPr>
      <t>The area of the upper story is a minimum of 50% of the area of the story below, based on areas with a minimum ceiling height of 7 feet (2134 mm).</t>
    </r>
  </si>
  <si>
    <r>
      <t xml:space="preserve">602.2 </t>
    </r>
    <r>
      <rPr>
        <sz val="10"/>
        <rFont val="Calibri"/>
        <family val="2"/>
        <scheme val="minor"/>
      </rPr>
      <t xml:space="preserve">A minimum of 90% of roof surfaces, not used for roof penetrations and associated equipment, on-site renewable energy systems such as photovoltaics or solar thermal energy collectors, or rooftop decks, amenities and walkways, are constructed of one or both of :
     </t>
    </r>
  </si>
  <si>
    <r>
      <rPr>
        <b/>
        <sz val="10"/>
        <rFont val="Calibri"/>
        <family val="2"/>
        <scheme val="minor"/>
      </rPr>
      <t>604.1.2</t>
    </r>
    <r>
      <rPr>
        <sz val="10"/>
        <rFont val="Calibri"/>
        <family val="2"/>
        <scheme val="minor"/>
      </rPr>
      <t xml:space="preserve"> Building materials w/ recycled content are used for two </t>
    </r>
    <r>
      <rPr>
        <sz val="10"/>
        <color rgb="FFFF0000"/>
        <rFont val="Calibri"/>
        <family val="2"/>
        <scheme val="minor"/>
      </rPr>
      <t>MAJOR</t>
    </r>
    <r>
      <rPr>
        <sz val="10"/>
        <rFont val="Calibri"/>
        <family val="2"/>
        <scheme val="minor"/>
      </rPr>
      <t xml:space="preserve"> Components.  </t>
    </r>
    <r>
      <rPr>
        <sz val="10"/>
        <color rgb="FFFF0000"/>
        <rFont val="Calibri"/>
        <family val="2"/>
        <scheme val="minor"/>
      </rPr>
      <t>Points only awarded for one pair.</t>
    </r>
  </si>
  <si>
    <r>
      <rPr>
        <b/>
        <sz val="10"/>
        <rFont val="Calibri"/>
        <family val="2"/>
        <scheme val="minor"/>
      </rPr>
      <t>604.1.1</t>
    </r>
    <r>
      <rPr>
        <sz val="10"/>
        <rFont val="Calibri"/>
        <family val="2"/>
        <scheme val="minor"/>
      </rPr>
      <t xml:space="preserve"> Building materials w/ recycled content are used for two </t>
    </r>
    <r>
      <rPr>
        <sz val="10"/>
        <color rgb="FFFF0000"/>
        <rFont val="Calibri"/>
        <family val="2"/>
        <scheme val="minor"/>
      </rPr>
      <t>MINOR</t>
    </r>
    <r>
      <rPr>
        <sz val="10"/>
        <rFont val="Calibri"/>
        <family val="2"/>
        <scheme val="minor"/>
      </rPr>
      <t xml:space="preserve"> Components. </t>
    </r>
    <r>
      <rPr>
        <sz val="10"/>
        <color rgb="FFFF0000"/>
        <rFont val="Calibri"/>
        <family val="2"/>
        <scheme val="minor"/>
      </rPr>
      <t>Points only awarded for one pair.</t>
    </r>
  </si>
  <si>
    <r>
      <t xml:space="preserve">610.1  </t>
    </r>
    <r>
      <rPr>
        <sz val="10"/>
        <rFont val="Calibri"/>
        <family val="2"/>
        <scheme val="minor"/>
      </rPr>
      <t xml:space="preserve">A life cycle analysis (LCA) tool is </t>
    </r>
    <r>
      <rPr>
        <sz val="10"/>
        <color rgb="FFFF0000"/>
        <rFont val="Calibri"/>
        <family val="2"/>
        <scheme val="minor"/>
      </rPr>
      <t>used to select</t>
    </r>
    <r>
      <rPr>
        <sz val="10"/>
        <rFont val="Calibri"/>
        <family val="2"/>
        <scheme val="minor"/>
      </rPr>
      <t xml:space="preserve"> environmentally preferable products or assemblies, or an LCA is conducted on the entire building.</t>
    </r>
  </si>
  <si>
    <r>
      <t xml:space="preserve">610.1.1 </t>
    </r>
    <r>
      <rPr>
        <sz val="10"/>
        <rFont val="Calibri"/>
        <family val="2"/>
        <scheme val="minor"/>
      </rPr>
      <t xml:space="preserve">A whole-building LCA is performed using a life cycle assessment and data compliant with </t>
    </r>
    <r>
      <rPr>
        <sz val="10"/>
        <color rgb="FFFF0000"/>
        <rFont val="Calibri"/>
        <family val="2"/>
        <scheme val="minor"/>
      </rPr>
      <t>ISO 14044</t>
    </r>
    <r>
      <rPr>
        <sz val="10"/>
        <rFont val="Calibri"/>
        <family val="2"/>
        <scheme val="minor"/>
      </rPr>
      <t xml:space="preserve"> or other recognized standards.</t>
    </r>
  </si>
  <si>
    <t>10 points max.
for 610.1.2(1) &amp; (2)</t>
  </si>
  <si>
    <t>Points per Table 610.1.2(1)</t>
  </si>
  <si>
    <t>MAX = 10
Points per Table 610.1.2(1)</t>
  </si>
  <si>
    <t>MAX = 10
Points per Table 610.1.2(2)</t>
  </si>
  <si>
    <r>
      <t xml:space="preserve">610.1.2 </t>
    </r>
    <r>
      <rPr>
        <sz val="10"/>
        <rFont val="Calibri"/>
        <family val="2"/>
        <scheme val="minor"/>
      </rPr>
      <t xml:space="preserve">An environmentally preferable product or assembly is selected for an application based upon the use of an LCA tool that incorporates data methods compliant with </t>
    </r>
    <r>
      <rPr>
        <sz val="10"/>
        <color rgb="FFFF0000"/>
        <rFont val="Calibri"/>
        <family val="2"/>
        <scheme val="minor"/>
      </rPr>
      <t>ISO 14044</t>
    </r>
    <r>
      <rPr>
        <sz val="10"/>
        <rFont val="Calibri"/>
        <family val="2"/>
        <scheme val="minor"/>
      </rPr>
      <t xml:space="preserve"> or other recognized standards that compare the environmental impact of products or assemblies. 
</t>
    </r>
  </si>
  <si>
    <r>
      <t xml:space="preserve">610.1.2.1 </t>
    </r>
    <r>
      <rPr>
        <sz val="10"/>
        <color rgb="FFFF0000"/>
        <rFont val="Calibri"/>
        <family val="2"/>
        <scheme val="minor"/>
      </rPr>
      <t>Two or more products</t>
    </r>
    <r>
      <rPr>
        <sz val="10"/>
        <rFont val="Calibri"/>
        <family val="2"/>
        <scheme val="minor"/>
      </rPr>
      <t xml:space="preserve"> with the same intended use are compared based on LCA and the product with </t>
    </r>
    <r>
      <rPr>
        <sz val="10"/>
        <color rgb="FFFF0000"/>
        <rFont val="Calibri"/>
        <family val="2"/>
        <scheme val="minor"/>
      </rPr>
      <t>at least a 15% average improvement is selected</t>
    </r>
    <r>
      <rPr>
        <sz val="10"/>
        <rFont val="Calibri"/>
        <family val="2"/>
        <scheme val="minor"/>
      </rPr>
      <t>. Number of points awarded is based on the number of environmental impact measures compared.
                                                                                                          Points per Table 610.1.2.1</t>
    </r>
  </si>
  <si>
    <r>
      <t>610.1.2.2 Building assembly LCA.</t>
    </r>
    <r>
      <rPr>
        <sz val="10"/>
        <rFont val="Calibri"/>
        <family val="2"/>
        <scheme val="minor"/>
      </rPr>
      <t xml:space="preserve">  A building assembly with improved environmental impact measures compared to an alternative assembly of the same function is </t>
    </r>
    <r>
      <rPr>
        <sz val="10"/>
        <color rgb="FFFF0000"/>
        <rFont val="Calibri"/>
        <family val="2"/>
        <scheme val="minor"/>
      </rPr>
      <t>selected</t>
    </r>
    <r>
      <rPr>
        <sz val="10"/>
        <rFont val="Calibri"/>
        <family val="2"/>
        <scheme val="minor"/>
      </rPr>
      <t>.                           Points per Table 610.1.2.2.</t>
    </r>
  </si>
  <si>
    <t>Verfication Report</t>
  </si>
  <si>
    <t>V Report610.1.2.2</t>
  </si>
  <si>
    <t xml:space="preserve">Mandatory, if there is a conditioned crawlspace </t>
  </si>
  <si>
    <t>No conditioned crawlspace</t>
  </si>
  <si>
    <t>Mandatory, if conditioned crawlspace</t>
  </si>
  <si>
    <r>
      <t xml:space="preserve">602.1.9 </t>
    </r>
    <r>
      <rPr>
        <sz val="10"/>
        <rFont val="Calibri"/>
        <family val="2"/>
        <scheme val="minor"/>
      </rPr>
      <t xml:space="preserve">Flashing is provided to minimize water entry into wall and roof assemblies and to direct water to exterior surfaces or exterior water-resistive barriers for drainage. </t>
    </r>
    <r>
      <rPr>
        <sz val="10"/>
        <color rgb="FFFF0000"/>
        <rFont val="Calibri"/>
        <family val="2"/>
        <scheme val="minor"/>
      </rPr>
      <t>Flashing details are provided in the construction documents</t>
    </r>
    <r>
      <rPr>
        <sz val="10"/>
        <rFont val="Calibri"/>
        <family val="2"/>
        <scheme val="minor"/>
      </rPr>
      <t xml:space="preserve"> and are in accordance with the fenestration manufacturer’s instructions, the flashing manufacturer’s instructions, or as detailed by a registered design professional.</t>
    </r>
  </si>
  <si>
    <r>
      <t xml:space="preserve">611.1  </t>
    </r>
    <r>
      <rPr>
        <sz val="10"/>
        <rFont val="Calibri"/>
        <family val="2"/>
        <scheme val="minor"/>
      </rPr>
      <t xml:space="preserve">Product manufacturer's operations and business practices include environmental management system concepts, and the production facility is ISO 14001 certified or equivalent.  The aggregate value of building products from </t>
    </r>
    <r>
      <rPr>
        <sz val="10"/>
        <color rgb="FFFF0000"/>
        <rFont val="Calibri"/>
        <family val="2"/>
        <scheme val="minor"/>
      </rPr>
      <t>ISO 14001 certified</t>
    </r>
    <r>
      <rPr>
        <sz val="10"/>
        <rFont val="Calibri"/>
        <family val="2"/>
        <scheme val="minor"/>
      </rPr>
      <t xml:space="preserve"> or equivalent production facilities is 1% or more of the estimated total building materials cost. 
                                                                         1 point per 1% of total building material cost </t>
    </r>
    <r>
      <rPr>
        <sz val="10"/>
        <color rgb="FFFF0000"/>
        <rFont val="Calibri"/>
        <family val="2"/>
        <scheme val="minor"/>
      </rPr>
      <t>MAX=10</t>
    </r>
  </si>
  <si>
    <t>Rough</t>
  </si>
  <si>
    <t>505.3 The average density on the lot on a net developable area basis is:</t>
  </si>
  <si>
    <r>
      <t xml:space="preserve">601.5 Precut, preassembled, panelized, or precast assemblies are utilized for a minimum of 90% for the following system or building.  </t>
    </r>
    <r>
      <rPr>
        <sz val="10"/>
        <rFont val="Calibri"/>
        <family val="2"/>
        <scheme val="minor"/>
      </rPr>
      <t>Points can be claimed for 601.5(1-3) OR 601.5(4) OR 601.5(5).</t>
    </r>
  </si>
  <si>
    <r>
      <t>504.3  On-site soil disturbance and erosion are minimized by one or more of the following in accordance with the SWPPP or applicable plan:</t>
    </r>
    <r>
      <rPr>
        <sz val="10"/>
        <rFont val="Calibri"/>
        <family val="2"/>
        <scheme val="minor"/>
      </rPr>
      <t xml:space="preserve"> (also see Section 503.3)</t>
    </r>
  </si>
  <si>
    <r>
      <t xml:space="preserve">502.1 Project team, mission statement, and goals. A knowledgeable team is established and team member roles are identified with respect to green lot design, preparation, and development. The project’s green goals and objectives </t>
    </r>
    <r>
      <rPr>
        <b/>
        <sz val="10"/>
        <color rgb="FFFF0000"/>
        <rFont val="Calibri"/>
        <family val="2"/>
        <scheme val="minor"/>
      </rPr>
      <t>for the lot are written</t>
    </r>
    <r>
      <rPr>
        <b/>
        <sz val="10"/>
        <rFont val="Calibri"/>
        <family val="2"/>
        <scheme val="minor"/>
      </rPr>
      <t xml:space="preserve"> into a mission statement.</t>
    </r>
  </si>
  <si>
    <r>
      <t xml:space="preserve">602.1.4.2 </t>
    </r>
    <r>
      <rPr>
        <sz val="10"/>
        <color theme="1"/>
        <rFont val="Calibri"/>
        <family val="2"/>
      </rPr>
      <t>Crawlspace that is built as a conditioned area is sealed to prevent outside air infiltration and provided with conditioned air at a rate &gt;= 0.02 cfm (.009 L/s) per square foot of horizontal area and one of the following is implemented:</t>
    </r>
  </si>
  <si>
    <r>
      <t xml:space="preserve">609.1 </t>
    </r>
    <r>
      <rPr>
        <sz val="10"/>
        <rFont val="Calibri"/>
        <family val="2"/>
        <scheme val="minor"/>
      </rPr>
      <t xml:space="preserve">Regional materials are used for </t>
    </r>
    <r>
      <rPr>
        <sz val="10"/>
        <color rgb="FFFF0000"/>
        <rFont val="Calibri"/>
        <family val="2"/>
        <scheme val="minor"/>
      </rPr>
      <t>major elements</t>
    </r>
    <r>
      <rPr>
        <sz val="10"/>
        <rFont val="Calibri"/>
        <family val="2"/>
        <scheme val="minor"/>
      </rPr>
      <t xml:space="preserve"> or components of the building.   2 points per material.</t>
    </r>
  </si>
  <si>
    <r>
      <t xml:space="preserve">MAX=10
</t>
    </r>
    <r>
      <rPr>
        <sz val="10"/>
        <color theme="1"/>
        <rFont val="Calibri"/>
        <family val="2"/>
        <scheme val="minor"/>
      </rPr>
      <t>2 points per material.</t>
    </r>
  </si>
  <si>
    <r>
      <t xml:space="preserve">MAX=9
</t>
    </r>
    <r>
      <rPr>
        <sz val="10"/>
        <color theme="1"/>
        <rFont val="Calibri"/>
        <family val="2"/>
        <scheme val="minor"/>
      </rPr>
      <t>3 points per product</t>
    </r>
  </si>
  <si>
    <t>MAX=10</t>
  </si>
  <si>
    <t>Final</t>
  </si>
  <si>
    <t>CZ</t>
  </si>
  <si>
    <t>CZword</t>
  </si>
  <si>
    <t>per Table 703.1.1b</t>
  </si>
  <si>
    <t>for 703.1.1</t>
  </si>
  <si>
    <t>0-5%</t>
  </si>
  <si>
    <t>5-10%</t>
  </si>
  <si>
    <t>10-15%</t>
  </si>
  <si>
    <t>15-20%</t>
  </si>
  <si>
    <t>&gt;20%</t>
  </si>
  <si>
    <t>VCZword</t>
  </si>
  <si>
    <t>for 703.1.3</t>
  </si>
  <si>
    <t>3-6inches</t>
  </si>
  <si>
    <t>&gt;6 inches</t>
  </si>
  <si>
    <t>VCZmass</t>
  </si>
  <si>
    <t>for 703.1.4</t>
  </si>
  <si>
    <t>VCZradiant</t>
  </si>
  <si>
    <t>for 703.1.5</t>
  </si>
  <si>
    <t>VCZACH50</t>
  </si>
  <si>
    <t>Table a</t>
  </si>
  <si>
    <t>Table b</t>
  </si>
  <si>
    <t>Table c</t>
  </si>
  <si>
    <t>U-value</t>
  </si>
  <si>
    <t>TDD U</t>
  </si>
  <si>
    <t>TDD SHGC</t>
  </si>
  <si>
    <t>Points avail</t>
  </si>
  <si>
    <t>Meets?</t>
  </si>
  <si>
    <t>table lookup row =</t>
  </si>
  <si>
    <t>VCZ</t>
  </si>
  <si>
    <t>703.2.2 Points</t>
  </si>
  <si>
    <t>Heat pump heating</t>
  </si>
  <si>
    <t>Cooling Eff</t>
  </si>
  <si>
    <t>≥ 21+ SEER</t>
  </si>
  <si>
    <t>VCz</t>
  </si>
  <si>
    <t>Ground Source</t>
  </si>
  <si>
    <r>
      <t xml:space="preserve">703.2.8 </t>
    </r>
    <r>
      <rPr>
        <sz val="10"/>
        <rFont val="Calibri"/>
        <family val="2"/>
        <scheme val="minor"/>
      </rPr>
      <t xml:space="preserve"> Whole-building or whole-dwelling unit fan(s) with insulated louvers and a sealed enclosure is installed. </t>
    </r>
    <r>
      <rPr>
        <sz val="8"/>
        <color rgb="FFFF0000"/>
        <rFont val="Calibri"/>
        <family val="2"/>
        <scheme val="minor"/>
      </rPr>
      <t>Points not available in Zone 7 &amp; 8.</t>
    </r>
  </si>
  <si>
    <r>
      <t xml:space="preserve">703.3.1  </t>
    </r>
    <r>
      <rPr>
        <sz val="10"/>
        <rFont val="Calibri"/>
        <family val="2"/>
        <scheme val="minor"/>
      </rPr>
      <t xml:space="preserve">All space heating is provided by a system(s) that does not include air ducts. </t>
    </r>
    <r>
      <rPr>
        <sz val="8"/>
        <color rgb="FFFF0000"/>
        <rFont val="Calibri"/>
        <family val="2"/>
        <scheme val="minor"/>
      </rPr>
      <t>Points not available in zone 1.</t>
    </r>
  </si>
  <si>
    <r>
      <t xml:space="preserve">703.3.2  </t>
    </r>
    <r>
      <rPr>
        <sz val="10"/>
        <rFont val="Calibri"/>
        <family val="2"/>
        <scheme val="minor"/>
      </rPr>
      <t xml:space="preserve">All space cooling is provided by a system(s) that does not include air ducts. </t>
    </r>
    <r>
      <rPr>
        <sz val="8"/>
        <color rgb="FFFF0000"/>
        <rFont val="Calibri"/>
        <family val="2"/>
        <scheme val="minor"/>
      </rPr>
      <t>Points not available in zones 5-8.</t>
    </r>
  </si>
  <si>
    <t>outside</t>
  </si>
  <si>
    <t>inside</t>
  </si>
  <si>
    <t>both</t>
  </si>
  <si>
    <t>ductwork</t>
  </si>
  <si>
    <t>water heater</t>
  </si>
  <si>
    <t>gas</t>
  </si>
  <si>
    <t>gas &gt;75</t>
  </si>
  <si>
    <t>electric</t>
  </si>
  <si>
    <t>oil</t>
  </si>
  <si>
    <t>gas ef&gt;.8</t>
  </si>
  <si>
    <t>heatpump1.5</t>
  </si>
  <si>
    <t>heatpump 2.0</t>
  </si>
  <si>
    <t>heatpump 2.2</t>
  </si>
  <si>
    <t>Desuperheater</t>
  </si>
  <si>
    <r>
      <t xml:space="preserve">703.4.4 </t>
    </r>
    <r>
      <rPr>
        <sz val="10"/>
        <rFont val="Calibri"/>
        <family val="2"/>
        <scheme val="minor"/>
      </rPr>
      <t xml:space="preserve">Indirect-fired water heater storage tanks heated from </t>
    </r>
    <r>
      <rPr>
        <sz val="10"/>
        <color rgb="FFFF0000"/>
        <rFont val="Calibri"/>
        <family val="2"/>
        <scheme val="minor"/>
      </rPr>
      <t>boiler</t>
    </r>
    <r>
      <rPr>
        <sz val="10"/>
        <rFont val="Calibri"/>
        <family val="2"/>
        <scheme val="minor"/>
      </rPr>
      <t xml:space="preserve"> systems are installed.</t>
    </r>
  </si>
  <si>
    <t>solarwater heater</t>
  </si>
  <si>
    <t>SEF 1.3</t>
  </si>
  <si>
    <t>SEF 1.51</t>
  </si>
  <si>
    <t>SEF 1.81</t>
  </si>
  <si>
    <t>SEF 2.31</t>
  </si>
  <si>
    <t>SEF 3.01</t>
  </si>
  <si>
    <t>lighting</t>
  </si>
  <si>
    <r>
      <t>703.6.1</t>
    </r>
    <r>
      <rPr>
        <sz val="10"/>
        <rFont val="Calibri"/>
        <family val="2"/>
        <scheme val="minor"/>
      </rPr>
      <t xml:space="preserve"> </t>
    </r>
    <r>
      <rPr>
        <b/>
        <sz val="10"/>
        <rFont val="Calibri"/>
        <family val="2"/>
        <scheme val="minor"/>
      </rPr>
      <t>Sun-tempered design.</t>
    </r>
    <r>
      <rPr>
        <sz val="10"/>
        <rFont val="Calibri"/>
        <family val="2"/>
        <scheme val="minor"/>
      </rPr>
      <t xml:space="preserve"> Building orientation, sizing of glazing, and design of overhangs are </t>
    </r>
    <r>
      <rPr>
        <sz val="10"/>
        <color rgb="FFFF0000"/>
        <rFont val="Calibri"/>
        <family val="2"/>
        <scheme val="minor"/>
      </rPr>
      <t>ALL</t>
    </r>
    <r>
      <rPr>
        <sz val="10"/>
        <rFont val="Calibri"/>
        <family val="2"/>
        <scheme val="minor"/>
      </rPr>
      <t xml:space="preserve"> </t>
    </r>
    <r>
      <rPr>
        <sz val="10"/>
        <color theme="1"/>
        <rFont val="Calibri"/>
        <family val="2"/>
        <scheme val="minor"/>
      </rPr>
      <t>in</t>
    </r>
    <r>
      <rPr>
        <sz val="10"/>
        <rFont val="Calibri"/>
        <family val="2"/>
        <scheme val="minor"/>
      </rPr>
      <t xml:space="preserve"> accordance with Sections </t>
    </r>
    <r>
      <rPr>
        <sz val="10"/>
        <color rgb="FFFF0000"/>
        <rFont val="Calibri"/>
        <family val="2"/>
        <scheme val="minor"/>
      </rPr>
      <t>703.6.1(1-9)</t>
    </r>
    <r>
      <rPr>
        <sz val="10"/>
        <rFont val="Calibri"/>
        <family val="2"/>
        <scheme val="minor"/>
      </rPr>
      <t xml:space="preserve">. </t>
    </r>
    <r>
      <rPr>
        <sz val="10"/>
        <color rgb="FFFF0000"/>
        <rFont val="Calibri"/>
        <family val="2"/>
        <scheme val="minor"/>
      </rPr>
      <t>Points not available in zone 1-3.</t>
    </r>
  </si>
  <si>
    <r>
      <t>703.6.3</t>
    </r>
    <r>
      <rPr>
        <sz val="10"/>
        <rFont val="Calibri"/>
        <family val="2"/>
        <scheme val="minor"/>
      </rPr>
      <t xml:space="preserve">  Passive cooling design features are in accordance with </t>
    </r>
    <r>
      <rPr>
        <sz val="10"/>
        <color rgb="FFFF0000"/>
        <rFont val="Calibri"/>
        <family val="2"/>
        <scheme val="minor"/>
      </rPr>
      <t>at least 3</t>
    </r>
    <r>
      <rPr>
        <sz val="10"/>
        <rFont val="Calibri"/>
        <family val="2"/>
        <scheme val="minor"/>
      </rPr>
      <t xml:space="preserve"> from (1)-(6) below, but </t>
    </r>
    <r>
      <rPr>
        <sz val="10"/>
        <color rgb="FFFF0000"/>
        <rFont val="Calibri"/>
        <family val="2"/>
        <scheme val="minor"/>
      </rPr>
      <t>no more than 4</t>
    </r>
    <r>
      <rPr>
        <sz val="10"/>
        <rFont val="Calibri"/>
        <family val="2"/>
        <scheme val="minor"/>
      </rPr>
      <t>.</t>
    </r>
  </si>
  <si>
    <r>
      <t>704.5.1</t>
    </r>
    <r>
      <rPr>
        <sz val="10"/>
        <rFont val="Calibri"/>
        <family val="2"/>
        <scheme val="minor"/>
      </rPr>
      <t xml:space="preserve"> Third-party on-site inspection is conducted to verify compliance with all of the following, as applicable.  Minimum of two inspections are performed.  One inspection after insulation is installed and prior to covering, and another inspection upon completion of the building. Where multiple buildings or dwelling units of the same model are built by the same builder, a representative sample inspection of a minimum of 15 percent of the buildings or dwelling units is permitted. 
     (1) Ducts are installed in accordance with the ICC IRC or IMC and ducts are sealed.
     (2) Building envelope air sealing is installed.
     (3) Insulation is installed </t>
    </r>
    <r>
      <rPr>
        <sz val="10"/>
        <color rgb="FFFF0000"/>
        <rFont val="Calibri"/>
        <family val="2"/>
        <scheme val="minor"/>
      </rPr>
      <t>in accordance with Section 703.1.2</t>
    </r>
    <r>
      <rPr>
        <sz val="10"/>
        <rFont val="Calibri"/>
        <family val="2"/>
        <scheme val="minor"/>
      </rPr>
      <t>.
     (4) Windows, skylights, and doors are flashed, caulked, and sealed in accordance with manufacturer's instructions and in accordance with Section 701.4.3.</t>
    </r>
  </si>
  <si>
    <t>705.3 appliance count</t>
  </si>
  <si>
    <r>
      <t xml:space="preserve">705.6 </t>
    </r>
    <r>
      <rPr>
        <sz val="10"/>
        <rFont val="Calibri"/>
        <family val="2"/>
        <scheme val="minor"/>
      </rPr>
      <t xml:space="preserve"> Structured parking garages are designed to require no mechanical ventilation for fresh air requirements.  </t>
    </r>
    <r>
      <rPr>
        <sz val="10"/>
        <color rgb="FFFF0000"/>
        <rFont val="Calibri"/>
        <family val="2"/>
        <scheme val="minor"/>
      </rPr>
      <t>Points not available for Single family.</t>
    </r>
  </si>
  <si>
    <t>logic 4</t>
  </si>
  <si>
    <r>
      <t xml:space="preserve">(1) </t>
    </r>
    <r>
      <rPr>
        <sz val="10"/>
        <rFont val="Calibri"/>
        <family val="2"/>
        <scheme val="minor"/>
      </rPr>
      <t xml:space="preserve">The maximum volume from the water heater to the termination of the fixture supply at furthest fixture is </t>
    </r>
    <r>
      <rPr>
        <sz val="10"/>
        <color rgb="FFFF0000"/>
        <rFont val="Calibri"/>
        <family val="2"/>
        <scheme val="minor"/>
      </rPr>
      <t xml:space="preserve">128 ounces </t>
    </r>
    <r>
      <rPr>
        <sz val="10"/>
        <rFont val="Calibri"/>
        <family val="2"/>
        <scheme val="minor"/>
      </rPr>
      <t>(1 gallon or 3.78 liters).</t>
    </r>
  </si>
  <si>
    <r>
      <t xml:space="preserve">(2) </t>
    </r>
    <r>
      <rPr>
        <sz val="10"/>
        <rFont val="Calibri"/>
        <family val="2"/>
        <scheme val="minor"/>
      </rPr>
      <t xml:space="preserve">The maximum volume from the water heater to the termination of the fixture supply at furthest fixture is </t>
    </r>
    <r>
      <rPr>
        <sz val="10"/>
        <color rgb="FFFF0000"/>
        <rFont val="Calibri"/>
        <family val="2"/>
        <scheme val="minor"/>
      </rPr>
      <t>64 ounces</t>
    </r>
    <r>
      <rPr>
        <sz val="10"/>
        <rFont val="Calibri"/>
        <family val="2"/>
        <scheme val="minor"/>
      </rPr>
      <t xml:space="preserve"> (0.5 gallon or 1.89 liters).</t>
    </r>
  </si>
  <si>
    <r>
      <rPr>
        <b/>
        <sz val="10"/>
        <rFont val="Calibri"/>
        <family val="2"/>
        <scheme val="minor"/>
      </rPr>
      <t>(3)</t>
    </r>
    <r>
      <rPr>
        <sz val="10"/>
        <rFont val="Calibri"/>
        <family val="2"/>
        <scheme val="minor"/>
      </rPr>
      <t xml:space="preserve"> The maximum volume from the water heater to the termination of the fixture supply at furthest fixture is </t>
    </r>
    <r>
      <rPr>
        <sz val="10"/>
        <color rgb="FFFF0000"/>
        <rFont val="Calibri"/>
        <family val="2"/>
        <scheme val="minor"/>
      </rPr>
      <t xml:space="preserve">32 ounces </t>
    </r>
    <r>
      <rPr>
        <sz val="10"/>
        <rFont val="Calibri"/>
        <family val="2"/>
        <scheme val="minor"/>
      </rPr>
      <t>(0.25 gallon or 0.945 liters).</t>
    </r>
  </si>
  <si>
    <r>
      <t>(4)</t>
    </r>
    <r>
      <rPr>
        <sz val="10"/>
        <rFont val="Calibri"/>
        <family val="2"/>
        <scheme val="minor"/>
      </rPr>
      <t xml:space="preserve"> A demand controlled hot water priming pump is installed on the main supply pipe of the circulation loop and the maximum volume from this supply pipe to the furthest fixture is </t>
    </r>
    <r>
      <rPr>
        <sz val="10"/>
        <color rgb="FFFF0000"/>
        <rFont val="Calibri"/>
        <family val="2"/>
        <scheme val="minor"/>
      </rPr>
      <t>24 ounces</t>
    </r>
    <r>
      <rPr>
        <sz val="10"/>
        <rFont val="Calibri"/>
        <family val="2"/>
        <scheme val="minor"/>
      </rPr>
      <t xml:space="preserve"> (0.19 gallons or 0.71 liters).</t>
    </r>
  </si>
  <si>
    <r>
      <t>(4)(a)</t>
    </r>
    <r>
      <rPr>
        <sz val="10"/>
        <rFont val="Calibri"/>
        <family val="2"/>
        <scheme val="minor"/>
      </rPr>
      <t xml:space="preserve"> 801.1(4) is met </t>
    </r>
    <r>
      <rPr>
        <sz val="10"/>
        <color rgb="FFFF0000"/>
        <rFont val="Calibri"/>
        <family val="2"/>
        <scheme val="minor"/>
      </rPr>
      <t xml:space="preserve">AND </t>
    </r>
    <r>
      <rPr>
        <sz val="10"/>
        <rFont val="Calibri"/>
        <family val="2"/>
        <scheme val="minor"/>
      </rPr>
      <t xml:space="preserve">the volume in the circulation loop (supply) from the water heater or boiler to the branch for the furthest fixture is </t>
    </r>
    <r>
      <rPr>
        <sz val="10"/>
        <color rgb="FFFF0000"/>
        <rFont val="Calibri"/>
        <family val="2"/>
        <scheme val="minor"/>
      </rPr>
      <t>no more than 128 ounces</t>
    </r>
    <r>
      <rPr>
        <sz val="10"/>
        <rFont val="Calibri"/>
        <family val="2"/>
        <scheme val="minor"/>
      </rPr>
      <t xml:space="preserve"> (1 gallon or 3.78 liters).</t>
    </r>
  </si>
  <si>
    <r>
      <t>801.3(1)</t>
    </r>
    <r>
      <rPr>
        <sz val="10"/>
        <rFont val="Calibri"/>
        <family val="2"/>
        <scheme val="minor"/>
      </rPr>
      <t xml:space="preserve"> The total maximum combined flow rate of all showerheads controlled by a single valve at any point in time in a shower compartment is 1.6 to </t>
    </r>
    <r>
      <rPr>
        <b/>
        <sz val="10"/>
        <color rgb="FFFF0000"/>
        <rFont val="Calibri"/>
        <family val="2"/>
        <scheme val="minor"/>
      </rPr>
      <t xml:space="preserve">less than 2.5 gpm. </t>
    </r>
    <r>
      <rPr>
        <sz val="10"/>
        <rFont val="Calibri"/>
        <family val="2"/>
        <scheme val="minor"/>
      </rPr>
      <t xml:space="preserve">Maximum of two valves are installed per shower compartment. The flow rate is tested at 80 psi (552 kPa) in accordance with ASME A112.18.1. Showerheads are served by an automatic compensating valve that </t>
    </r>
    <r>
      <rPr>
        <sz val="10"/>
        <color rgb="FFFF0000"/>
        <rFont val="Calibri"/>
        <family val="2"/>
        <scheme val="minor"/>
      </rPr>
      <t xml:space="preserve">complies with ASSE 1016 or ASME A112.18.1 </t>
    </r>
    <r>
      <rPr>
        <sz val="10"/>
        <rFont val="Calibri"/>
        <family val="2"/>
        <scheme val="minor"/>
      </rPr>
      <t xml:space="preserve">and </t>
    </r>
    <r>
      <rPr>
        <sz val="10"/>
        <color rgb="FFFF0000"/>
        <rFont val="Calibri"/>
        <family val="2"/>
        <scheme val="minor"/>
      </rPr>
      <t>specifically designed to provide thermal shock and scald protection</t>
    </r>
    <r>
      <rPr>
        <sz val="10"/>
        <rFont val="Calibri"/>
        <family val="2"/>
        <scheme val="minor"/>
      </rPr>
      <t xml:space="preserve"> at the flow rate of the showerhead.</t>
    </r>
  </si>
  <si>
    <r>
      <t>901.6(2)(b)</t>
    </r>
    <r>
      <rPr>
        <sz val="10"/>
        <rFont val="Calibri"/>
        <family val="2"/>
        <scheme val="minor"/>
      </rPr>
      <t xml:space="preserve"> Carpet cushion in accordance with the emission levels of CDPH/EHLB Standard Method v1.1.</t>
    </r>
  </si>
  <si>
    <t>Enter # of ES fans @ 1 sone</t>
  </si>
  <si>
    <r>
      <t xml:space="preserve">701.4.3.1 Building Thermal Envelope. </t>
    </r>
    <r>
      <rPr>
        <sz val="10"/>
        <rFont val="Calibri"/>
        <family val="2"/>
        <scheme val="minor"/>
      </rPr>
      <t xml:space="preserve">The building thermal envelope is durably sealed to limit infiltration. </t>
    </r>
    <r>
      <rPr>
        <sz val="10"/>
        <color rgb="FFFF0000"/>
        <rFont val="Calibri"/>
        <family val="2"/>
        <scheme val="minor"/>
      </rPr>
      <t>See details in chapter sheet.</t>
    </r>
  </si>
  <si>
    <r>
      <t>903.3 Relative humidity.</t>
    </r>
    <r>
      <rPr>
        <sz val="10"/>
        <rFont val="Calibri"/>
        <family val="2"/>
        <scheme val="minor"/>
      </rPr>
      <t xml:space="preserve"> </t>
    </r>
    <r>
      <rPr>
        <sz val="10"/>
        <color rgb="FFFF0000"/>
        <rFont val="Calibri"/>
        <family val="2"/>
        <scheme val="minor"/>
      </rPr>
      <t>In climate zones 1A, 2A, 3A, 4A, and 5A</t>
    </r>
    <r>
      <rPr>
        <sz val="10"/>
        <rFont val="Calibri"/>
        <family val="2"/>
        <scheme val="minor"/>
      </rPr>
      <t xml:space="preserve"> as defined by Figure 6(1), equipment is installed to maintain relative humidity (RH) at or below 60% using one of the following:</t>
    </r>
  </si>
  <si>
    <t>1001.1 count</t>
  </si>
  <si>
    <t>sum</t>
  </si>
  <si>
    <r>
      <t xml:space="preserve">1001.1  A building owner's manual is provided that includes the following conditions, as available and applicable.   </t>
    </r>
    <r>
      <rPr>
        <i/>
        <sz val="10"/>
        <color theme="1"/>
        <rFont val="Calibri"/>
        <family val="2"/>
        <scheme val="minor"/>
      </rPr>
      <t xml:space="preserve">(Points awarded per two items.  Points awarded for both mandatory and non-mandatory items.)  </t>
    </r>
    <r>
      <rPr>
        <i/>
        <sz val="10"/>
        <color rgb="FFFF0000"/>
        <rFont val="Calibri"/>
        <family val="2"/>
        <scheme val="minor"/>
      </rPr>
      <t>NOT AVAILABLE FOR MULTI-UNIT BUILDINGS</t>
    </r>
  </si>
  <si>
    <r>
      <t>1003.1 A building construction manual,</t>
    </r>
    <r>
      <rPr>
        <b/>
        <sz val="10"/>
        <color rgb="FFFF0000"/>
        <rFont val="Calibri"/>
        <family val="2"/>
        <scheme val="minor"/>
      </rPr>
      <t xml:space="preserve"> including five or more of the following</t>
    </r>
    <r>
      <rPr>
        <b/>
        <sz val="10"/>
        <rFont val="Calibri"/>
        <family val="2"/>
        <scheme val="minor"/>
      </rPr>
      <t xml:space="preserve">, is compiled and distributed in accordance with the intent of this practice. 
</t>
    </r>
    <r>
      <rPr>
        <i/>
        <sz val="10"/>
        <color rgb="FFFF0000"/>
        <rFont val="Calibri"/>
        <family val="2"/>
        <scheme val="minor"/>
      </rPr>
      <t>NOT AVAILABLE FOR SINGLE-FAMILY DWELLINGS.</t>
    </r>
  </si>
  <si>
    <t>1 point per 2 items
MAX = 4</t>
  </si>
  <si>
    <t>1003.1 Count</t>
  </si>
  <si>
    <r>
      <t>1003.2 Operations manuals are created and distributed to the responsible parties in accordance with 1003.0. Between all of the operation manuals,</t>
    </r>
    <r>
      <rPr>
        <b/>
        <sz val="10"/>
        <color rgb="FFFF0000"/>
        <rFont val="Calibri"/>
        <family val="2"/>
        <scheme val="minor"/>
      </rPr>
      <t xml:space="preserve"> five or more of the following options are included</t>
    </r>
    <r>
      <rPr>
        <b/>
        <sz val="10"/>
        <rFont val="Calibri"/>
        <family val="2"/>
        <scheme val="minor"/>
      </rPr>
      <t xml:space="preserve">.
</t>
    </r>
    <r>
      <rPr>
        <i/>
        <sz val="10"/>
        <color rgb="FFFF0000"/>
        <rFont val="Calibri"/>
        <family val="2"/>
        <scheme val="minor"/>
      </rPr>
      <t>NOT AVAILABLE FOR SINGLE-FAMILY DWELLINGS.</t>
    </r>
    <r>
      <rPr>
        <b/>
        <sz val="10"/>
        <rFont val="Calibri"/>
        <family val="2"/>
        <scheme val="minor"/>
      </rPr>
      <t xml:space="preserve">
</t>
    </r>
  </si>
  <si>
    <t>1 point per 2 items
including (1)-(3)</t>
  </si>
  <si>
    <t>1 point per 2 items
including 1003.3(1)</t>
  </si>
  <si>
    <r>
      <t>1003.3  Maintenance manuals are created and distributed to the responsible parties in accordance with 1003.0. Between all of the maintenance manuals,</t>
    </r>
    <r>
      <rPr>
        <b/>
        <sz val="10"/>
        <color rgb="FFFF0000"/>
        <rFont val="Calibri"/>
        <family val="2"/>
        <scheme val="minor"/>
      </rPr>
      <t xml:space="preserve"> five or more of the following options are included</t>
    </r>
    <r>
      <rPr>
        <b/>
        <sz val="10"/>
        <rFont val="Calibri"/>
        <family val="2"/>
        <scheme val="minor"/>
      </rPr>
      <t>.</t>
    </r>
    <r>
      <rPr>
        <b/>
        <sz val="10"/>
        <color rgb="FFFF0000"/>
        <rFont val="Calibri"/>
        <family val="2"/>
        <scheme val="minor"/>
      </rPr>
      <t xml:space="preserve">
</t>
    </r>
    <r>
      <rPr>
        <i/>
        <sz val="10"/>
        <color rgb="FFFF0000"/>
        <rFont val="Calibri"/>
        <family val="2"/>
        <scheme val="minor"/>
      </rPr>
      <t>NOT AVAILABLE FOR SINGLE-FAMILY DWELLINGS.</t>
    </r>
  </si>
  <si>
    <t>1003.2 Count</t>
  </si>
  <si>
    <r>
      <t xml:space="preserve">701.4.3.2(2) Visual inspection option. </t>
    </r>
    <r>
      <rPr>
        <sz val="10"/>
        <rFont val="Calibri"/>
        <family val="2"/>
        <scheme val="minor"/>
      </rPr>
      <t xml:space="preserve">Building envelope tightness and insulation installation are considered acceptable when the components listed below applicable to the method of construction, are field verified. </t>
    </r>
    <r>
      <rPr>
        <sz val="10"/>
        <color rgb="FFFF0000"/>
        <rFont val="Calibri"/>
        <family val="2"/>
        <scheme val="minor"/>
      </rPr>
      <t xml:space="preserve"> See details in chapter 7.</t>
    </r>
  </si>
  <si>
    <r>
      <t xml:space="preserve">902.4 </t>
    </r>
    <r>
      <rPr>
        <b/>
        <sz val="10"/>
        <color rgb="FFFF0000"/>
        <rFont val="Calibri"/>
        <family val="2"/>
        <scheme val="minor"/>
      </rPr>
      <t>One</t>
    </r>
    <r>
      <rPr>
        <b/>
        <sz val="10"/>
        <rFont val="Calibri"/>
        <family val="2"/>
        <scheme val="minor"/>
      </rPr>
      <t xml:space="preserve"> of the following HVAC system protection measures is performed. </t>
    </r>
  </si>
  <si>
    <t>Vlevel</t>
  </si>
  <si>
    <t>Total Verified</t>
  </si>
  <si>
    <t>(1) A blower door test and a visual inspection are performed as described in 701.4.3.2.</t>
  </si>
  <si>
    <t>(2) Third-party verification is completed.</t>
  </si>
  <si>
    <r>
      <t>606.2(1) At least</t>
    </r>
    <r>
      <rPr>
        <sz val="10"/>
        <rFont val="Calibri"/>
        <family val="2"/>
        <scheme val="minor"/>
      </rPr>
      <t xml:space="preserve"> 2 certified products used for minor elements
ATFS, CSA Z809, FSC, PEFC, SFI</t>
    </r>
  </si>
  <si>
    <r>
      <t xml:space="preserve">606.2(2) </t>
    </r>
    <r>
      <rPr>
        <sz val="10"/>
        <rFont val="Calibri"/>
        <family val="2"/>
        <scheme val="minor"/>
      </rPr>
      <t>At least 2 certified products used for major elements
ATFS, CSA Z809, FSC, PEFC, SFI</t>
    </r>
  </si>
  <si>
    <t>Print Pratices w/ points</t>
  </si>
  <si>
    <t>Inspection Sequence</t>
  </si>
  <si>
    <r>
      <t>503.7(2)</t>
    </r>
    <r>
      <rPr>
        <sz val="10"/>
        <rFont val="Calibri"/>
        <family val="2"/>
        <scheme val="minor"/>
      </rPr>
      <t xml:space="preserve"> Compromised sensitive areas are mitigated or restored.</t>
    </r>
  </si>
  <si>
    <t>RF</t>
  </si>
  <si>
    <t>R</t>
  </si>
  <si>
    <t>F</t>
  </si>
  <si>
    <r>
      <t>504.3(4)</t>
    </r>
    <r>
      <rPr>
        <sz val="10"/>
        <rFont val="Calibri"/>
        <family val="2"/>
        <scheme val="minor"/>
      </rPr>
      <t xml:space="preserve"> Topsoil from either the lot or the site development is stockpiled </t>
    </r>
    <r>
      <rPr>
        <sz val="10"/>
        <color rgb="FFFF0000"/>
        <rFont val="Calibri"/>
        <family val="2"/>
        <scheme val="minor"/>
      </rPr>
      <t>and stabilized</t>
    </r>
    <r>
      <rPr>
        <sz val="10"/>
        <rFont val="Calibri"/>
        <family val="2"/>
        <scheme val="minor"/>
      </rPr>
      <t xml:space="preserve"> for later use and used to establish landscape plantings on the lot.</t>
    </r>
  </si>
  <si>
    <r>
      <t>504.3(6)</t>
    </r>
    <r>
      <rPr>
        <sz val="10"/>
        <rFont val="Calibri"/>
        <family val="2"/>
        <scheme val="minor"/>
      </rPr>
      <t xml:space="preserve"> Disturbed areas on the lot that are complete or to be left unworked for 21 days or more </t>
    </r>
    <r>
      <rPr>
        <sz val="10"/>
        <color rgb="FFFF0000"/>
        <rFont val="Calibri"/>
        <family val="2"/>
        <scheme val="minor"/>
      </rPr>
      <t>are stabilized within 14 days</t>
    </r>
    <r>
      <rPr>
        <sz val="10"/>
        <rFont val="Calibri"/>
        <family val="2"/>
        <scheme val="minor"/>
      </rPr>
      <t xml:space="preserve"> using methods as recommended by the EPA, or in the approved storm water pollution prevention plan, where required.</t>
    </r>
  </si>
  <si>
    <t>P</t>
  </si>
  <si>
    <r>
      <t>703.6.4</t>
    </r>
    <r>
      <rPr>
        <sz val="10"/>
        <rFont val="Calibri"/>
        <family val="2"/>
        <scheme val="minor"/>
      </rPr>
      <t xml:space="preserve"> </t>
    </r>
    <r>
      <rPr>
        <b/>
        <sz val="10"/>
        <rFont val="Calibri"/>
        <family val="2"/>
        <scheme val="minor"/>
      </rPr>
      <t>Passive solar heating design.</t>
    </r>
    <r>
      <rPr>
        <sz val="10"/>
        <rFont val="Calibri"/>
        <family val="2"/>
        <scheme val="minor"/>
      </rPr>
      <t xml:space="preserve"> </t>
    </r>
    <r>
      <rPr>
        <b/>
        <sz val="10"/>
        <color rgb="FFFF0000"/>
        <rFont val="Calibri"/>
        <family val="2"/>
        <scheme val="minor"/>
      </rPr>
      <t>In addition to</t>
    </r>
    <r>
      <rPr>
        <sz val="10"/>
        <rFont val="Calibri"/>
        <family val="2"/>
        <scheme val="minor"/>
      </rPr>
      <t xml:space="preserve"> the sun-tempered design features in Section 703.6.1, </t>
    </r>
    <r>
      <rPr>
        <sz val="10"/>
        <color rgb="FFFF0000"/>
        <rFont val="Calibri"/>
        <family val="2"/>
        <scheme val="minor"/>
      </rPr>
      <t>ALL of Sections 703.6.4 (1-3)</t>
    </r>
    <r>
      <rPr>
        <sz val="10"/>
        <rFont val="Calibri"/>
        <family val="2"/>
        <scheme val="minor"/>
      </rPr>
      <t xml:space="preserve"> are implemented.
</t>
    </r>
    <r>
      <rPr>
        <sz val="9"/>
        <rFont val="Calibri"/>
        <family val="2"/>
        <scheme val="minor"/>
      </rPr>
      <t>703.6.4(1) Additional glazing, no greater than 12 percent, is permitted on the south wall.  This additional glazing is in accordance with the requirements of Section 703.6.1.
703.6.4(2) Additional thermal mass for any room with south-facing glazing of more than 7 percent of the finished floor area is provided in accordance with the following:
a.  Thermal mass is solid and a minimum of 3 inches (76 mm) in thickness. Where two thermal mass materials are layered together (e.g., ceramic tile on concrete base) to achieve the appropriate thickness, they are fully adhered to (touching) each other.
b. Thermal mass directly exposed to sunlight is provided in accordance with the following minimum ratios:
i.  Above latitude 35 degrees:  5 square feet (0.465 m2) of thermal mass for every 1 square foot (0.0929 m2) of south-facing glazing.
ii. Latitude 30 degrees to 35 degrees:  5.5 square feet (0.51 m2) of thermal mass for every 1 square foot (0.0929 m2) of  south-facing glazing.
iii. Latitude 25 degrees to 30 degrees:  6 square feet (0.557 m2) of thermal mass for every 1 square foot (0.0929 m2) of south-facing glazing.
c. Thermal mass not directly exposed to sunlight is permitted to be used to achieve thermal mass requirements of Section 703.6.4 (2) based on a ratio of 40 square feet (3.72 m2) of thermal mass for every 1 square foot (0.0929 m2) of south-facing glazing.
703.6.4(3) In addition to return air or transfer grilles/ducts required by Section 703.6.1(9), provisions for forced airflow to adjoining areas are implemented as needed.</t>
    </r>
  </si>
  <si>
    <r>
      <rPr>
        <b/>
        <sz val="10"/>
        <rFont val="Calibri"/>
        <family val="2"/>
        <scheme val="minor"/>
      </rPr>
      <t>704.4.2</t>
    </r>
    <r>
      <rPr>
        <sz val="10"/>
        <rFont val="Calibri"/>
        <family val="2"/>
        <scheme val="minor"/>
      </rPr>
      <t xml:space="preserve"> Performance of the heating and/or cooling system is verified by the HVAC contractor in accordance with all of the following:  
(1) Start-up procedure is performed in accordance with the manufacturer’s instructions.
(2) Refrigerant charge is verified by super-heat and/or sub-cooling method.
(3) Burner is set to fire at input level listed on nameplate. 
(4) Air handler setting/fan speed is set in accordance with manufacturer’s instructions
(5) Total airflow is within 10 percent of design flow
(6) Total external system static does not exceed equipment capability at rated airflow
</t>
    </r>
  </si>
  <si>
    <r>
      <rPr>
        <b/>
        <sz val="10"/>
        <rFont val="Calibri"/>
        <family val="2"/>
        <scheme val="minor"/>
      </rPr>
      <t>704.4.3</t>
    </r>
    <r>
      <rPr>
        <sz val="10"/>
        <rFont val="Calibri"/>
        <family val="2"/>
        <scheme val="minor"/>
      </rPr>
      <t xml:space="preserve"> Manufacturer’s label or printed specifications for sealed air handler (except furnaces) indicates the leakage is less than or equal to 2 percent of design airflow at a pressure of 1-inch of water (250 Pa). Air handlers are tested with inlets, outlets, and condensate drain ports sealed, and filter box in place.</t>
    </r>
  </si>
  <si>
    <r>
      <t xml:space="preserve">802.2 </t>
    </r>
    <r>
      <rPr>
        <b/>
        <sz val="10"/>
        <color rgb="FFFF0000"/>
        <rFont val="Calibri"/>
        <family val="2"/>
        <scheme val="minor"/>
      </rPr>
      <t>One</t>
    </r>
    <r>
      <rPr>
        <b/>
        <sz val="10"/>
        <rFont val="Calibri"/>
        <family val="2"/>
        <scheme val="minor"/>
      </rPr>
      <t xml:space="preserve"> of following automatic shutoff water supply devices is installed. Where a fire sprinkler system is present, installer is to ensure the device will not interfere with the operation of the fire sprinkler system.</t>
    </r>
  </si>
  <si>
    <r>
      <t>902.3(1)</t>
    </r>
    <r>
      <rPr>
        <sz val="10"/>
        <rFont val="Calibri"/>
        <family val="2"/>
        <scheme val="minor"/>
      </rPr>
      <t xml:space="preserve"> Buildings located in Zone 1 - radon mitgation system installed</t>
    </r>
  </si>
  <si>
    <t>p</t>
  </si>
  <si>
    <t>Sign Off After FINAL Inspection</t>
  </si>
  <si>
    <t>Points Verified at Rough or Final</t>
  </si>
  <si>
    <t xml:space="preserve">Builder Rep. Signature </t>
  </si>
  <si>
    <t>Date (mm/dd/yyyy)</t>
  </si>
  <si>
    <t>I authorize delivery of the certificate via:</t>
  </si>
  <si>
    <t>Expected Level</t>
  </si>
  <si>
    <t>I hereby disclose that the services provided by my company related to this home were:</t>
  </si>
  <si>
    <t>Hydrological/soil stability study is completed and used to guide the design of all buildings on the lot.</t>
  </si>
  <si>
    <r>
      <rPr>
        <b/>
        <sz val="10"/>
        <rFont val="Calibri"/>
        <family val="2"/>
        <scheme val="minor"/>
      </rPr>
      <t xml:space="preserve">Slope disturbance. </t>
    </r>
    <r>
      <rPr>
        <sz val="10"/>
        <rFont val="Calibri"/>
        <family val="2"/>
        <scheme val="minor"/>
      </rPr>
      <t xml:space="preserve">Slope disturbance is minimized by one or more of the following:
</t>
    </r>
    <r>
      <rPr>
        <b/>
        <u/>
        <sz val="10"/>
        <rFont val="Calibri"/>
        <family val="2"/>
        <scheme val="minor"/>
      </rPr>
      <t>Claim points for all that apply from (1)-(5) below:</t>
    </r>
  </si>
  <si>
    <t>Soil is improved with organic amendments or mulch.</t>
  </si>
  <si>
    <r>
      <rPr>
        <b/>
        <sz val="10"/>
        <color theme="1"/>
        <rFont val="Calibri"/>
        <family val="2"/>
        <scheme val="minor"/>
      </rPr>
      <t>Heat island mitigation.</t>
    </r>
    <r>
      <rPr>
        <sz val="10"/>
        <color theme="1"/>
        <rFont val="Calibri"/>
        <family val="2"/>
        <scheme val="minor"/>
      </rPr>
      <t xml:space="preserve"> Heat island effect is mitigated byone or more of the following.</t>
    </r>
  </si>
  <si>
    <t>Max=13</t>
  </si>
  <si>
    <r>
      <t xml:space="preserve">Moisture control measures are in accordance with the following:
</t>
    </r>
    <r>
      <rPr>
        <b/>
        <u/>
        <sz val="10"/>
        <color theme="1"/>
        <rFont val="Calibri"/>
        <family val="2"/>
        <scheme val="minor"/>
      </rPr>
      <t>Claim points for all that apply from (1)-(3) below:</t>
    </r>
  </si>
  <si>
    <r>
      <rPr>
        <b/>
        <sz val="10"/>
        <rFont val="Calibri"/>
        <family val="2"/>
        <scheme val="minor"/>
      </rPr>
      <t>Insulation installation.</t>
    </r>
    <r>
      <rPr>
        <sz val="10"/>
        <rFont val="Calibri"/>
        <family val="2"/>
        <scheme val="minor"/>
      </rPr>
      <t xml:space="preserve"> The insulation installation is graded by a third party and is in accordance with Sections 703.1.2.1, 703.1.2.2, and/or 703.1.2.3 as applicable. </t>
    </r>
    <r>
      <rPr>
        <b/>
        <i/>
        <sz val="10"/>
        <color rgb="FFFF0000"/>
        <rFont val="Calibri"/>
        <family val="2"/>
        <scheme val="minor"/>
      </rPr>
      <t xml:space="preserve">Grade 3 insulation installation is not permitted.  </t>
    </r>
    <r>
      <rPr>
        <b/>
        <i/>
        <sz val="11"/>
        <color rgb="FFFF0000"/>
        <rFont val="Calibri"/>
        <family val="2"/>
        <scheme val="minor"/>
      </rPr>
      <t>Grade 2 installation is permitted only for bronze level buildings.</t>
    </r>
  </si>
  <si>
    <r>
      <rPr>
        <b/>
        <sz val="10"/>
        <rFont val="Calibri"/>
        <family val="2"/>
        <scheme val="minor"/>
      </rPr>
      <t>Indoor hot water usage.</t>
    </r>
    <r>
      <rPr>
        <sz val="10"/>
        <rFont val="Calibri"/>
        <family val="2"/>
        <scheme val="minor"/>
      </rPr>
      <t xml:space="preserve"> Indoor hot water supply system is in accordance with one of the practices listed in items (1) through (5). The maximum water volume from the source of hot water to the termination of the fixture supply is determined in accordance with Tables 801.1(1) or 801.1(2), or 50 feet, whichever is less.
- Where more than one water heater is used or where more than one type of hot water supply system, including multiple circulation loops, is used, points are awarded based on the system that qualifies for minimum number of points.
- Systems with circulation loops are eligible for points only if pumps are demand controlled. Circulation systems with timers or aquastats and constant-on circulation systems are not eligible to receive points.
-The points are awarded only if the pipes are insulated in accordance with Section 704.5.3.</t>
    </r>
  </si>
  <si>
    <t>Lavatory Faucets</t>
  </si>
  <si>
    <t>ALL lavatory faucets per dwelling unit(s) and common areas comply.</t>
  </si>
  <si>
    <t xml:space="preserve">Mandatory for Gold or Emerald </t>
  </si>
  <si>
    <t>All water closets are in accordance with Section 801.5(2) and one or more of the following are installed:</t>
  </si>
  <si>
    <t>(4)</t>
  </si>
  <si>
    <r>
      <t xml:space="preserve">801.5(4)(b) </t>
    </r>
    <r>
      <rPr>
        <sz val="10"/>
        <rFont val="Calibri"/>
        <family val="2"/>
        <scheme val="minor"/>
      </rPr>
      <t>One or more urinals are installed with a flush volume of 0.5 gallons (1.9L) or less when tested in accordance with ASME A112.19.2 and all other water closets comply with 801.6(2).</t>
    </r>
  </si>
  <si>
    <r>
      <t>801.5(4)(c)</t>
    </r>
    <r>
      <rPr>
        <sz val="10"/>
        <rFont val="Calibri"/>
        <family val="2"/>
        <scheme val="minor"/>
      </rPr>
      <t xml:space="preserve"> One or more composting or waterless toilets and/or urinals are installed and all other water closets comply with 801.6(2).</t>
    </r>
  </si>
  <si>
    <t>Evapotranspiration (ET) based irrigation controller with a rain sensor or soil moisture sensor based irrigation controller.</t>
  </si>
  <si>
    <r>
      <t xml:space="preserve">The irrigation system(s) is controlled by a smart controller.
</t>
    </r>
    <r>
      <rPr>
        <b/>
        <u/>
        <sz val="10"/>
        <color theme="1"/>
        <rFont val="Calibri"/>
        <family val="2"/>
        <scheme val="minor"/>
      </rPr>
      <t>Claim points for</t>
    </r>
    <r>
      <rPr>
        <b/>
        <u/>
        <sz val="10"/>
        <color rgb="FFFF0000"/>
        <rFont val="Calibri"/>
        <family val="2"/>
        <scheme val="minor"/>
      </rPr>
      <t xml:space="preserve"> only one</t>
    </r>
    <r>
      <rPr>
        <b/>
        <u/>
        <sz val="10"/>
        <color theme="1"/>
        <rFont val="Calibri"/>
        <family val="2"/>
        <scheme val="minor"/>
      </rPr>
      <t xml:space="preserve"> from (1)-(2) below:</t>
    </r>
  </si>
  <si>
    <t>Electric heat pump air handler is installed in conditioned or unconditioned space.</t>
  </si>
  <si>
    <t>Hardwood plywood in accordance with HPVA HP-1.</t>
  </si>
  <si>
    <t>(1)</t>
  </si>
  <si>
    <t>(2)</t>
  </si>
  <si>
    <r>
      <t>Non-smoking areas.</t>
    </r>
    <r>
      <rPr>
        <sz val="10"/>
        <color theme="1"/>
        <rFont val="Arial"/>
        <family val="2"/>
      </rPr>
      <t xml:space="preserve"> Environmental tobacco smoke is minimized by one or more of the following:</t>
    </r>
  </si>
  <si>
    <t>All interior common areas of a multi-unit building are designated as non-smoking areas with posted signage.</t>
  </si>
  <si>
    <t>Exterior smoking areas of a multi-unit building are designated with posted signage and located a minimum of 25 feet from entries, outdoor air intakes, and operable windows.</t>
  </si>
  <si>
    <r>
      <rPr>
        <b/>
        <sz val="10"/>
        <rFont val="Calibri"/>
        <family val="2"/>
        <scheme val="minor"/>
      </rPr>
      <t>901.14</t>
    </r>
    <r>
      <rPr>
        <sz val="10"/>
        <rFont val="Calibri"/>
        <family val="2"/>
        <scheme val="minor"/>
      </rPr>
      <t xml:space="preserve"> Non-smoking areas. Environmental tobacco smoke is minimized by one or more of the following:</t>
    </r>
  </si>
  <si>
    <t>(1) All interior common areas of a multi-unit building are designated as non-smoking areas with posted signage.</t>
  </si>
  <si>
    <t>(2) Exterior smoking areas of a multi-unit building are designated with posted signage and located a minimum of 25 feet from entries, outdoor air intakes, and operable windows.</t>
  </si>
  <si>
    <r>
      <t xml:space="preserve">901.14 Non-smoking areas. </t>
    </r>
    <r>
      <rPr>
        <sz val="10"/>
        <rFont val="Calibri"/>
        <family val="2"/>
        <scheme val="minor"/>
      </rPr>
      <t>Environmental tobacco smoke is minimized by one or more of the following:</t>
    </r>
  </si>
  <si>
    <t>Buildings located in Radon Zone 2 or Zone 3</t>
  </si>
  <si>
    <t>Points awarded per 2 items.
Max=8
The three mandatory items must be selected.</t>
  </si>
  <si>
    <r>
      <t>503.4(4)</t>
    </r>
    <r>
      <rPr>
        <sz val="10"/>
        <rFont val="Calibri"/>
        <family val="2"/>
        <scheme val="minor"/>
      </rPr>
      <t xml:space="preserve"> A minimum of 50 percent of the roof is vegetated (green roof) using technology capable of withstanding the climate conditions of the jurisdiction and the microclimate conditions of the building lot. Invasive plant species are not permitted.</t>
    </r>
  </si>
  <si>
    <r>
      <t>503.4(5)</t>
    </r>
    <r>
      <rPr>
        <sz val="10"/>
        <rFont val="Calibri"/>
        <family val="2"/>
        <scheme val="minor"/>
      </rPr>
      <t xml:space="preserve"> Stormwater management practices that manage rainfall on-lot and prevent the off-lot discharge from all storms up to and including the volume of the 95th percentile storm event.</t>
    </r>
  </si>
  <si>
    <r>
      <t xml:space="preserve">503.2(2) </t>
    </r>
    <r>
      <rPr>
        <sz val="10"/>
        <rFont val="Calibri"/>
        <family val="2"/>
        <scheme val="minor"/>
      </rPr>
      <t>Hydrological/soil stability study is completed and used to guide the design of all buildings on the lot.</t>
    </r>
  </si>
  <si>
    <r>
      <t>504.3(7)</t>
    </r>
    <r>
      <rPr>
        <sz val="10"/>
        <rFont val="Calibri"/>
        <family val="2"/>
        <scheme val="minor"/>
      </rPr>
      <t xml:space="preserve"> Soil is improved with organic amendments or mulch.</t>
    </r>
  </si>
  <si>
    <r>
      <t>602.1.9(1)</t>
    </r>
    <r>
      <rPr>
        <sz val="10"/>
        <rFont val="Calibri"/>
        <family val="2"/>
        <scheme val="minor"/>
      </rPr>
      <t xml:space="preserve"> Flashing is installed at all of the following locations, as applicable:
(a) around exterior fenestrations, skylights and doors
(b) at roof valleys
(c) at deck, balcony, porch or stair to building intersections
(d) at roof-to-wall intersections, at roof-to-chimney intersections, at wall-to-chimney intersections, and at parapets.
(e) at ends of and under masonry, wood, or metal copings and sills
(f) above projecting wood trim
(g) at built-in roof gutters
(h) drip edge is installed at eaves and rake edges.</t>
    </r>
  </si>
  <si>
    <t>pts703.1.3</t>
  </si>
  <si>
    <t>(1) Exterior shading is provided on east and west windows using one or a combination of the following: 
     (a) Vine-covered trellises with the vegetation separated a minimum of 1 foot (305 mm) from face of building
     (b) moveable awnings or louvers
     (c) covered porches
     (d) attached or detached conditioned/unconditioned enclosed space that provides full shade of east and west windows (e.g., detached garage, shed, or building)</t>
  </si>
  <si>
    <r>
      <t xml:space="preserve">(2) Overhangs are installed to provide shading on south-facing glazing in accordance with Section 703.6.1(7). 
</t>
    </r>
    <r>
      <rPr>
        <i/>
        <sz val="10"/>
        <color rgb="FFFF0000"/>
        <rFont val="Calibri"/>
        <family val="2"/>
        <scheme val="minor"/>
      </rPr>
      <t>Points not awarded if points are taken under Section 703.6.1</t>
    </r>
  </si>
  <si>
    <t>(3) Windows and/or venting skylights are located to facilitate cross ventilation.</t>
  </si>
  <si>
    <t>(6) Roofing material is installed with a minimum 0.75 inch (19 mm) continuous air space offset from the roof deck from eave to ridge.</t>
  </si>
  <si>
    <t>(4) Solar reflective roof or radiant barrier is installed in climate zones 1, 2, or 3 and roof material achieves a 3-year aged criteria of 0.50.</t>
  </si>
  <si>
    <t>(5 )Internal exposed thermal mass is a minimum of three inches (76 mm) in thickness. Thermal mass consists of concrete, brick, and/or tile that are fully adhered to a masonry base or other masonry material and is in accordance with one or a combination of the following:
      (a) A minimum of 1 square foot (0.09 m2) of exposed thermal mass of floor per 3 square feet (2.8 m2) of gross finished floor area.
      (b) A minimum of 3 square feet (2.8 m2) of exposed thermal mass in interior walls or elements per square foot (0.09 m2) of gross finished floor area.</t>
  </si>
  <si>
    <r>
      <t>(1)</t>
    </r>
    <r>
      <rPr>
        <sz val="10"/>
        <rFont val="Calibri"/>
        <family val="2"/>
        <scheme val="minor"/>
      </rPr>
      <t xml:space="preserve"> Evapotranspiration (ET) based irrigation controller with a rain sensor or soil moisture sensor.</t>
    </r>
  </si>
  <si>
    <t>@ROUGH</t>
  </si>
  <si>
    <t>@FINAL</t>
  </si>
  <si>
    <r>
      <t>703.5.1</t>
    </r>
    <r>
      <rPr>
        <sz val="10"/>
        <rFont val="Calibri"/>
        <family val="2"/>
        <scheme val="minor"/>
      </rPr>
      <t xml:space="preserve">  Hard-wired lighting is in accordance with</t>
    </r>
    <r>
      <rPr>
        <sz val="10"/>
        <color rgb="FFFF0000"/>
        <rFont val="Calibri"/>
        <family val="2"/>
        <scheme val="minor"/>
      </rPr>
      <t xml:space="preserve"> one</t>
    </r>
    <r>
      <rPr>
        <sz val="10"/>
        <rFont val="Calibri"/>
        <family val="2"/>
        <scheme val="minor"/>
      </rPr>
      <t xml:space="preserve"> of the following:</t>
    </r>
  </si>
  <si>
    <t>Corrected 801.5 for Gold &amp; Emerald</t>
  </si>
  <si>
    <t>Go to http://www.homeinnovation.com/greenscoring to download the latest version of the NGBS Scoring for New Construction spreadsheet.</t>
  </si>
  <si>
    <r>
      <t xml:space="preserve">NGBS Scoring for New Construction
</t>
    </r>
    <r>
      <rPr>
        <b/>
        <sz val="11"/>
        <color theme="1"/>
        <rFont val="Calibri"/>
        <family val="2"/>
        <scheme val="minor"/>
      </rPr>
      <t>ICC 700-2012 National Green Building Standard™</t>
    </r>
  </si>
  <si>
    <r>
      <rPr>
        <b/>
        <sz val="14"/>
        <color theme="1"/>
        <rFont val="Calibri"/>
        <family val="2"/>
        <scheme val="minor"/>
      </rPr>
      <t xml:space="preserve">NGBS Scoring for New Construction
</t>
    </r>
    <r>
      <rPr>
        <b/>
        <sz val="11"/>
        <color theme="1"/>
        <rFont val="Calibri"/>
        <family val="2"/>
        <scheme val="minor"/>
      </rPr>
      <t>ICC 700-2012 National Green Building Standard™</t>
    </r>
  </si>
  <si>
    <r>
      <rPr>
        <b/>
        <sz val="14"/>
        <color theme="1"/>
        <rFont val="Calibri"/>
        <family val="2"/>
      </rPr>
      <t>NGBS Scoring for New Construction</t>
    </r>
    <r>
      <rPr>
        <b/>
        <sz val="9"/>
        <color theme="1"/>
        <rFont val="Calibri"/>
        <family val="2"/>
      </rPr>
      <t xml:space="preserve">
</t>
    </r>
    <r>
      <rPr>
        <b/>
        <sz val="11"/>
        <color theme="1"/>
        <rFont val="Calibri"/>
        <family val="2"/>
      </rPr>
      <t>ICC 700-2012 National Green Building Standard™</t>
    </r>
  </si>
  <si>
    <r>
      <rPr>
        <b/>
        <sz val="14"/>
        <color theme="1"/>
        <rFont val="Calibri"/>
        <family val="2"/>
        <scheme val="minor"/>
      </rPr>
      <t>NGBS Scoring for New Construction</t>
    </r>
    <r>
      <rPr>
        <sz val="11"/>
        <color theme="1"/>
        <rFont val="Calibri"/>
        <family val="2"/>
        <scheme val="minor"/>
      </rPr>
      <t xml:space="preserve">
</t>
    </r>
    <r>
      <rPr>
        <b/>
        <sz val="11"/>
        <color theme="1"/>
        <rFont val="Calibri"/>
        <family val="2"/>
        <scheme val="minor"/>
      </rPr>
      <t>ICC 700-2008 National Green Building Standard™</t>
    </r>
  </si>
  <si>
    <r>
      <rPr>
        <b/>
        <sz val="14"/>
        <color theme="1"/>
        <rFont val="Calibri"/>
        <family val="2"/>
        <scheme val="minor"/>
      </rPr>
      <t>NGBS Scoring for New Construction</t>
    </r>
    <r>
      <rPr>
        <b/>
        <sz val="11"/>
        <color theme="1"/>
        <rFont val="Calibri"/>
        <family val="2"/>
        <scheme val="minor"/>
      </rPr>
      <t xml:space="preserve">
ICC 700-2008 National Green Building Standard™</t>
    </r>
  </si>
  <si>
    <t>This spreadsheet is designed for Excel 2007 and Excel 2010</t>
  </si>
  <si>
    <t xml:space="preserve">Verifier to email this Excel Workbook ,  photo and scan and email signature page to VerificationReport@homeinnovation.com .
</t>
  </si>
  <si>
    <t>Verifier to email this Excel Workbook ,  photo and scan and email signature page to VerificationReport@homeinnovation.com 
If the performance path has been selected also send a copy of the RemRate or EnergyGauge report.</t>
  </si>
  <si>
    <t xml:space="preserve">A minimum of two practices are required from Section 704.    This requirement has </t>
  </si>
  <si>
    <r>
      <rPr>
        <b/>
        <sz val="10"/>
        <color rgb="FFFF0000"/>
        <rFont val="Calibri"/>
        <family val="2"/>
      </rPr>
      <t>NOTE:</t>
    </r>
    <r>
      <rPr>
        <sz val="10"/>
        <rFont val="Calibri"/>
        <family val="2"/>
      </rPr>
      <t xml:space="preserve"> Points must be taken in 801.6.2(1) in order to claim points for 801.6.4.
If points are claimed in 801.6.4, points cannot be claimed for 801.6.5(2).</t>
    </r>
  </si>
  <si>
    <t>8 Water Efficiency</t>
  </si>
  <si>
    <r>
      <t>(1)</t>
    </r>
    <r>
      <rPr>
        <sz val="10"/>
        <rFont val="Calibri"/>
        <family val="2"/>
        <scheme val="minor"/>
      </rPr>
      <t xml:space="preserve"> Evapotranspiration (ET) based irrigation controller with a rain sensor or soil moisture sensor based controller.</t>
    </r>
  </si>
  <si>
    <r>
      <t>(2)</t>
    </r>
    <r>
      <rPr>
        <sz val="10"/>
        <rFont val="Calibri"/>
        <family val="2"/>
        <scheme val="minor"/>
      </rPr>
      <t xml:space="preserve"> No irrigation is installed and a landscape plan is developed in accordance with Section 503.5, as applicable.</t>
    </r>
  </si>
  <si>
    <t>Implemented Corporate name change. Corrected sums Ch6, Ch9. Corrected VR points 702.2, ch6 sum. Adjusted highligts radon zone, VR 901.1, Ch7 705.5; fixed DR filtering</t>
  </si>
  <si>
    <t>Corrected Mandatory Status for 1003.2, added NA choice for 602.1.1.1</t>
  </si>
  <si>
    <t>NA</t>
  </si>
  <si>
    <t>2.04a</t>
  </si>
  <si>
    <t>Corrected Ch 10 mandatory on Verification Report and added mandatory status checks for Ch 10, correct IECC date reference in 702.2 Designer report</t>
  </si>
  <si>
    <t>701.4.3.2 Air sealing and insulation. Grade 3 insulation installation is not permitted.</t>
  </si>
  <si>
    <r>
      <t xml:space="preserve">701.4.3.2 Air sealing and insulation. </t>
    </r>
    <r>
      <rPr>
        <sz val="10"/>
        <rFont val="Calibri"/>
        <family val="2"/>
        <scheme val="minor"/>
      </rPr>
      <t>The compliance of the building envelope air tightness and insulation installation is demonstrated in accordance with Section 701.4.3.2(1) or 701.4.3.2(2).</t>
    </r>
  </si>
  <si>
    <r>
      <t xml:space="preserve">This workbook allows you to score your new single-family or multi-unit green building projects to the ICC 700-2012 National Green Building Standard™. Use of the NGBS Scoring workbook is the required entry point for National Green Building Certification. This workbook is intended to be used in conjunction with the publications </t>
    </r>
    <r>
      <rPr>
        <i/>
        <sz val="11"/>
        <color theme="1"/>
        <rFont val="Calibri"/>
        <family val="2"/>
        <scheme val="minor"/>
      </rPr>
      <t>ICC 700-2012 National Green Building Standard™</t>
    </r>
    <r>
      <rPr>
        <sz val="11"/>
        <color theme="1"/>
        <rFont val="Calibri"/>
        <family val="2"/>
        <scheme val="minor"/>
      </rPr>
      <t xml:space="preserve"> and </t>
    </r>
    <r>
      <rPr>
        <i/>
        <sz val="11"/>
        <color theme="1"/>
        <rFont val="Calibri"/>
        <family val="2"/>
        <scheme val="minor"/>
      </rPr>
      <t>National Green Building Standard Commentary™</t>
    </r>
    <r>
      <rPr>
        <sz val="11"/>
        <color theme="1"/>
        <rFont val="Calibri"/>
        <family val="2"/>
        <scheme val="minor"/>
      </rPr>
      <t xml:space="preserve">.  </t>
    </r>
    <r>
      <rPr>
        <b/>
        <sz val="11"/>
        <color theme="1"/>
        <rFont val="Calibri"/>
        <family val="2"/>
        <scheme val="minor"/>
      </rPr>
      <t xml:space="preserve">Please read the Instructions found below the Project Information.  </t>
    </r>
    <r>
      <rPr>
        <b/>
        <sz val="11"/>
        <color rgb="FFFF0000"/>
        <rFont val="Calibri"/>
        <family val="2"/>
        <scheme val="minor"/>
      </rPr>
      <t>Excel 2007 or 2010 is required!</t>
    </r>
  </si>
  <si>
    <t>Added Start Here warning to use 2007 or 2010.  Split 701.4.3.2 into two rows on VR.  Allowed formating row height when protected so height can be adjusted if all text does not display on VR. Changed yellow highlight for 602.4.1,702.2,801.5,901.3,1001.1,1003</t>
  </si>
  <si>
    <r>
      <t xml:space="preserve">503.5(1) </t>
    </r>
    <r>
      <rPr>
        <sz val="10"/>
        <rFont val="Calibri"/>
        <family val="2"/>
        <scheme val="minor"/>
      </rPr>
      <t>Where a</t>
    </r>
    <r>
      <rPr>
        <sz val="10"/>
        <color rgb="FFFF0000"/>
        <rFont val="Calibri"/>
        <family val="2"/>
        <scheme val="minor"/>
      </rPr>
      <t xml:space="preserve"> lot is less than 50% turf</t>
    </r>
    <r>
      <rPr>
        <sz val="10"/>
        <rFont val="Calibri"/>
        <family val="2"/>
        <scheme val="minor"/>
      </rPr>
      <t xml:space="preserve">, a plan is formulated to restore or enhance natural vegetation that is cleared during construction. Landscaping is phased to coincide with achievement of final grades to ensure denuded areas are </t>
    </r>
    <r>
      <rPr>
        <sz val="10"/>
        <color rgb="FFFF0000"/>
        <rFont val="Calibri"/>
        <family val="2"/>
        <scheme val="minor"/>
      </rPr>
      <t>quickly vegetated</t>
    </r>
    <r>
      <rPr>
        <sz val="10"/>
        <rFont val="Calibri"/>
        <family val="2"/>
        <scheme val="minor"/>
      </rPr>
      <t>.</t>
    </r>
  </si>
  <si>
    <t>Clarified 503.5(1) in verification report.</t>
  </si>
  <si>
    <t>Corrected refernce to NAHB Research Center on Final Signature page.</t>
  </si>
  <si>
    <t>Table 901.9.1</t>
  </si>
  <si>
    <r>
      <t>VOC Content Limits For Architectural Coatings</t>
    </r>
    <r>
      <rPr>
        <b/>
        <vertAlign val="superscript"/>
        <sz val="10"/>
        <color theme="1"/>
        <rFont val="Arial"/>
        <family val="2"/>
      </rPr>
      <t>c,d,e</t>
    </r>
  </si>
  <si>
    <t>Coating Category</t>
  </si>
  <si>
    <r>
      <t>LIMIT</t>
    </r>
    <r>
      <rPr>
        <b/>
        <vertAlign val="superscript"/>
        <sz val="9"/>
        <color theme="1"/>
        <rFont val="Arial"/>
        <family val="2"/>
      </rPr>
      <t xml:space="preserve">a </t>
    </r>
  </si>
  <si>
    <t>(g/l)</t>
  </si>
  <si>
    <t>Flat Coatings</t>
  </si>
  <si>
    <t>Non-flat Coatings</t>
  </si>
  <si>
    <t>Non-flat - High Gloss Coatings</t>
  </si>
  <si>
    <t>Specialty Coatings:</t>
  </si>
  <si>
    <t>Aluminum Roof Coatings</t>
  </si>
  <si>
    <t>Basement Specialty Coatings</t>
  </si>
  <si>
    <t>Bituminous Roof Coatings</t>
  </si>
  <si>
    <t>Bituminous Roof Primers</t>
  </si>
  <si>
    <t>Bond Breakers</t>
  </si>
  <si>
    <t>Concrete Curing Compounds</t>
  </si>
  <si>
    <t>Concrete/Masonry Sealers</t>
  </si>
  <si>
    <t>Driveway Sealers</t>
  </si>
  <si>
    <t>Dry Fog Coatings</t>
  </si>
  <si>
    <t>Faux Finishing Coatings</t>
  </si>
  <si>
    <t>Fire Resistive Coatings</t>
  </si>
  <si>
    <t>Floor Coatings</t>
  </si>
  <si>
    <t>Form-Release Compounds</t>
  </si>
  <si>
    <t>Graphic Arts Coatings (Sign Paints)</t>
  </si>
  <si>
    <t>High Temperature Coatings</t>
  </si>
  <si>
    <t>Industrial Maintenance Coatings</t>
  </si>
  <si>
    <t>Low Solids Coatings</t>
  </si>
  <si>
    <r>
      <t>120</t>
    </r>
    <r>
      <rPr>
        <vertAlign val="superscript"/>
        <sz val="9"/>
        <color theme="1"/>
        <rFont val="Arial"/>
        <family val="2"/>
      </rPr>
      <t>b</t>
    </r>
  </si>
  <si>
    <t>Magnesite Cement Coatings</t>
  </si>
  <si>
    <t>Mastic Texture Coatings</t>
  </si>
  <si>
    <t>Metallic Pigmented Coatings</t>
  </si>
  <si>
    <t>Multi-Color Coatings</t>
  </si>
  <si>
    <t>Pre-Treatment Wash Primers</t>
  </si>
  <si>
    <t>Primers, Sealers, and Undercoaters</t>
  </si>
  <si>
    <t>Reactive Penetrating Sealers</t>
  </si>
  <si>
    <t>Recycled Coatings</t>
  </si>
  <si>
    <t>Roof Coatings</t>
  </si>
  <si>
    <t>Rust Preventative Coatings</t>
  </si>
  <si>
    <t>Shellacs, Clear</t>
  </si>
  <si>
    <t>Shellacs, Opaque</t>
  </si>
  <si>
    <t>Specialty Primers, Sealers, and Undercoaters</t>
  </si>
  <si>
    <t>Stains</t>
  </si>
  <si>
    <t>Stone Consolidants</t>
  </si>
  <si>
    <t>Swimming Pool Coatings</t>
  </si>
  <si>
    <t>Traffic Marking Coatings</t>
  </si>
  <si>
    <t>Tub and Tile Refinish Coatings</t>
  </si>
  <si>
    <t>Waterproofing Membranes</t>
  </si>
  <si>
    <t>Wood Coatings</t>
  </si>
  <si>
    <t>Wood Preservatives</t>
  </si>
  <si>
    <t>Zinc-Rich Primers</t>
  </si>
  <si>
    <r>
      <t xml:space="preserve">a. Limits are expressed as </t>
    </r>
    <r>
      <rPr>
        <i/>
        <sz val="9"/>
        <color theme="1"/>
        <rFont val="Arial"/>
        <family val="2"/>
      </rPr>
      <t>VOC</t>
    </r>
    <r>
      <rPr>
        <sz val="9"/>
        <color theme="1"/>
        <rFont val="Arial"/>
        <family val="2"/>
      </rPr>
      <t xml:space="preserve"> Regulatory (except as noted), thinned to the manufacturer’s maximum thinning recommendation, excluding any colorant added to tint bases.</t>
    </r>
  </si>
  <si>
    <t xml:space="preserve">d. Values in this table are derived from those specified by the California Air Resources Board, Architectural Coatings Suggested Control Measure, February 1, 2008.  </t>
  </si>
  <si>
    <r>
      <t xml:space="preserve">      b. Limit is expressed as </t>
    </r>
    <r>
      <rPr>
        <i/>
        <sz val="9"/>
        <color theme="1"/>
        <rFont val="Arial"/>
        <family val="2"/>
      </rPr>
      <t>VOC</t>
    </r>
    <r>
      <rPr>
        <sz val="9"/>
        <color theme="1"/>
        <rFont val="Arial"/>
        <family val="2"/>
      </rPr>
      <t xml:space="preserve"> actual.</t>
    </r>
  </si>
  <si>
    <t xml:space="preserve">      c. The specified limits remain in effect unless revised limits are listed in subsequent columns in the table.</t>
  </si>
  <si>
    <r>
      <t xml:space="preserve">      e. Table 901.9.1 architectural coating regulatory category and </t>
    </r>
    <r>
      <rPr>
        <i/>
        <sz val="9"/>
        <color theme="1"/>
        <rFont val="Arial"/>
        <family val="2"/>
      </rPr>
      <t>VOC</t>
    </r>
    <r>
      <rPr>
        <sz val="9"/>
        <color theme="1"/>
        <rFont val="Arial"/>
        <family val="2"/>
      </rPr>
      <t xml:space="preserve"> content compliance determination shall conform to the California Air Resources Board </t>
    </r>
    <r>
      <rPr>
        <i/>
        <sz val="9"/>
        <color theme="1"/>
        <rFont val="Arial"/>
        <family val="2"/>
      </rPr>
      <t xml:space="preserve">Suggested Control Measure for Architectural Coatings </t>
    </r>
    <r>
      <rPr>
        <sz val="9"/>
        <color theme="1"/>
        <rFont val="Arial"/>
        <family val="2"/>
      </rPr>
      <t>dated February 1, 2008.</t>
    </r>
  </si>
  <si>
    <t>Unlocked refernces to appendices &amp; figures in chapter 9.  Added table 901.9.1. Corrected chapter 9 hyperlinks.</t>
  </si>
  <si>
    <t>See Table 901.10(3)</t>
  </si>
  <si>
    <t>Enter Radon Zone</t>
  </si>
  <si>
    <r>
      <t>801.5(3)</t>
    </r>
    <r>
      <rPr>
        <sz val="10"/>
        <rFont val="Calibri"/>
        <family val="2"/>
        <scheme val="minor"/>
      </rPr>
      <t xml:space="preserve"> All water closets are in accordance with Section 801.5(2). </t>
    </r>
    <r>
      <rPr>
        <sz val="10"/>
        <color rgb="FFFF0000"/>
        <rFont val="Calibri"/>
        <family val="2"/>
        <scheme val="minor"/>
      </rPr>
      <t>Points awarded for either 801.5(2) or 801.5(3) not both.</t>
    </r>
  </si>
  <si>
    <r>
      <t xml:space="preserve">801.5(4)(a) </t>
    </r>
    <r>
      <rPr>
        <sz val="10"/>
        <rFont val="Calibri"/>
        <family val="2"/>
        <scheme val="minor"/>
      </rPr>
      <t>Dual flush (or other) water closets are used that have a flush volume of 1.2 gallons or less and comply with 801.5(2); and all other water closets comply with 801.5(2).  Points awarded for either 801.5(2) or 801.5(3) not both.</t>
    </r>
  </si>
  <si>
    <t>1 fixture per unit</t>
  </si>
  <si>
    <t>2 fixtures per unit</t>
  </si>
  <si>
    <t>3+ fixtures per unit</t>
  </si>
  <si>
    <t>1 bath per unit</t>
  </si>
  <si>
    <t>2 baths per unit</t>
  </si>
  <si>
    <t>3+ baths per unit</t>
  </si>
  <si>
    <t>3 fixtures per unit</t>
  </si>
  <si>
    <t>4+ fixtures per unit</t>
  </si>
  <si>
    <t>Signature Page Status</t>
  </si>
  <si>
    <t>ready to submit logic</t>
  </si>
  <si>
    <t>601.7 in VR conditional formatting for max=12, corrected conflict between 801.5(2) &amp; (3); updated mandatroy highlighting conditional formatting for G192, H206, I206, H209, H226, I226, H234, I234, I644-654, G739, I693; updated Ready to Submit on signature pages, enabled conditonal formating in Notes with * in CH8, corrected info requestVR I272-273</t>
  </si>
  <si>
    <t>When you have finished scoring your project, send this file as an attachment to your verifier. Accredited verifiers can be found at www.homeinnovation.com/FindNGBSverifier .</t>
  </si>
  <si>
    <t xml:space="preserve">The NGBS Scoring for New Construction workbook is based on the ANSI approved ICC-700-2012 National Green Building Standard™. It is intended for builders, designers, and other professionals who are interested in pursuing National Green Building Certification through the Home Innovation Research Labs. </t>
  </si>
  <si>
    <t>Filling out the fields in the General Project Description and Detailed Project Information sections BEFORE starting to score a project is strongly recommended. This information will aid in decision making throughout the tool, and will be used by verifiers and Home Innovation during the certification process.</t>
  </si>
  <si>
    <t>This scoring tool was developed using Microsoft Excel 2010 for PC, and tested in Excel 2010 and Excel 2007. Features of this spreadsheet will not work in older versions of Excel, in spreadsheet software other than Excel, or platforms other than Windows.</t>
  </si>
  <si>
    <t>Update references of NAHB RC to Home Innovation on StartHere, updated conditional formating in CH6 row 52</t>
  </si>
  <si>
    <t>unlocled level cell on final signature page, added date/time formats to signature pages</t>
  </si>
  <si>
    <r>
      <rPr>
        <b/>
        <sz val="8"/>
        <rFont val="Arial"/>
        <family val="2"/>
      </rPr>
      <t>Start Time</t>
    </r>
    <r>
      <rPr>
        <sz val="8"/>
        <rFont val="Arial"/>
        <family val="2"/>
      </rPr>
      <t xml:space="preserve">
Format
(xx:yy AM)</t>
    </r>
  </si>
  <si>
    <r>
      <rPr>
        <b/>
        <sz val="8"/>
        <rFont val="Arial"/>
        <family val="2"/>
      </rPr>
      <t>Date</t>
    </r>
    <r>
      <rPr>
        <sz val="8"/>
        <rFont val="Arial"/>
        <family val="2"/>
      </rPr>
      <t xml:space="preserve">
Format (mm/dd/yyyy)</t>
    </r>
  </si>
  <si>
    <t>unlocked VR cell 801.5(3)</t>
  </si>
  <si>
    <t>correct logic for 1001.1 to show ready to submit for rough</t>
  </si>
  <si>
    <t>corrected VR logic error highlighting in designer report rows 394, 521, 524, 679.</t>
  </si>
  <si>
    <t xml:space="preserve">Natural draft furnaces, boilers, or water heaters are not located in conditioned spaces, including conditioned crawlspaces unless located in a mechanical room that has an outdoor air source and is sealed and insulated to separate it from the conditioned space(s).  </t>
  </si>
  <si>
    <t>corrected 901.1.1 to not be mandatory in both CH 9 &amp; VR; correct conditional formating VR H354; unlocked header cells on final signatures</t>
  </si>
  <si>
    <t>changed VR highlighting @ 601.1; 602.4.2 must be verified at final, allow points for 606.1 at rough, update input list for 606.1 final, correct pts703.4.5, corrected error highlighting for 902.3(1)</t>
  </si>
  <si>
    <r>
      <t>901.3(1)(c)</t>
    </r>
    <r>
      <rPr>
        <sz val="10"/>
        <rFont val="Calibri"/>
        <family val="2"/>
        <scheme val="minor"/>
      </rPr>
      <t xml:space="preserve"> For </t>
    </r>
    <r>
      <rPr>
        <sz val="10"/>
        <color rgb="FFFF0000"/>
        <rFont val="Calibri"/>
        <family val="2"/>
        <scheme val="minor"/>
      </rPr>
      <t>one- and two-family dwelling units</t>
    </r>
    <r>
      <rPr>
        <sz val="10"/>
        <rFont val="Calibri"/>
        <family val="2"/>
        <scheme val="minor"/>
      </rPr>
      <t>, a 100 cfm (47 L/s) or greater ducted, or 70 cfm (33 L/s) cfm or greater unducted wall exhaust fan is installed and vented to the outdoors, designed and installed for continuous operation, or has controls (e.g., motion detectors, pressure switches) that activate operation for a minimum of 1 hour when either human passage door or roll-up automatic doors are operated.</t>
    </r>
  </si>
  <si>
    <r>
      <t>701.4.1.1</t>
    </r>
    <r>
      <rPr>
        <sz val="10"/>
        <rFont val="Calibri"/>
        <family val="2"/>
        <scheme val="minor"/>
      </rPr>
      <t xml:space="preserve">  Space heating and cooling system is sized according to heating and cooling loads calculated using ACCA Manual J, or equivalent. Equipment is selected using ACCA Manual S or equivalent.</t>
    </r>
  </si>
  <si>
    <r>
      <t>701.4.1.2</t>
    </r>
    <r>
      <rPr>
        <sz val="10"/>
        <rFont val="Calibri"/>
        <family val="2"/>
        <scheme val="minor"/>
      </rPr>
      <t xml:space="preserve"> Where installed as a primary heat source in the building, radiant or hydronic space heating system is designed using industry-approved guidelines and standards (e.g., ACCA Manual J, AHRI I=B=R, ACCA 5 QI-2010, or an accredited design professional’s and manufacturer’s recommendations). </t>
    </r>
  </si>
  <si>
    <r>
      <t>701.4.2.1</t>
    </r>
    <r>
      <rPr>
        <sz val="10"/>
        <rFont val="Calibri"/>
        <family val="2"/>
        <scheme val="minor"/>
      </rPr>
      <t xml:space="preserve">  Ducts are air sealed. All duct sealing materials are in conformance with UL 181A or UL 181B specifications and are installed in accordance with manufacturer’s instructions.</t>
    </r>
  </si>
  <si>
    <r>
      <t>701.4.3.4</t>
    </r>
    <r>
      <rPr>
        <sz val="10"/>
        <rFont val="Calibri"/>
        <family val="2"/>
        <scheme val="minor"/>
      </rPr>
      <t xml:space="preserve">  </t>
    </r>
    <r>
      <rPr>
        <b/>
        <sz val="10"/>
        <rFont val="Calibri"/>
        <family val="2"/>
        <scheme val="minor"/>
      </rPr>
      <t xml:space="preserve">Recessed lighting. </t>
    </r>
    <r>
      <rPr>
        <sz val="10"/>
        <rFont val="Calibri"/>
        <family val="2"/>
        <scheme val="minor"/>
      </rPr>
      <t xml:space="preserve">Recessed luminaires installed in the building thermal envelope are sealed to limit air leakage between conditioned and unconditioned spaces. All recessed luminaires are IC-rated and labeled as meeting ASTM E283 when tested at 1.57 psf (75 Pa) pressure differential with no more than 2.0 cfm (0.944 L/s) of air movement from the conditioned space to the ceiling cavity. All recessed luminaires are sealed with a gasket or caulk between the housing and the interior of the wall or ceiling covering. </t>
    </r>
  </si>
  <si>
    <t>Gold and emerald levels: All water closets and urinals are in accordance with Section 801.5.</t>
  </si>
  <si>
    <r>
      <t xml:space="preserve">801.5(1) </t>
    </r>
    <r>
      <rPr>
        <sz val="10"/>
        <rFont val="Calibri"/>
        <family val="2"/>
        <scheme val="minor"/>
      </rPr>
      <t>Gold and emerald levels: All water closets and urinals are in accordance with Section 801.5.</t>
    </r>
  </si>
  <si>
    <r>
      <t>801.5(2)</t>
    </r>
    <r>
      <rPr>
        <sz val="10"/>
        <rFont val="Calibri"/>
        <family val="2"/>
        <scheme val="minor"/>
      </rPr>
      <t xml:space="preserve"> A water closet is installed with an effective flush volume of 1.28 gallons (4.85 L) or less when tested in accordance with ASME A112.19.2/CSA B45.1 (all water closets) or when tested in accordance with ASME A112.19.14 (all dual flush water closets), </t>
    </r>
    <r>
      <rPr>
        <sz val="10"/>
        <color rgb="FFFF0000"/>
        <rFont val="Calibri"/>
        <family val="2"/>
        <scheme val="minor"/>
      </rPr>
      <t>and is in accordance with EPA WaterSense</t>
    </r>
    <r>
      <rPr>
        <sz val="10"/>
        <rFont val="Calibri"/>
        <family val="2"/>
        <scheme val="minor"/>
      </rPr>
      <t xml:space="preserve"> Tank-Type High-Efficiency Toilet.  </t>
    </r>
    <r>
      <rPr>
        <sz val="10"/>
        <color rgb="FFFF0000"/>
        <rFont val="Calibri"/>
        <family val="2"/>
        <scheme val="minor"/>
      </rPr>
      <t>Points awarded for either 801.5(2) or 801.5(3) not both.</t>
    </r>
  </si>
  <si>
    <t>added conditional formatting to 901.3c in scoring and VR for one &amp; two family condition; unlocked notes for CH7 704.4.2; updated ready to submit logic for final for VR801.5(1),AltBronzeCert; removed cond format for VR G582, deleted cond format VR J587; updated VR practice text 701.4.1.1,1.2,2.1,3.4; updated practice text 801.5 &amp; VR801.5</t>
  </si>
  <si>
    <r>
      <rPr>
        <b/>
        <sz val="9"/>
        <rFont val="Calibri"/>
        <family val="2"/>
        <scheme val="minor"/>
      </rPr>
      <t>NGBS Scoring for New Construction</t>
    </r>
    <r>
      <rPr>
        <sz val="9"/>
        <rFont val="Calibri"/>
        <family val="2"/>
        <scheme val="minor"/>
      </rPr>
      <t xml:space="preserve">
</t>
    </r>
    <r>
      <rPr>
        <b/>
        <sz val="9"/>
        <rFont val="Calibri"/>
        <family val="2"/>
        <scheme val="minor"/>
      </rPr>
      <t>ICC 700-2012 National Green Building Standard™</t>
    </r>
  </si>
  <si>
    <r>
      <rPr>
        <b/>
        <sz val="9"/>
        <rFont val="Calibri"/>
        <family val="2"/>
        <scheme val="minor"/>
      </rPr>
      <t>NGBS Scoring for New Construction</t>
    </r>
    <r>
      <rPr>
        <sz val="9"/>
        <rFont val="MS Sans Serif"/>
        <family val="2"/>
      </rPr>
      <t xml:space="preserve">
</t>
    </r>
    <r>
      <rPr>
        <b/>
        <sz val="9"/>
        <rFont val="Calibri"/>
        <family val="2"/>
        <scheme val="minor"/>
      </rPr>
      <t>ICC 700-2012 National Green Building Standard™</t>
    </r>
  </si>
  <si>
    <r>
      <rPr>
        <b/>
        <sz val="9"/>
        <color theme="1"/>
        <rFont val="Calibri"/>
        <family val="2"/>
        <scheme val="minor"/>
      </rPr>
      <t>NGBS Scoring for New Construction</t>
    </r>
    <r>
      <rPr>
        <sz val="9"/>
        <color theme="1"/>
        <rFont val="Calibri"/>
        <family val="2"/>
        <scheme val="minor"/>
      </rPr>
      <t xml:space="preserve">
</t>
    </r>
    <r>
      <rPr>
        <b/>
        <sz val="9"/>
        <color theme="1"/>
        <rFont val="Calibri"/>
        <family val="2"/>
        <scheme val="minor"/>
      </rPr>
      <t>ICC 700-2012 National Green Building Standard™</t>
    </r>
  </si>
  <si>
    <t xml:space="preserve"> Products</t>
  </si>
  <si>
    <t>Points Available</t>
  </si>
  <si>
    <t>Products</t>
  </si>
  <si>
    <t>Points
 Available</t>
  </si>
  <si>
    <r>
      <rPr>
        <b/>
        <sz val="9"/>
        <color theme="1"/>
        <rFont val="Calibri"/>
        <family val="2"/>
        <scheme val="minor"/>
      </rPr>
      <t>NGBS Scoring for New Construction</t>
    </r>
    <r>
      <rPr>
        <sz val="9"/>
        <color theme="1"/>
        <rFont val="Calibri"/>
        <family val="2"/>
        <scheme val="minor"/>
      </rPr>
      <t xml:space="preserve">
</t>
    </r>
    <r>
      <rPr>
        <b/>
        <sz val="9"/>
        <color theme="1"/>
        <rFont val="Calibri"/>
        <family val="2"/>
        <scheme val="minor"/>
      </rPr>
      <t>ICC 700-2012National Green Building Standard™</t>
    </r>
  </si>
  <si>
    <t>ICC 700 National Green Building Standard 
Verification Report for New Construction</t>
  </si>
  <si>
    <t>NGBS Scoring for New Construction
ICC 700-2012 National Green Building Standard™</t>
  </si>
  <si>
    <t>unlocked Ch9 O10, reformatted header info</t>
  </si>
  <si>
    <r>
      <t xml:space="preserve">Table 602.1.12
Minimum Roof Overhang for </t>
    </r>
    <r>
      <rPr>
        <b/>
        <sz val="10"/>
        <color rgb="FFFF0000"/>
        <rFont val="Calibri"/>
        <family val="2"/>
        <scheme val="minor"/>
      </rPr>
      <t>One- &amp; Two-Story</t>
    </r>
    <r>
      <rPr>
        <b/>
        <sz val="10"/>
        <color theme="1"/>
        <rFont val="Calibri"/>
        <family val="2"/>
        <scheme val="minor"/>
      </rPr>
      <t xml:space="preserve"> Buildings</t>
    </r>
  </si>
  <si>
    <r>
      <t xml:space="preserve">For </t>
    </r>
    <r>
      <rPr>
        <sz val="10"/>
        <color rgb="FFFF0000"/>
        <rFont val="Calibri"/>
        <family val="2"/>
        <scheme val="minor"/>
      </rPr>
      <t>one- and two-family dwelling units</t>
    </r>
    <r>
      <rPr>
        <sz val="10"/>
        <color theme="1"/>
        <rFont val="Calibri"/>
        <family val="2"/>
        <scheme val="minor"/>
      </rPr>
      <t>, a 100 cfm (47 L/s) or greater ducted, or 70 cfm (33 L/s) cfm or greater unducted wall exhaust fan is installed and vented to the outdoors, designed and installed for continuous operation, or has controls (e.g., motion detectors, pressure switches) that activate operation for a minimum of 1 hour when either human passage door or roll-up automatic doors are operated. For ducted exhaust fans, the fan airflow rating and duct sizing are in accordance with Appendix A.</t>
    </r>
  </si>
  <si>
    <r>
      <t xml:space="preserve">602.1.12 </t>
    </r>
    <r>
      <rPr>
        <sz val="10"/>
        <rFont val="Calibri"/>
        <family val="2"/>
        <scheme val="minor"/>
      </rPr>
      <t xml:space="preserve">Roof overhangs for </t>
    </r>
    <r>
      <rPr>
        <sz val="10"/>
        <color rgb="FFFF0000"/>
        <rFont val="Calibri"/>
        <family val="2"/>
        <scheme val="minor"/>
      </rPr>
      <t xml:space="preserve">one or two story buildings </t>
    </r>
    <r>
      <rPr>
        <sz val="10"/>
        <rFont val="Calibri"/>
        <family val="2"/>
        <scheme val="minor"/>
      </rPr>
      <t xml:space="preserve">are provided </t>
    </r>
    <r>
      <rPr>
        <sz val="10"/>
        <color rgb="FFFF0000"/>
        <rFont val="Calibri"/>
        <family val="2"/>
        <scheme val="minor"/>
      </rPr>
      <t>per Table 601.12</t>
    </r>
    <r>
      <rPr>
        <sz val="10"/>
        <rFont val="Calibri"/>
        <family val="2"/>
        <scheme val="minor"/>
      </rPr>
      <t xml:space="preserve"> over a minimum of 90% of exterior walls to protect the building envelope.</t>
    </r>
  </si>
  <si>
    <r>
      <t xml:space="preserve">601.7 </t>
    </r>
    <r>
      <rPr>
        <sz val="10"/>
        <rFont val="Calibri"/>
        <family val="2"/>
        <scheme val="minor"/>
      </rPr>
      <t>Building materials or assemblies listed below that do not require additional site-applied material for finishing are incorporated in the building. 
(a) pigmented, stamped, decorative, or final finish concrete or masonry
(b, c) interior or exterior trim not requiring paint or stain
(d) window, skylight, and door assemblies not requiring paint or stain on either interior or exterior:
(e,f) interior or exterior wall coverings or systems not requiring paint or stain or other type of finishing application
(g) pre-finished hardwood flooring</t>
    </r>
    <r>
      <rPr>
        <b/>
        <sz val="10"/>
        <rFont val="Calibri"/>
        <family val="2"/>
        <scheme val="minor"/>
      </rPr>
      <t xml:space="preserve"> </t>
    </r>
  </si>
  <si>
    <r>
      <t xml:space="preserve">501.2(1) </t>
    </r>
    <r>
      <rPr>
        <sz val="10"/>
        <rFont val="Calibri"/>
        <family val="2"/>
        <scheme val="minor"/>
      </rPr>
      <t xml:space="preserve">A lot is selected within 1/2 mile (805 m) of pedestrian access to a mass transit system or within 5 miles (8046 m) of a mass transit station </t>
    </r>
    <r>
      <rPr>
        <sz val="10"/>
        <color rgb="FFFF0000"/>
        <rFont val="Calibri"/>
        <family val="2"/>
        <scheme val="minor"/>
      </rPr>
      <t>with provisions for parking.</t>
    </r>
  </si>
  <si>
    <r>
      <rPr>
        <b/>
        <sz val="10"/>
        <rFont val="Calibri"/>
        <family val="2"/>
        <scheme val="minor"/>
      </rPr>
      <t>601.2(3)</t>
    </r>
    <r>
      <rPr>
        <sz val="10"/>
        <rFont val="Calibri"/>
        <family val="2"/>
        <scheme val="minor"/>
      </rPr>
      <t xml:space="preserve"> </t>
    </r>
    <r>
      <rPr>
        <sz val="10"/>
        <color rgb="FFFF0000"/>
        <rFont val="Calibri"/>
        <family val="2"/>
        <scheme val="minor"/>
      </rPr>
      <t xml:space="preserve">Performance-based </t>
    </r>
    <r>
      <rPr>
        <sz val="10"/>
        <rFont val="Calibri"/>
        <family val="2"/>
        <scheme val="minor"/>
      </rPr>
      <t>structural design is used to optimize lateral force-resisting systems.</t>
    </r>
  </si>
  <si>
    <r>
      <rPr>
        <b/>
        <sz val="10"/>
        <rFont val="Calibri"/>
        <family val="2"/>
        <scheme val="minor"/>
      </rPr>
      <t>601.2(1)</t>
    </r>
    <r>
      <rPr>
        <sz val="10"/>
        <rFont val="Calibri"/>
        <family val="2"/>
        <scheme val="minor"/>
      </rPr>
      <t xml:space="preserve"> </t>
    </r>
    <r>
      <rPr>
        <sz val="10"/>
        <color rgb="FFFF0000"/>
        <rFont val="Calibri"/>
        <family val="2"/>
        <scheme val="minor"/>
      </rPr>
      <t>Minimum structural member</t>
    </r>
    <r>
      <rPr>
        <sz val="10"/>
        <rFont val="Calibri"/>
        <family val="2"/>
        <scheme val="minor"/>
      </rPr>
      <t xml:space="preserve"> or element sizes necessary for strength and stiffness in accordance with advanced framing techniques or structural design standards are selected.</t>
    </r>
  </si>
  <si>
    <r>
      <t xml:space="preserve">Tankless water heater(s) </t>
    </r>
    <r>
      <rPr>
        <sz val="10"/>
        <color rgb="FFFF0000"/>
        <rFont val="Calibri"/>
        <family val="2"/>
        <scheme val="minor"/>
      </rPr>
      <t>with at least 0.5 gallon (1.89 liters) of storage</t>
    </r>
    <r>
      <rPr>
        <sz val="10"/>
        <color theme="1"/>
        <rFont val="Calibri"/>
        <family val="2"/>
        <scheme val="minor"/>
      </rPr>
      <t xml:space="preserve"> are installed or a tankless water heater that ramps up to at least 110F within 5 seconds is installed. The storage may be internal or external to the tankless water heater.</t>
    </r>
  </si>
  <si>
    <t>added logic check to 602.1.12 in ch6 and VR, corrected data validation for VR AF 602.1.12, updated ready to submit check for gold &amp; emerald wrt toilets; corrected CH9 901.1.6 for Ground Source Heat pump; VR701.1.3 now asks for rater ID, corrected highlight logic VR I576; correct VR points for perf path; corrected highlight logic for VR j500; VR corrected State; 601.2(3) VR added info request; add VR col M to highlight Ready issues.</t>
  </si>
  <si>
    <t>Designer Target:</t>
  </si>
  <si>
    <r>
      <t>901.1.1</t>
    </r>
    <r>
      <rPr>
        <sz val="10"/>
        <rFont val="Calibri"/>
        <family val="2"/>
        <scheme val="minor"/>
      </rPr>
      <t xml:space="preserve"> Natural draft furnaces, boilers, or water heaters are not located in conditioned spaces, including conditioned crawlspaces unless located in a mechanical room that has an outdoor air source and is sealed and insulated to separate it from the conditioned space(s).
NOTE: </t>
    </r>
    <r>
      <rPr>
        <i/>
        <sz val="10"/>
        <rFont val="Calibri"/>
        <family val="2"/>
        <scheme val="minor"/>
      </rPr>
      <t>Points are awarded only for buildings that use natural draft combustion space and/or water heating equipment.</t>
    </r>
  </si>
  <si>
    <t>704.4.2 Performance of the heating and/or cooling system is verified by the HVAC contractor in accordance with all of the following:  
(1) Start-up procedure is performed in accordance with the manufacturer’s instructions.
(2) Refrigerant charge is verified by super-heat and/or sub-cooling method.
(3) Burner is set to fire at input level listed on nameplate. 
(4) Air handler setting/fan speed is set in accordance with manufacturer’s instructions
(5) Total airflow is within 10 percent of design flow
(6) Total external system static does not exceed equipment capability at rated airflow</t>
  </si>
  <si>
    <t>704.4.3 Manufacturer’s label or printed specifications for sealed air handler (except furnaces) indicates the leakage is less than or equal to 2 percent of design airflow at a pressure of 1-inch of water (250 Pa). Air handlers are tested with inlets, outlets, and condensate drain ports sealed, and filter box in place.</t>
  </si>
  <si>
    <r>
      <t>701.4.1.1</t>
    </r>
    <r>
      <rPr>
        <sz val="10"/>
        <rFont val="Calibri"/>
        <family val="2"/>
        <scheme val="minor"/>
      </rPr>
      <t xml:space="preserve">  Space heating/cooling sized per Manual J, Equipment sized per Manual S</t>
    </r>
  </si>
  <si>
    <r>
      <t xml:space="preserve">701.4.3.1 Building Thermal Envelope. </t>
    </r>
    <r>
      <rPr>
        <sz val="10"/>
        <rFont val="Calibri"/>
        <family val="2"/>
        <scheme val="minor"/>
      </rPr>
      <t>The building thermal envelope is durably sealed to limit infiltration. See details in chapter 7 tab.</t>
    </r>
  </si>
  <si>
    <r>
      <t xml:space="preserve">701.4.3.2(2) Visual inspection option. </t>
    </r>
    <r>
      <rPr>
        <sz val="10"/>
        <rFont val="Calibri"/>
        <family val="2"/>
        <scheme val="minor"/>
      </rPr>
      <t>Building envelope tightness and insulation installation are considered acceptable when the components listed below applicable to the method of construction, are field verified.  See details in chapter 7 tab.</t>
    </r>
  </si>
  <si>
    <t>set default 704.4.2 to final inspection not rough; correct logic error highlighing for 902.3(2); set VR P362 logic check for final only; updated VR print filtering</t>
  </si>
  <si>
    <r>
      <t>(2)</t>
    </r>
    <r>
      <rPr>
        <sz val="10"/>
        <rFont val="Calibri"/>
        <family val="2"/>
        <scheme val="minor"/>
      </rPr>
      <t xml:space="preserve"> No irrigation is installed and a landscape plan is developed in accordance with Section 503.5, as applicable. </t>
    </r>
    <r>
      <rPr>
        <sz val="10"/>
        <color rgb="FFFF0000"/>
        <rFont val="Calibri"/>
        <family val="2"/>
        <scheme val="minor"/>
      </rPr>
      <t xml:space="preserve"> Need Full plan and at least 5 points in 503.5 (1)-(4).</t>
    </r>
  </si>
  <si>
    <r>
      <rPr>
        <b/>
        <sz val="10"/>
        <color rgb="FFFF0000"/>
        <rFont val="Calibri"/>
        <family val="2"/>
      </rPr>
      <t>NOTE:</t>
    </r>
    <r>
      <rPr>
        <sz val="10"/>
        <rFont val="Calibri"/>
        <family val="2"/>
      </rPr>
      <t xml:space="preserve"> 5 Points must be taken in 503.5(1), 503.5(2), 503.5(3), or 503.5(4) for a Full Landscape Plan in order to receive points for 801.6.5(2).
If points claimed for 801.6.5(2), points cannot be claimed for 801.6.1, 801.6.2, 801.6.4.</t>
    </r>
  </si>
  <si>
    <t>corrected text for DR 704.4.2, 704.4.3.  Deleted mandatory for DR 1003.2(3);  Corrected DR901.1.1; ajdusted filtering for printing with points: corrected level highlight &amp; added range names on final signature, added reminder to VR for submitting energy analysis, adusted 503.5 expectations for 801.6.5(2) on VR and Ch8; flagged conflicts with Alt Bronze in VR, added threshold info on VR chapter totals, added VR cols N-W for use with multi-unit projects</t>
  </si>
  <si>
    <t>added logic to highlight VR report type at final; correct logic check for VR 801.6.5(2); corrected VR ch7 pts claimed total, added formula to VR 1003.3</t>
  </si>
  <si>
    <t>added waring regarding Ch7 Mandatory and Energy Star path,  adjusted ch7 mandatory highlighting for Energy Star.</t>
  </si>
  <si>
    <t>edited highlght logic for VR 801.5, corrected Vlevel formula, correct CH 7 30 pts 703 warning corrected formual for 703.1.2; corrected datavalidation for VR703.5.3(3)</t>
  </si>
  <si>
    <r>
      <t>901.4(4)</t>
    </r>
    <r>
      <rPr>
        <sz val="10"/>
        <rFont val="Calibri"/>
        <family val="2"/>
        <scheme val="minor"/>
      </rPr>
      <t xml:space="preserve"> Particleboard, MDF, or hardwood plywood is in accordance with CPA 4.</t>
    </r>
  </si>
  <si>
    <t>Particleboard, MDF, or hardwood plywood is in accordance with CPA 4.</t>
  </si>
  <si>
    <t>ch901.4(4) &amp; VR901.4(4) corrected reference to CPA 4; corrected highlighting VR I490; allowed rough verification vr901.3(2); adjusted highlight for VR701.1.3; correctedVR  filtering for points; corrected highlight VR 606.2, 607.1; correct VR formulas E324</t>
  </si>
  <si>
    <t>Corrected 801.5 logic for gold &amp; emerald levels</t>
  </si>
  <si>
    <r>
      <t xml:space="preserve">703.1.2 </t>
    </r>
    <r>
      <rPr>
        <sz val="10"/>
        <rFont val="Calibri"/>
        <family val="2"/>
        <scheme val="minor"/>
      </rPr>
      <t>The insulation installation is graded by a third party and in accordance with Sections 703.1.2.1, 703.1.2.2, and/or 703.1.2.3, as applicable.  Grade 2 is permitted only for Bronze.  Points are not available if points awarded in 703.1.1.</t>
    </r>
  </si>
  <si>
    <t>703.1.2 The insulation installation is graded by a third party and in accordance with Sections 703.1.2.1, 703.1.2.2, and/or 703.1.2.3, as applicable.  Grade 2 is permitted only for Bronze.  Points are not available if points awarded in 703.1.1.</t>
  </si>
  <si>
    <t>Added Grade 2 Bronze limitation warning ch7 703.1.2 &amp; VR; corrected VR highlighting for 703.1.2 &amp; 704.4.2</t>
  </si>
  <si>
    <t>Correct ch 7 701.4.3.2 formula deletion, added highlighting for CH 7 702.2.2 2 when performance is chose.</t>
  </si>
  <si>
    <t>Added highlighting to VR 602.4.1, 901.1.4, 901.6</t>
  </si>
  <si>
    <r>
      <t xml:space="preserve">601.8 A </t>
    </r>
    <r>
      <rPr>
        <sz val="10"/>
        <rFont val="Calibri"/>
        <family val="2"/>
        <scheme val="minor"/>
      </rPr>
      <t xml:space="preserve">foundation system that minimizes soil disturbance, excavation quantities and material usage, such as frost-protected shallow foundations, isolated pier and pad foundations, deep foundations, post foundations, or helical piles is selected, designed, and constructed. The foundation is </t>
    </r>
    <r>
      <rPr>
        <b/>
        <sz val="10"/>
        <rFont val="Calibri"/>
        <family val="2"/>
        <scheme val="minor"/>
      </rPr>
      <t xml:space="preserve">used on 50 percent </t>
    </r>
    <r>
      <rPr>
        <sz val="10"/>
        <rFont val="Calibri"/>
        <family val="2"/>
        <scheme val="minor"/>
      </rPr>
      <t>or more of the building footprint.</t>
    </r>
  </si>
  <si>
    <t>Added highlighting aditional highlight to VR "Not Ready to Submit for Nothing"; added request for info to VR601.8, corrected highlight related to VR704 minimum practices.; corrected data valadation for Ch7 704.5.2., correct VR logic for 2 704 practices.</t>
  </si>
  <si>
    <r>
      <t>Testing option.</t>
    </r>
    <r>
      <rPr>
        <sz val="10"/>
        <rFont val="Calibri"/>
        <family val="2"/>
        <scheme val="minor"/>
      </rPr>
      <t xml:space="preserve"> Building envelope tightness and insulation installation is considered acceptable when air leakage is less than seven air changes per hour (ACH) when tested with a blower door at a pressure of 50 Pa. Testing is conducted after rough-in and after installation of penetrations of the building envelope, including penetrations for utilities, plumbing, electrical, ventilation and combustion appliances. Testing is conducted under the following conditions:
(a) Exterior windows and doors, fireplace and stove doors are closed, but not sealed;
(b) Dampers are closed, but not sealed, including exhaust, intake, makeup air, backdraft and flue dampers;
(c) Interior doors are open;
(d) Exterior openings for continuous ventilation systems and heat recovery ventilators are closed and sealed;
(e) Heating and cooling system(s) is turned off;
(f)  HVAC duct terminations are not sealed; and
(g) Supply and return registers are not sealed.</t>
    </r>
  </si>
  <si>
    <r>
      <t xml:space="preserve">701.4.3.2(1) Testing option. </t>
    </r>
    <r>
      <rPr>
        <sz val="10"/>
        <rFont val="Calibri"/>
        <family val="2"/>
        <scheme val="minor"/>
      </rPr>
      <t xml:space="preserve">Building envelope tightness and insulation installation is considered acceptable when air leakage is </t>
    </r>
    <r>
      <rPr>
        <sz val="10"/>
        <color rgb="FFFF0000"/>
        <rFont val="Calibri"/>
        <family val="2"/>
        <scheme val="minor"/>
      </rPr>
      <t>less than seven air changes per hour</t>
    </r>
    <r>
      <rPr>
        <sz val="10"/>
        <rFont val="Calibri"/>
        <family val="2"/>
        <scheme val="minor"/>
      </rPr>
      <t xml:space="preserve"> (ACH) when tested with a blower door at a pressure of 50 Pa.</t>
    </r>
  </si>
  <si>
    <t>30 - 100</t>
  </si>
  <si>
    <t>702.2.2  A documented analysis shows performance in excess of 2009 IECC by at least 15%:</t>
  </si>
  <si>
    <t>702.2.2  A documented analysis shows performance in excess of 2009 IECC by at least 15%.</t>
  </si>
  <si>
    <t>Enter the % better than the 2009 IECC
(e.g. 23.9)</t>
  </si>
  <si>
    <r>
      <t>Energy cost performance analysis.</t>
    </r>
    <r>
      <rPr>
        <sz val="10"/>
        <rFont val="Calibri"/>
        <family val="2"/>
        <scheme val="minor"/>
      </rPr>
      <t xml:space="preserve"> Energy cost savings levels above the ICC IECC are determined through an analysis that includes improvements in building envelope, air infiltration, heating system efficiencies, cooling system efficiencies, duct sealing, water heating system efficiencies, lighting, and appliances. (Points are assigned as two points for every 1% better than the 2009 IECC.)</t>
    </r>
  </si>
  <si>
    <r>
      <rPr>
        <b/>
        <sz val="9"/>
        <color rgb="FFFF0000"/>
        <rFont val="Calibri"/>
        <family val="2"/>
      </rPr>
      <t>NOTE:</t>
    </r>
    <r>
      <rPr>
        <sz val="9"/>
        <rFont val="Calibri"/>
        <family val="2"/>
      </rPr>
      <t xml:space="preserve"> In the assigned Notes field, list the actual percentage above IECC.
All buildings using this path must have their performance claim supported by REM/Rate or Energy Gauge output reports prepared and signed by a qualified energy professional. </t>
    </r>
    <r>
      <rPr>
        <b/>
        <sz val="9"/>
        <rFont val="Calibri"/>
        <family val="2"/>
      </rPr>
      <t>The 2009 IECC must be the basis for this analysis</t>
    </r>
    <r>
      <rPr>
        <sz val="9"/>
        <rFont val="Calibri"/>
        <family val="2"/>
      </rPr>
      <t xml:space="preserve">.  </t>
    </r>
    <r>
      <rPr>
        <sz val="9"/>
        <color rgb="FFFF0000"/>
        <rFont val="Calibri"/>
        <family val="2"/>
      </rPr>
      <t>REM/Rate has a special NGBS Compliance Report for this practice.</t>
    </r>
    <r>
      <rPr>
        <sz val="9"/>
        <rFont val="Calibri"/>
        <family val="2"/>
      </rPr>
      <t xml:space="preserve">
If performance claim is 1) not to be supported by performance test data, and 2) not to be based on energy recovery; 1) the qualified professional must assume in their energy simulation an SLA of 0.00036 for the infiltration, and 2) no energy recovery for the ventilation system for either the REM/Rate or Energy Gauge output report.
Test results must be submitted for performance claims which use an infiltration other than SLA = 0.00036, or for buildings that claim points for simulate energy recovery. Submit performance test results per Section 704.5.2.1 to support the claimed SLA factor infiltration.</t>
    </r>
  </si>
  <si>
    <t>Revisde point scoring for 702.2;   correct pressure spec for 701.4.3.2(1); added data alidation to Ch9 901.1.1; made 703.2.3 &amp; .4 mutually exxclusive with .5 &amp; .6; added higlight to when both 702 &amp; 703 awared on VR</t>
  </si>
  <si>
    <t>correct highlight VR611.3, deleted points in 702.2</t>
  </si>
  <si>
    <t>corrected points claimed discrepancies between chapters 6 (611.2), chapter 7 (705.1) and 8 (801.5) and the verification report</t>
  </si>
  <si>
    <t>changed font color for VR N1-W1, changed dashboard CH7 to show "Not Met" if prescriptive path does not show at least 30 points in 703.</t>
  </si>
  <si>
    <t>Cliimate Zone =</t>
  </si>
  <si>
    <t>corrected data validation error message for CH7 702.2; allowed ACH values as high as 7 in CH7 704.5.2.1</t>
  </si>
  <si>
    <r>
      <t xml:space="preserve">901.9 Architectural coatings. </t>
    </r>
    <r>
      <rPr>
        <sz val="10"/>
        <rFont val="Calibri"/>
        <family val="2"/>
        <scheme val="minor"/>
      </rPr>
      <t xml:space="preserve">A minimum of 85% of the architectural coatings are in accordance with </t>
    </r>
    <r>
      <rPr>
        <sz val="10"/>
        <color rgb="FFFF0000"/>
        <rFont val="Calibri"/>
        <family val="2"/>
        <scheme val="minor"/>
      </rPr>
      <t>either Section 901.9.1 or Section 901.9.3, not both</t>
    </r>
    <r>
      <rPr>
        <sz val="10"/>
        <rFont val="Calibri"/>
        <family val="2"/>
        <scheme val="minor"/>
      </rPr>
      <t>. A minimum of 85% of architectural colorants are in accordance with Section 901.9.2.</t>
    </r>
  </si>
  <si>
    <t>set Report Type in VR to highlight yellow if type=Rough but points awarded in final column, added waring about outdated versions to VR. Added warning highlight to VR 901.9.1 and 901.9.3</t>
  </si>
  <si>
    <t>Overnight delivery charge adjusted to $40  on the Final Signature Sheet</t>
  </si>
  <si>
    <t>Corrected point allocations for 901.5</t>
  </si>
  <si>
    <t>ADDRESSES INCLUDED IN THIS REPORT</t>
  </si>
  <si>
    <t>Final Address</t>
  </si>
  <si>
    <t>Rough Address</t>
  </si>
  <si>
    <t>City</t>
  </si>
  <si>
    <t>State</t>
  </si>
  <si>
    <t>Zip</t>
  </si>
  <si>
    <t>CLICK HERE TO GO BACK TO TOP</t>
  </si>
  <si>
    <t>REQUIREMENTS FOR BATCH SUBMISSION</t>
  </si>
  <si>
    <t>All addresses must be single-family homes in the same community, built by the same builder.</t>
  </si>
  <si>
    <t>All homes must have substantially the same construction type.</t>
  </si>
  <si>
    <t>The standard inspection notification process must be followed for each home.</t>
  </si>
  <si>
    <t>Photos for each home are to be submitted, each titled with their respective Project ID.</t>
  </si>
  <si>
    <t>Added functionality for Batch Processing and Team Verification</t>
  </si>
  <si>
    <t>Team Verification</t>
  </si>
  <si>
    <t xml:space="preserve">Completing this section is MANDATORY whenever multiple accredited verifiers are involved in the verification of a given building or homes within a batch. </t>
  </si>
  <si>
    <t>Verifier Name</t>
  </si>
  <si>
    <t>Role</t>
  </si>
  <si>
    <t>Elements Verified (if applicable)</t>
  </si>
  <si>
    <t>Inspection Dates (if applicable)</t>
  </si>
  <si>
    <r>
      <t xml:space="preserve">OPTIONAL BATCH SUBMISSION                        </t>
    </r>
    <r>
      <rPr>
        <sz val="11"/>
        <color theme="1"/>
        <rFont val="Calibri"/>
        <family val="2"/>
        <scheme val="minor"/>
      </rPr>
      <t xml:space="preserve"> (The info below is transferred from the Verification Report sheet; the information must be entered there (except inspection date))</t>
    </r>
  </si>
  <si>
    <t>Verification</t>
  </si>
  <si>
    <t>Energy Modeling/Testing</t>
  </si>
  <si>
    <t>Document Review</t>
  </si>
  <si>
    <t xml:space="preserve"> Project ID</t>
  </si>
  <si>
    <t>MULTIFAMILY VERIFICATION REPORT ADDENDUM</t>
  </si>
  <si>
    <t>Sample Set Range</t>
  </si>
  <si>
    <t>Units Sampled</t>
  </si>
  <si>
    <t>Inspection Date</t>
  </si>
  <si>
    <t>Verifier Check-Off</t>
  </si>
  <si>
    <t xml:space="preserve">I certify to the best of my knowledge all practices in this verification report have been properly met during the construction of this building.  By signing this, I confirm that I fully executed the technical protocols outlined in the Verifier’s Resource Guide and the NGBS Green Alternative Multifamily Verification Protocol. </t>
  </si>
  <si>
    <t>This form must be included in the verification report submission packet of all projects that were verified using the NGBS Green Alternative Multifamily Verification Protocol (Sampling). A separate form is to be submitted for both rough and final inspections. If multiple verifiers are involved in verification, each verifier should initial next to the units that they verified.</t>
  </si>
  <si>
    <t>HERS Index: (enter value or NA):</t>
  </si>
  <si>
    <t>Report Status:</t>
  </si>
  <si>
    <t>ICC 700 National 
Green Building Standard 
Verification Report 
for New Construction</t>
  </si>
  <si>
    <t>Master Verifier Sign Off:</t>
  </si>
  <si>
    <t>Date:</t>
  </si>
  <si>
    <t>Name:</t>
  </si>
  <si>
    <t>Added Multifamily Addendum</t>
  </si>
  <si>
    <t>I have personally verified by inspection and/or document review the green practices for which I have awarded points during this rough inspection on this building following the guidance in theVerifier Agreement and Verifiers Resource Guide.  My company is not supplying product, participating in the physical construction of this project, or affiliated in any other way that would compromise the independence of my verification services.</t>
  </si>
  <si>
    <t>I certify that to the best of my knowledge, based on documentation presented to me and inspections completed by me, the items noted in this verification report are in conformance with ICC-700 and the guidance in the Verifier Agreement and Verifier's Resource Guide.  My company did not supply product, participate in the physical construction of this project, or affiliated in any other way that would compromise the independence of my verification services.</t>
  </si>
  <si>
    <t>I certify to the best of my knowledge all practices in this verification report have been properly met during the construction of this building.  By signing this, I am requesting that the verifier submit this report/building for consideration of a certificate for certification to the National Green Building Standard under the Home Innovation's NGBS Green Certification Program.  I understand that the final certification level will be based on results of the rough and final inspections after review by Home Innovation.</t>
  </si>
  <si>
    <t>*For full guidance, see the Batch Submission Protocol posted in the Verifier Resource Center.*</t>
  </si>
  <si>
    <t>BatchProcessing</t>
  </si>
  <si>
    <t>WARNING</t>
  </si>
  <si>
    <r>
      <t xml:space="preserve">A separate certificate will be issued for each home listed, but no certificates are issued until ALL homes are verified and verification reports reviewed. </t>
    </r>
    <r>
      <rPr>
        <u/>
        <sz val="11"/>
        <color rgb="FFFF0000"/>
        <rFont val="Calibri"/>
        <family val="2"/>
        <scheme val="minor"/>
      </rPr>
      <t>Warning: If there is an issue with the report, it may not surface until it is too late to recover.</t>
    </r>
    <r>
      <rPr>
        <sz val="11"/>
        <color rgb="FFFF0000"/>
        <rFont val="Calibri"/>
        <family val="2"/>
        <scheme val="minor"/>
      </rPr>
      <t xml:space="preserve"> This also may mean that certificates are not available for closing. </t>
    </r>
  </si>
  <si>
    <t>All inspections of the same type (rough or final) must be completed before submitting the report.</t>
  </si>
  <si>
    <r>
      <rPr>
        <sz val="7"/>
        <color rgb="FF000000"/>
        <rFont val="Times New Roman"/>
        <family val="1"/>
      </rPr>
      <t xml:space="preserve"> </t>
    </r>
    <r>
      <rPr>
        <sz val="11"/>
        <color rgb="FF000000"/>
        <rFont val="Calibri"/>
        <family val="2"/>
      </rPr>
      <t>Practices &amp; points are only awarded for practices that all homes meet. When using the performance path, the energy analysis for the poorest-performing home must be submitted. A note should be included from the energy professional that confirm that the home was the poorest performing of those within the batch.</t>
    </r>
  </si>
  <si>
    <t>All homes within a batch listed earn the same certification level.</t>
  </si>
  <si>
    <t>All homes must be inspected, and the inspection dates need to be included for each address.</t>
  </si>
  <si>
    <t>A home can be removed from a batch at any time and submitted separately. With the exception of homes that are removed for regular report submission, homes should will be grouped within the same "batch" for both rough and/or final submissions. Batch submission is at the discretion of the verifier.</t>
  </si>
  <si>
    <t xml:space="preserve">Select Optional Batch Processing here: ---&gt; </t>
  </si>
  <si>
    <r>
      <t xml:space="preserve">A separate certificate will be issued for each home listed, but no certificates are issued until ALL homes are verified and verification reports reviewed. 
</t>
    </r>
    <r>
      <rPr>
        <b/>
        <sz val="11"/>
        <color rgb="FFFF0000"/>
        <rFont val="Calibri"/>
        <family val="2"/>
        <scheme val="minor"/>
      </rPr>
      <t>Warning:</t>
    </r>
    <r>
      <rPr>
        <u/>
        <sz val="11"/>
        <color rgb="FFFF0000"/>
        <rFont val="Calibri"/>
        <family val="2"/>
        <scheme val="minor"/>
      </rPr>
      <t xml:space="preserve"> If there is an issue with the report, it may not surface until it is too late to recover.</t>
    </r>
    <r>
      <rPr>
        <sz val="11"/>
        <color rgb="FFFF0000"/>
        <rFont val="Calibri"/>
        <family val="2"/>
        <scheme val="minor"/>
      </rPr>
      <t xml:space="preserve"> This also may mean that certificates are not available for closing. </t>
    </r>
  </si>
  <si>
    <r>
      <t xml:space="preserve">Inspection Date </t>
    </r>
    <r>
      <rPr>
        <i/>
        <sz val="11"/>
        <color theme="1"/>
        <rFont val="Calibri"/>
        <family val="2"/>
        <scheme val="minor"/>
      </rPr>
      <t>(format 9/99/9999)</t>
    </r>
  </si>
  <si>
    <t>CertificationLevel</t>
  </si>
  <si>
    <r>
      <rPr>
        <i/>
        <sz val="11"/>
        <color theme="1"/>
        <rFont val="Calibri"/>
        <family val="2"/>
        <scheme val="minor"/>
      </rPr>
      <t xml:space="preserve">See Batch List Below   </t>
    </r>
    <r>
      <rPr>
        <sz val="11"/>
        <color theme="1"/>
        <rFont val="Calibri"/>
        <family val="2"/>
        <scheme val="minor"/>
      </rPr>
      <t xml:space="preserve">                                                                           Project ID:</t>
    </r>
  </si>
  <si>
    <r>
      <t>See Batch List Below</t>
    </r>
    <r>
      <rPr>
        <sz val="10"/>
        <color indexed="12"/>
        <rFont val="Calibri"/>
        <family val="2"/>
        <scheme val="minor"/>
      </rPr>
      <t xml:space="preserve">                                                                   </t>
    </r>
    <r>
      <rPr>
        <b/>
        <sz val="10"/>
        <color theme="1"/>
        <rFont val="Calibri"/>
        <family val="2"/>
        <scheme val="minor"/>
      </rPr>
      <t>Community/Lot #:</t>
    </r>
  </si>
  <si>
    <r>
      <rPr>
        <b/>
        <sz val="11"/>
        <color theme="1"/>
        <rFont val="Calibri"/>
        <family val="2"/>
        <scheme val="minor"/>
      </rPr>
      <t>Inspection Date</t>
    </r>
    <r>
      <rPr>
        <sz val="11"/>
        <color theme="1"/>
        <rFont val="Calibri"/>
        <family val="2"/>
        <scheme val="minor"/>
      </rPr>
      <t xml:space="preserve"> </t>
    </r>
    <r>
      <rPr>
        <i/>
        <sz val="11"/>
        <color theme="1"/>
        <rFont val="Calibri"/>
        <family val="2"/>
        <scheme val="minor"/>
      </rPr>
      <t>(format 9/99/9999)</t>
    </r>
  </si>
  <si>
    <r>
      <rPr>
        <b/>
        <sz val="8"/>
        <rFont val="Arial"/>
        <family val="2"/>
      </rPr>
      <t>Start Time</t>
    </r>
    <r>
      <rPr>
        <sz val="8"/>
        <rFont val="Arial"/>
        <family val="2"/>
      </rPr>
      <t xml:space="preserve">
Format
(hh:mm AM)</t>
    </r>
  </si>
  <si>
    <r>
      <t xml:space="preserve">End Time
</t>
    </r>
    <r>
      <rPr>
        <sz val="8"/>
        <rFont val="Arial"/>
        <family val="2"/>
      </rPr>
      <t>Format
(hh:mm PM)</t>
    </r>
  </si>
  <si>
    <t>Please fill in the information below. All fields are required unless marked otherwise. This information may be used to pre-populate fields and aid in scoring decisions in this tool. It may also be used for statistical reasons. Your privacy is important to us, and your information will not be shared or sold outside of the Home Innovation Research Labs or National Association of Home Builders.</t>
  </si>
  <si>
    <t>Final Signature Status:</t>
  </si>
  <si>
    <t>Certification Level - As Designed:</t>
  </si>
  <si>
    <t>Project ID:</t>
  </si>
  <si>
    <t xml:space="preserve">Project Name: </t>
  </si>
  <si>
    <t xml:space="preserve">Location: </t>
  </si>
  <si>
    <t>A minimum of two practices are required from Section 704.    This requirement</t>
  </si>
  <si>
    <t>Enter # of ES fans</t>
  </si>
  <si>
    <t>Updated Batch Processing functionality, modified sheets to pull info from “Start Here” tab when appropriate</t>
  </si>
  <si>
    <t>No more than 10 homes can be submitted on one report.</t>
  </si>
  <si>
    <t>2015 IECC</t>
  </si>
  <si>
    <t>2015 IBC</t>
  </si>
  <si>
    <t>2015 IRC</t>
  </si>
  <si>
    <t>Added (2015 IECC, 2015 IBC, and 2015 IRC) to the Local Energy dropdown on "Start Here" tab</t>
  </si>
  <si>
    <r>
      <t xml:space="preserve">902.3(2)(a) </t>
    </r>
    <r>
      <rPr>
        <sz val="10"/>
        <rFont val="Calibri"/>
        <family val="2"/>
        <scheme val="minor"/>
      </rPr>
      <t>passive or active radon system for zone 2 or 3</t>
    </r>
  </si>
  <si>
    <r>
      <t xml:space="preserve">Certificate should be sent to:
</t>
    </r>
    <r>
      <rPr>
        <i/>
        <sz val="9"/>
        <color theme="0" tint="-0.499984740745262"/>
        <rFont val="Calibri"/>
        <family val="2"/>
        <scheme val="minor"/>
      </rPr>
      <t>(Certificates are only sent to the Builder/Developer)</t>
    </r>
  </si>
  <si>
    <t xml:space="preserve">revised 903.2 logic to align with approved NGBS climate types </t>
  </si>
  <si>
    <t>revised 1003.2 point allocation</t>
  </si>
  <si>
    <t>revised703.3.4 point allocations for (Zones 5 thru 8   -  Ductwork inside &amp; out)</t>
  </si>
  <si>
    <t>HERS Index: (enter value or NA on Start Here! tab)</t>
  </si>
  <si>
    <t>HERS Index (or "N/A"):</t>
  </si>
  <si>
    <t>revised Start Here and Verification Rpt tabs - encouraging the project's HERS  Index information to be entered</t>
  </si>
  <si>
    <t>Batch Processing increased to 20 rows.</t>
  </si>
  <si>
    <t>(2) Exterior Choice</t>
  </si>
  <si>
    <t>revised 703.5.1(2)  to allow a single point for  'Exterior Choice'</t>
  </si>
  <si>
    <t>revised 901.4 logic</t>
  </si>
  <si>
    <r>
      <rPr>
        <b/>
        <sz val="10"/>
        <rFont val="Calibri"/>
        <family val="2"/>
        <scheme val="minor"/>
      </rPr>
      <t>Electrical Vehicle Charging Station</t>
    </r>
    <r>
      <rPr>
        <sz val="10"/>
        <rFont val="Calibri"/>
        <family val="2"/>
        <scheme val="minor"/>
      </rPr>
      <t xml:space="preserve">. A Level 2 or Level 3 electric vehicle charging station is installed on the building site. (Note: Charging station shall not be included in the building energy consumption.)
</t>
    </r>
    <r>
      <rPr>
        <b/>
        <sz val="10"/>
        <color rgb="FFFF0000"/>
        <rFont val="Calibri"/>
        <family val="2"/>
        <scheme val="minor"/>
      </rPr>
      <t>Points awarded per 301.2(3) and ONLY count towards total NGBS score, NOT Chapter 7</t>
    </r>
  </si>
  <si>
    <r>
      <t>705.7 Electrical Vehicle Charging Station.</t>
    </r>
    <r>
      <rPr>
        <sz val="10"/>
        <rFont val="Calibri"/>
        <family val="2"/>
        <scheme val="minor"/>
      </rPr>
      <t xml:space="preserve"> A Level 2 or Level 3 electric vehicle charging station is installed on the building site. (Note: Charging station shall not be included in the building energy consumption.)</t>
    </r>
    <r>
      <rPr>
        <b/>
        <sz val="10"/>
        <rFont val="Calibri"/>
        <family val="2"/>
        <scheme val="minor"/>
      </rPr>
      <t xml:space="preserve">
Points awarded per 301.2(3) and ONLY count towards total NGBS score, NOT Chapter 7</t>
    </r>
  </si>
  <si>
    <r>
      <t>705.7 Electrical Vehicle Charging Station.</t>
    </r>
    <r>
      <rPr>
        <sz val="10"/>
        <rFont val="Calibri"/>
        <family val="2"/>
        <scheme val="minor"/>
      </rPr>
      <t xml:space="preserve"> A Level 2 or Level 3 electric vehicle charging station is installed on the building site. (Note: Charging station shall not be included in the building energy consumption.)
</t>
    </r>
    <r>
      <rPr>
        <sz val="10"/>
        <color rgb="FFFF0000"/>
        <rFont val="Calibri"/>
        <family val="2"/>
        <scheme val="minor"/>
      </rPr>
      <t>Points awarded per 301.2(3) and ONLY count towards total NGBS score, NOT Chapter 7</t>
    </r>
  </si>
  <si>
    <t>2.50</t>
  </si>
  <si>
    <t xml:space="preserve">Added 705.7 Electrical Vehicle Charging Station. </t>
  </si>
  <si>
    <t>adjusted the Builder Signature Date to accept dates  for 2020 and greater</t>
  </si>
  <si>
    <t>Date
Format (mm/dd/yyyy)</t>
  </si>
  <si>
    <t>Allow 2020 and later Dates on the Final and Rough Signature pages</t>
  </si>
  <si>
    <t>All rights reserved.  This document is protected by U.S. copyright law. Requirements from ICC700-2012 National Green Building Standard™ © 2020 National Association of Home Builders of the U.S. - used by permission.  Home Innovation authorizes use of this document only by those individuals/organizations participating in Home Innovation's Green Building Certification and solely for purpose of seeking project certification from the Home Innovation Research Labs.</t>
  </si>
  <si>
    <t>© 2020 Home Innovation Research Labs, Inc.</t>
  </si>
  <si>
    <t>Corrected some additional data validation error messages on the "Verification Rpt"</t>
  </si>
  <si>
    <t>PRJEPKDMnz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</si>
</sst>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_(* #,##0.00_);_(* \(#,##0.00\);_(* &quot;-&quot;??_);_(@_)"/>
    <numFmt numFmtId="165" formatCode="[$-409]mmmm\ d\,\ yyyy;@"/>
    <numFmt numFmtId="166" formatCode="0.0"/>
    <numFmt numFmtId="167" formatCode="&quot;(&quot;#&quot;)&quot;"/>
    <numFmt numFmtId="168" formatCode="0_);[Red]\(0\)"/>
    <numFmt numFmtId="169" formatCode="[$-409]h:mm\ AM/PM;@"/>
    <numFmt numFmtId="170" formatCode="0.0%"/>
    <numFmt numFmtId="171" formatCode="mm/dd/yy;@"/>
    <numFmt numFmtId="172" formatCode="m/d/yyyy;@"/>
  </numFmts>
  <fonts count="183">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0"/>
      <name val="MS Sans Serif"/>
      <family val="2"/>
    </font>
    <font>
      <b/>
      <sz val="11"/>
      <name val="Calibri"/>
      <family val="2"/>
      <scheme val="minor"/>
    </font>
    <font>
      <sz val="10"/>
      <color rgb="FF006100"/>
      <name val="Calibri"/>
      <family val="2"/>
      <scheme val="minor"/>
    </font>
    <font>
      <sz val="12"/>
      <color theme="1"/>
      <name val="Calibri"/>
      <family val="2"/>
      <scheme val="minor"/>
    </font>
    <font>
      <b/>
      <sz val="10"/>
      <color theme="0"/>
      <name val="Calibri"/>
      <family val="2"/>
      <scheme val="minor"/>
    </font>
    <font>
      <b/>
      <sz val="10"/>
      <color rgb="FF663300"/>
      <name val="Calibri"/>
      <family val="2"/>
      <scheme val="minor"/>
    </font>
    <font>
      <b/>
      <sz val="10"/>
      <color rgb="FF777777"/>
      <name val="Calibri"/>
      <family val="2"/>
      <scheme val="minor"/>
    </font>
    <font>
      <b/>
      <sz val="10"/>
      <color rgb="FFCC9900"/>
      <name val="Calibri"/>
      <family val="2"/>
      <scheme val="minor"/>
    </font>
    <font>
      <b/>
      <sz val="10"/>
      <color rgb="FF008000"/>
      <name val="Calibri"/>
      <family val="2"/>
      <scheme val="minor"/>
    </font>
    <font>
      <b/>
      <sz val="10"/>
      <color theme="1"/>
      <name val="Calibri"/>
      <family val="2"/>
      <scheme val="minor"/>
    </font>
    <font>
      <b/>
      <sz val="9"/>
      <name val="Calibri"/>
      <family val="2"/>
      <scheme val="minor"/>
    </font>
    <font>
      <sz val="9"/>
      <name val="Calibri"/>
      <family val="2"/>
      <scheme val="minor"/>
    </font>
    <font>
      <i/>
      <sz val="10"/>
      <name val="Calibri"/>
      <family val="2"/>
      <scheme val="minor"/>
    </font>
    <font>
      <u/>
      <sz val="10"/>
      <color indexed="12"/>
      <name val="Calibri"/>
      <family val="2"/>
      <scheme val="minor"/>
    </font>
    <font>
      <sz val="9"/>
      <color rgb="FF0D776E"/>
      <name val="Calibri"/>
      <family val="2"/>
      <scheme val="minor"/>
    </font>
    <font>
      <b/>
      <sz val="11"/>
      <color theme="0"/>
      <name val="Calibri"/>
      <family val="2"/>
    </font>
    <font>
      <b/>
      <sz val="11"/>
      <color theme="1"/>
      <name val="Calibri"/>
      <family val="2"/>
    </font>
    <font>
      <sz val="10"/>
      <name val="Calibri"/>
      <family val="2"/>
      <scheme val="minor"/>
    </font>
    <font>
      <b/>
      <sz val="10"/>
      <name val="Calibri"/>
      <family val="2"/>
      <scheme val="minor"/>
    </font>
    <font>
      <sz val="10"/>
      <color theme="1"/>
      <name val="Calibri"/>
      <family val="2"/>
      <scheme val="minor"/>
    </font>
    <font>
      <b/>
      <i/>
      <sz val="10"/>
      <name val="Calibri"/>
      <family val="2"/>
      <scheme val="minor"/>
    </font>
    <font>
      <b/>
      <u/>
      <sz val="10"/>
      <name val="Calibri"/>
      <family val="2"/>
      <scheme val="minor"/>
    </font>
    <font>
      <b/>
      <sz val="10"/>
      <name val="Calibri"/>
      <family val="2"/>
    </font>
    <font>
      <sz val="10"/>
      <name val="Calibri"/>
      <family val="2"/>
    </font>
    <font>
      <b/>
      <sz val="10"/>
      <color rgb="FFFF0000"/>
      <name val="Calibri"/>
      <family val="2"/>
      <scheme val="minor"/>
    </font>
    <font>
      <b/>
      <u/>
      <sz val="10"/>
      <color theme="1"/>
      <name val="Calibri"/>
      <family val="2"/>
      <scheme val="minor"/>
    </font>
    <font>
      <sz val="9"/>
      <color theme="1"/>
      <name val="Calibri"/>
      <family val="2"/>
      <scheme val="minor"/>
    </font>
    <font>
      <b/>
      <sz val="10"/>
      <color rgb="FFFF0000"/>
      <name val="Calibri"/>
      <family val="2"/>
    </font>
    <font>
      <b/>
      <sz val="9"/>
      <color theme="1"/>
      <name val="Calibri"/>
      <family val="2"/>
      <scheme val="minor"/>
    </font>
    <font>
      <vertAlign val="superscript"/>
      <sz val="10"/>
      <color theme="1"/>
      <name val="Calibri"/>
      <family val="2"/>
      <scheme val="minor"/>
    </font>
    <font>
      <b/>
      <sz val="14"/>
      <color theme="0"/>
      <name val="Century Gothic"/>
      <family val="2"/>
    </font>
    <font>
      <b/>
      <sz val="14"/>
      <color theme="0"/>
      <name val="Calibri"/>
      <family val="2"/>
      <scheme val="minor"/>
    </font>
    <font>
      <b/>
      <u/>
      <sz val="14"/>
      <color theme="0"/>
      <name val="Calibri"/>
      <family val="2"/>
      <scheme val="minor"/>
    </font>
    <font>
      <b/>
      <sz val="11"/>
      <color theme="1"/>
      <name val="Century Gothic"/>
      <family val="2"/>
    </font>
    <font>
      <i/>
      <sz val="11"/>
      <color theme="1"/>
      <name val="Calibri"/>
      <family val="2"/>
      <scheme val="minor"/>
    </font>
    <font>
      <sz val="11"/>
      <name val="Calibri"/>
      <family val="2"/>
      <scheme val="minor"/>
    </font>
    <font>
      <b/>
      <sz val="12"/>
      <color rgb="FFFFFF00"/>
      <name val="Calibri"/>
      <family val="2"/>
      <scheme val="minor"/>
    </font>
    <font>
      <b/>
      <sz val="12"/>
      <name val="Calibri"/>
      <family val="2"/>
      <scheme val="minor"/>
    </font>
    <font>
      <b/>
      <sz val="10"/>
      <color rgb="FFFFCC00"/>
      <name val="Calibri"/>
      <family val="2"/>
      <scheme val="minor"/>
    </font>
    <font>
      <b/>
      <sz val="9"/>
      <color rgb="FF0D776E"/>
      <name val="Calibri"/>
      <family val="2"/>
      <scheme val="minor"/>
    </font>
    <font>
      <b/>
      <sz val="8"/>
      <color rgb="FFFF0000"/>
      <name val="Calibri"/>
      <family val="2"/>
    </font>
    <font>
      <b/>
      <sz val="10"/>
      <color rgb="FF7030A0"/>
      <name val="Calibri"/>
      <family val="2"/>
      <scheme val="minor"/>
    </font>
    <font>
      <sz val="9"/>
      <color theme="1"/>
      <name val="Calibri"/>
      <family val="2"/>
    </font>
    <font>
      <vertAlign val="superscript"/>
      <sz val="10"/>
      <name val="Calibri"/>
      <family val="2"/>
      <scheme val="minor"/>
    </font>
    <font>
      <b/>
      <sz val="8"/>
      <name val="Calibri"/>
      <family val="2"/>
      <scheme val="minor"/>
    </font>
    <font>
      <sz val="9"/>
      <name val="Calibri"/>
      <family val="2"/>
    </font>
    <font>
      <b/>
      <sz val="11"/>
      <name val="Calibri"/>
      <family val="2"/>
    </font>
    <font>
      <b/>
      <vertAlign val="superscript"/>
      <sz val="10"/>
      <color theme="0"/>
      <name val="Calibri"/>
      <family val="2"/>
      <scheme val="minor"/>
    </font>
    <font>
      <vertAlign val="superscript"/>
      <sz val="9"/>
      <color theme="1"/>
      <name val="Calibri"/>
      <family val="2"/>
      <scheme val="minor"/>
    </font>
    <font>
      <b/>
      <sz val="10"/>
      <color rgb="FFFFFF00"/>
      <name val="Calibri"/>
      <family val="2"/>
      <scheme val="minor"/>
    </font>
    <font>
      <b/>
      <sz val="10"/>
      <color theme="5" tint="-0.499984740745262"/>
      <name val="Calibri"/>
      <family val="2"/>
    </font>
    <font>
      <sz val="8"/>
      <name val="Calibri"/>
      <family val="2"/>
      <scheme val="minor"/>
    </font>
    <font>
      <b/>
      <i/>
      <sz val="10"/>
      <color theme="1"/>
      <name val="Calibri"/>
      <family val="2"/>
      <scheme val="minor"/>
    </font>
    <font>
      <sz val="11"/>
      <color theme="0"/>
      <name val="Calibri"/>
      <family val="2"/>
      <scheme val="minor"/>
    </font>
    <font>
      <b/>
      <u/>
      <sz val="14"/>
      <color rgb="FFFF0000"/>
      <name val="Calibri"/>
      <family val="2"/>
      <scheme val="minor"/>
    </font>
    <font>
      <b/>
      <sz val="14"/>
      <color rgb="FFC00000"/>
      <name val="Calibri"/>
      <family val="2"/>
      <scheme val="minor"/>
    </font>
    <font>
      <b/>
      <u/>
      <sz val="10"/>
      <color rgb="FFC00000"/>
      <name val="Calibri"/>
      <family val="2"/>
    </font>
    <font>
      <b/>
      <u/>
      <sz val="11"/>
      <color rgb="FFFF0000"/>
      <name val="Calibri"/>
      <family val="2"/>
      <scheme val="minor"/>
    </font>
    <font>
      <b/>
      <sz val="10"/>
      <name val="Century Gothic"/>
      <family val="2"/>
    </font>
    <font>
      <b/>
      <sz val="10"/>
      <color rgb="FF7030A0"/>
      <name val="Calibri"/>
      <family val="2"/>
    </font>
    <font>
      <sz val="10"/>
      <color rgb="FFFF0000"/>
      <name val="Calibri"/>
      <family val="2"/>
      <scheme val="minor"/>
    </font>
    <font>
      <b/>
      <sz val="10"/>
      <color indexed="8"/>
      <name val="Calibri"/>
      <family val="2"/>
      <scheme val="minor"/>
    </font>
    <font>
      <b/>
      <sz val="9"/>
      <color rgb="FFFF0000"/>
      <name val="Calibri"/>
      <family val="2"/>
      <scheme val="minor"/>
    </font>
    <font>
      <sz val="10"/>
      <color indexed="8"/>
      <name val="Calibri"/>
      <family val="2"/>
      <scheme val="minor"/>
    </font>
    <font>
      <i/>
      <sz val="10"/>
      <color theme="1"/>
      <name val="Calibri"/>
      <family val="2"/>
      <scheme val="minor"/>
    </font>
    <font>
      <sz val="10"/>
      <color rgb="FF663300"/>
      <name val="Calibri"/>
      <family val="2"/>
      <scheme val="minor"/>
    </font>
    <font>
      <b/>
      <i/>
      <sz val="10"/>
      <color rgb="FFFF0000"/>
      <name val="Calibri"/>
      <family val="2"/>
      <scheme val="minor"/>
    </font>
    <font>
      <b/>
      <sz val="14"/>
      <color theme="1"/>
      <name val="Calibri"/>
      <family val="2"/>
      <scheme val="minor"/>
    </font>
    <font>
      <b/>
      <i/>
      <sz val="9"/>
      <name val="Arial"/>
      <family val="2"/>
    </font>
    <font>
      <b/>
      <sz val="11"/>
      <color rgb="FFFFFFFF"/>
      <name val="Calibri"/>
      <family val="2"/>
      <scheme val="minor"/>
    </font>
    <font>
      <b/>
      <i/>
      <u/>
      <sz val="11"/>
      <color theme="1"/>
      <name val="Calibri"/>
      <family val="2"/>
      <scheme val="minor"/>
    </font>
    <font>
      <b/>
      <sz val="14"/>
      <color rgb="FFFFFFFF"/>
      <name val="Century Gothic"/>
      <family val="2"/>
    </font>
    <font>
      <b/>
      <sz val="14"/>
      <name val="Century Gothic"/>
      <family val="2"/>
    </font>
    <font>
      <sz val="8.25"/>
      <color theme="1"/>
      <name val="Arial"/>
      <family val="2"/>
    </font>
    <font>
      <b/>
      <sz val="12"/>
      <color theme="1"/>
      <name val="Calibri"/>
      <family val="2"/>
      <scheme val="minor"/>
    </font>
    <font>
      <b/>
      <sz val="9"/>
      <color theme="0"/>
      <name val="Calibri"/>
      <family val="2"/>
      <scheme val="minor"/>
    </font>
    <font>
      <sz val="8"/>
      <color theme="1"/>
      <name val="Calibri"/>
      <family val="2"/>
      <scheme val="minor"/>
    </font>
    <font>
      <u/>
      <sz val="10"/>
      <color indexed="12"/>
      <name val="Century Gothic"/>
      <family val="2"/>
    </font>
    <font>
      <sz val="10"/>
      <name val="Century Gothic"/>
      <family val="2"/>
    </font>
    <font>
      <sz val="10"/>
      <name val="Tahoma"/>
      <family val="2"/>
    </font>
    <font>
      <vertAlign val="superscript"/>
      <sz val="11"/>
      <color theme="1"/>
      <name val="Calibri"/>
      <family val="2"/>
      <scheme val="minor"/>
    </font>
    <font>
      <vertAlign val="superscript"/>
      <sz val="11"/>
      <color theme="0"/>
      <name val="Calibri"/>
      <family val="2"/>
      <scheme val="minor"/>
    </font>
    <font>
      <sz val="11"/>
      <color theme="1"/>
      <name val="Century Gothic"/>
      <family val="2"/>
    </font>
    <font>
      <sz val="11"/>
      <color theme="1"/>
      <name val="Calibri"/>
      <family val="2"/>
    </font>
    <font>
      <i/>
      <sz val="11"/>
      <color theme="0"/>
      <name val="Calibri"/>
      <family val="2"/>
      <scheme val="minor"/>
    </font>
    <font>
      <b/>
      <i/>
      <sz val="11"/>
      <color theme="0"/>
      <name val="Calibri"/>
      <family val="2"/>
      <scheme val="minor"/>
    </font>
    <font>
      <b/>
      <sz val="10"/>
      <color theme="1"/>
      <name val="Calibri"/>
      <family val="2"/>
    </font>
    <font>
      <b/>
      <vertAlign val="superscript"/>
      <sz val="10"/>
      <name val="Calibri"/>
      <family val="2"/>
      <scheme val="minor"/>
    </font>
    <font>
      <b/>
      <sz val="10"/>
      <color rgb="FFC00000"/>
      <name val="Calibri"/>
      <family val="2"/>
      <scheme val="minor"/>
    </font>
    <font>
      <i/>
      <sz val="10"/>
      <name val="Calibri"/>
      <family val="2"/>
    </font>
    <font>
      <b/>
      <sz val="9"/>
      <name val="Calibri"/>
      <family val="2"/>
    </font>
    <font>
      <b/>
      <sz val="14"/>
      <color theme="0"/>
      <name val="Calibri"/>
      <family val="2"/>
    </font>
    <font>
      <b/>
      <sz val="12"/>
      <name val="Calibri"/>
      <family val="2"/>
    </font>
    <font>
      <b/>
      <i/>
      <sz val="11"/>
      <color theme="1"/>
      <name val="Calibri"/>
      <family val="2"/>
    </font>
    <font>
      <b/>
      <i/>
      <sz val="12"/>
      <color theme="1"/>
      <name val="Calibri"/>
      <family val="2"/>
    </font>
    <font>
      <b/>
      <i/>
      <sz val="11"/>
      <name val="Calibri"/>
      <family val="2"/>
    </font>
    <font>
      <b/>
      <vertAlign val="superscript"/>
      <sz val="12"/>
      <color theme="1"/>
      <name val="Calibri"/>
      <family val="2"/>
      <scheme val="minor"/>
    </font>
    <font>
      <sz val="10"/>
      <color theme="1" tint="0.34998626667073579"/>
      <name val="Calibri"/>
      <family val="2"/>
      <scheme val="minor"/>
    </font>
    <font>
      <b/>
      <sz val="9"/>
      <color rgb="FFFF0000"/>
      <name val="Calibri"/>
      <family val="2"/>
    </font>
    <font>
      <b/>
      <vertAlign val="superscript"/>
      <sz val="9"/>
      <color theme="1"/>
      <name val="Calibri"/>
      <family val="2"/>
      <scheme val="minor"/>
    </font>
    <font>
      <sz val="10"/>
      <color rgb="FF000000"/>
      <name val="Calibri"/>
      <family val="2"/>
      <scheme val="minor"/>
    </font>
    <font>
      <sz val="8"/>
      <color rgb="FF000000"/>
      <name val="Arial"/>
      <family val="2"/>
    </font>
    <font>
      <sz val="10"/>
      <color theme="1"/>
      <name val="Calibri"/>
      <family val="2"/>
    </font>
    <font>
      <sz val="9"/>
      <color rgb="FF454545"/>
      <name val="Arial"/>
      <family val="2"/>
    </font>
    <font>
      <b/>
      <i/>
      <sz val="11"/>
      <color rgb="FFFF0000"/>
      <name val="Calibri"/>
      <family val="2"/>
      <scheme val="minor"/>
    </font>
    <font>
      <sz val="9"/>
      <color rgb="FFFF0000"/>
      <name val="Calibri"/>
      <family val="2"/>
    </font>
    <font>
      <b/>
      <sz val="12"/>
      <color rgb="FFFF0000"/>
      <name val="Calibri"/>
      <family val="2"/>
      <scheme val="minor"/>
    </font>
    <font>
      <b/>
      <sz val="8"/>
      <name val="Calibri"/>
      <family val="2"/>
    </font>
    <font>
      <sz val="9"/>
      <color rgb="FFFF0000"/>
      <name val="Calibri"/>
      <family val="2"/>
      <scheme val="minor"/>
    </font>
    <font>
      <b/>
      <sz val="16"/>
      <name val="Arial"/>
      <family val="2"/>
    </font>
    <font>
      <sz val="16"/>
      <name val="Arial"/>
      <family val="2"/>
    </font>
    <font>
      <sz val="9"/>
      <name val="Arial"/>
      <family val="2"/>
    </font>
    <font>
      <b/>
      <sz val="9"/>
      <name val="Arial"/>
      <family val="2"/>
    </font>
    <font>
      <b/>
      <sz val="8"/>
      <name val="Arial"/>
      <family val="2"/>
    </font>
    <font>
      <b/>
      <sz val="10"/>
      <name val="Arial"/>
      <family val="2"/>
    </font>
    <font>
      <sz val="10"/>
      <color indexed="10"/>
      <name val="Arial"/>
      <family val="2"/>
    </font>
    <font>
      <sz val="8"/>
      <name val="Arial"/>
      <family val="2"/>
    </font>
    <font>
      <u/>
      <sz val="10"/>
      <color indexed="12"/>
      <name val="Arial"/>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8"/>
      <color rgb="FFFF0000"/>
      <name val="Calibri"/>
      <family val="2"/>
      <scheme val="minor"/>
    </font>
    <font>
      <sz val="8"/>
      <color rgb="FFFF0000"/>
      <name val="Calibri"/>
      <family val="2"/>
      <scheme val="minor"/>
    </font>
    <font>
      <i/>
      <sz val="10"/>
      <color rgb="FFFF0000"/>
      <name val="Calibri"/>
      <family val="2"/>
      <scheme val="minor"/>
    </font>
    <font>
      <b/>
      <sz val="24"/>
      <color rgb="FF003F72"/>
      <name val="Calibri"/>
      <family val="2"/>
      <scheme val="minor"/>
    </font>
    <font>
      <b/>
      <u/>
      <sz val="10"/>
      <color rgb="FFFF0000"/>
      <name val="Calibri"/>
      <family val="2"/>
      <scheme val="minor"/>
    </font>
    <font>
      <b/>
      <sz val="10"/>
      <color theme="1"/>
      <name val="Arial"/>
      <family val="2"/>
    </font>
    <font>
      <sz val="10"/>
      <color theme="1"/>
      <name val="Arial"/>
      <family val="2"/>
    </font>
    <font>
      <b/>
      <sz val="34"/>
      <color rgb="FF003F72"/>
      <name val="Calibri"/>
      <family val="2"/>
      <scheme val="minor"/>
    </font>
    <font>
      <b/>
      <sz val="9"/>
      <color theme="0"/>
      <name val="Calibri"/>
      <family val="2"/>
    </font>
    <font>
      <b/>
      <sz val="10"/>
      <color theme="3" tint="-0.249977111117893"/>
      <name val="Century Gothic"/>
      <family val="2"/>
    </font>
    <font>
      <b/>
      <sz val="14"/>
      <color theme="1"/>
      <name val="Calibri"/>
      <family val="2"/>
    </font>
    <font>
      <b/>
      <sz val="9"/>
      <color theme="1"/>
      <name val="Calibri"/>
      <family val="2"/>
    </font>
    <font>
      <b/>
      <sz val="20"/>
      <color rgb="FF003F72"/>
      <name val="Calibri"/>
      <family val="2"/>
      <scheme val="minor"/>
    </font>
    <font>
      <b/>
      <sz val="11"/>
      <color rgb="FFFF0000"/>
      <name val="Calibri"/>
      <family val="2"/>
      <scheme val="minor"/>
    </font>
    <font>
      <b/>
      <vertAlign val="superscript"/>
      <sz val="10"/>
      <color theme="1"/>
      <name val="Arial"/>
      <family val="2"/>
    </font>
    <font>
      <b/>
      <sz val="9"/>
      <color theme="1"/>
      <name val="Arial"/>
      <family val="2"/>
    </font>
    <font>
      <sz val="9"/>
      <color theme="1"/>
      <name val="Arial"/>
      <family val="2"/>
    </font>
    <font>
      <b/>
      <vertAlign val="superscript"/>
      <sz val="9"/>
      <color theme="1"/>
      <name val="Arial"/>
      <family val="2"/>
    </font>
    <font>
      <vertAlign val="superscript"/>
      <sz val="9"/>
      <color theme="1"/>
      <name val="Arial"/>
      <family val="2"/>
    </font>
    <font>
      <i/>
      <sz val="9"/>
      <color theme="1"/>
      <name val="Arial"/>
      <family val="2"/>
    </font>
    <font>
      <b/>
      <sz val="8"/>
      <color theme="0"/>
      <name val="Calibri"/>
      <family val="2"/>
    </font>
    <font>
      <sz val="9"/>
      <name val="MS Sans Serif"/>
      <family val="2"/>
    </font>
    <font>
      <sz val="10"/>
      <color rgb="FF0D776E"/>
      <name val="Calibri"/>
      <family val="2"/>
      <scheme val="minor"/>
    </font>
    <font>
      <sz val="14"/>
      <color theme="1"/>
      <name val="Calibri"/>
      <family val="2"/>
      <scheme val="minor"/>
    </font>
    <font>
      <b/>
      <sz val="28"/>
      <color rgb="FF003F72"/>
      <name val="Calibri"/>
      <family val="2"/>
      <scheme val="minor"/>
    </font>
    <font>
      <sz val="11"/>
      <color rgb="FFFF0000"/>
      <name val="Calibri"/>
      <family val="2"/>
      <scheme val="minor"/>
    </font>
    <font>
      <b/>
      <u/>
      <sz val="12"/>
      <color rgb="FFFF0000"/>
      <name val="Calibri"/>
      <family val="2"/>
      <scheme val="minor"/>
    </font>
    <font>
      <sz val="11"/>
      <color theme="4" tint="-0.499984740745262"/>
      <name val="Calibri"/>
      <family val="2"/>
      <scheme val="minor"/>
    </font>
    <font>
      <b/>
      <sz val="11"/>
      <color theme="1"/>
      <name val="Verdana"/>
      <family val="2"/>
    </font>
    <font>
      <i/>
      <sz val="10"/>
      <color rgb="FF000000"/>
      <name val="Calibri"/>
      <family val="2"/>
      <scheme val="minor"/>
    </font>
    <font>
      <b/>
      <sz val="10"/>
      <color theme="1"/>
      <name val=" verdana"/>
    </font>
    <font>
      <i/>
      <sz val="14"/>
      <color rgb="FF000000"/>
      <name val="Calibri"/>
      <family val="2"/>
      <scheme val="minor"/>
    </font>
    <font>
      <u/>
      <sz val="11"/>
      <color rgb="FFFF0000"/>
      <name val="Calibri"/>
      <family val="2"/>
      <scheme val="minor"/>
    </font>
    <font>
      <sz val="11"/>
      <color rgb="FF000000"/>
      <name val="Symbol"/>
      <family val="1"/>
      <charset val="2"/>
    </font>
    <font>
      <sz val="7"/>
      <color rgb="FF000000"/>
      <name val="Times New Roman"/>
      <family val="1"/>
    </font>
    <font>
      <sz val="11"/>
      <color rgb="FF000000"/>
      <name val="Calibri"/>
      <family val="2"/>
    </font>
    <font>
      <sz val="10"/>
      <color indexed="12"/>
      <name val="Calibri"/>
      <family val="2"/>
      <scheme val="minor"/>
    </font>
    <font>
      <b/>
      <sz val="11"/>
      <color theme="1"/>
      <name val="Cambria"/>
      <family val="1"/>
      <scheme val="major"/>
    </font>
    <font>
      <sz val="11"/>
      <color theme="1"/>
      <name val="Cambria"/>
      <family val="1"/>
      <scheme val="major"/>
    </font>
    <font>
      <sz val="10"/>
      <name val="Cambria"/>
      <family val="1"/>
      <scheme val="major"/>
    </font>
    <font>
      <sz val="10"/>
      <color theme="1"/>
      <name val="Cambria"/>
      <family val="1"/>
      <scheme val="major"/>
    </font>
    <font>
      <b/>
      <sz val="10"/>
      <name val="Cambria"/>
      <family val="1"/>
      <scheme val="major"/>
    </font>
    <font>
      <i/>
      <sz val="9"/>
      <color theme="0" tint="-0.499984740745262"/>
      <name val="Calibri"/>
      <family val="2"/>
      <scheme val="minor"/>
    </font>
  </fonts>
  <fills count="86">
    <fill>
      <patternFill patternType="none"/>
    </fill>
    <fill>
      <patternFill patternType="gray125"/>
    </fill>
    <fill>
      <patternFill patternType="solid">
        <fgColor theme="6" tint="0.59999389629810485"/>
        <bgColor indexed="65"/>
      </patternFill>
    </fill>
    <fill>
      <patternFill patternType="solid">
        <fgColor theme="0"/>
        <bgColor indexed="64"/>
      </patternFill>
    </fill>
    <fill>
      <patternFill patternType="solid">
        <fgColor theme="4" tint="-0.249977111117893"/>
        <bgColor indexed="64"/>
      </patternFill>
    </fill>
    <fill>
      <patternFill patternType="solid">
        <fgColor theme="0"/>
        <bgColor auto="1"/>
      </patternFill>
    </fill>
    <fill>
      <patternFill patternType="solid">
        <fgColor rgb="FFFFFFCC"/>
        <bgColor indexed="64"/>
      </patternFill>
    </fill>
    <fill>
      <patternFill patternType="solid">
        <fgColor rgb="FFCCECFF"/>
        <bgColor indexed="64"/>
      </patternFill>
    </fill>
    <fill>
      <patternFill patternType="solid">
        <fgColor rgb="FF003F72"/>
        <bgColor indexed="64"/>
      </patternFill>
    </fill>
    <fill>
      <patternFill patternType="lightUp">
        <fgColor rgb="FFC0C0C0"/>
      </patternFill>
    </fill>
    <fill>
      <patternFill patternType="solid">
        <fgColor theme="4" tint="0.79998168889431442"/>
        <bgColor indexed="64"/>
      </patternFill>
    </fill>
    <fill>
      <patternFill patternType="darkDown">
        <fgColor theme="0"/>
        <bgColor rgb="FFFFFF00"/>
      </patternFill>
    </fill>
    <fill>
      <patternFill patternType="solid">
        <fgColor rgb="FFB2B2B2"/>
        <bgColor indexed="64"/>
      </patternFill>
    </fill>
    <fill>
      <patternFill patternType="solid">
        <fgColor rgb="FFFFFF00"/>
        <bgColor indexed="64"/>
      </patternFill>
    </fill>
    <fill>
      <patternFill patternType="solid">
        <fgColor rgb="FF92D050"/>
        <bgColor indexed="64"/>
      </patternFill>
    </fill>
    <fill>
      <patternFill patternType="lightDown">
        <fgColor rgb="FF92D050"/>
        <bgColor theme="0"/>
      </patternFill>
    </fill>
    <fill>
      <patternFill patternType="lightTrellis">
        <fgColor auto="1"/>
        <bgColor theme="0"/>
      </patternFill>
    </fill>
    <fill>
      <patternFill patternType="solid">
        <fgColor rgb="FF0D776E"/>
        <bgColor indexed="64"/>
      </patternFill>
    </fill>
    <fill>
      <patternFill patternType="solid">
        <fgColor theme="6"/>
      </patternFill>
    </fill>
    <fill>
      <patternFill patternType="gray125">
        <fgColor theme="0"/>
        <bgColor rgb="FF0D776E"/>
      </patternFill>
    </fill>
    <fill>
      <patternFill patternType="solid">
        <fgColor indexed="65"/>
        <bgColor auto="1"/>
      </patternFill>
    </fill>
    <fill>
      <patternFill patternType="lightDown">
        <fgColor rgb="FFFF0000"/>
        <bgColor theme="0"/>
      </patternFill>
    </fill>
    <fill>
      <patternFill patternType="solid">
        <fgColor rgb="FFFFFFFF"/>
        <bgColor indexed="64"/>
      </patternFill>
    </fill>
    <fill>
      <patternFill patternType="solid">
        <fgColor rgb="FFC0C0C0"/>
        <bgColor indexed="64"/>
      </patternFill>
    </fill>
    <fill>
      <patternFill patternType="solid">
        <fgColor rgb="FFC0C0C0"/>
        <bgColor theme="0"/>
      </patternFill>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rgb="FF663300"/>
        <bgColor indexed="64"/>
      </patternFill>
    </fill>
    <fill>
      <patternFill patternType="solid">
        <fgColor rgb="FF996633"/>
        <bgColor indexed="64"/>
      </patternFill>
    </fill>
    <fill>
      <patternFill patternType="gray0625">
        <fgColor theme="0"/>
        <bgColor rgb="FFDDDDDD"/>
      </patternFill>
    </fill>
    <fill>
      <patternFill patternType="solid">
        <fgColor rgb="FF808080"/>
        <bgColor indexed="64"/>
      </patternFill>
    </fill>
    <fill>
      <patternFill patternType="solid">
        <fgColor rgb="FFFFC000"/>
        <bgColor indexed="64"/>
      </patternFill>
    </fill>
    <fill>
      <patternFill patternType="solid">
        <fgColor rgb="FF00B050"/>
        <bgColor indexed="64"/>
      </patternFill>
    </fill>
    <fill>
      <patternFill patternType="solid">
        <fgColor theme="8" tint="0.79998168889431442"/>
        <bgColor indexed="64"/>
      </patternFill>
    </fill>
    <fill>
      <patternFill patternType="solid">
        <fgColor theme="0" tint="-0.249977111117893"/>
        <bgColor indexed="64"/>
      </patternFill>
    </fill>
    <fill>
      <patternFill patternType="solid">
        <fgColor rgb="FF006666"/>
        <bgColor indexed="64"/>
      </patternFill>
    </fill>
    <fill>
      <patternFill patternType="solid">
        <fgColor theme="2" tint="-9.9978637043366805E-2"/>
        <bgColor indexed="64"/>
      </patternFill>
    </fill>
    <fill>
      <patternFill patternType="solid">
        <fgColor rgb="FFFF0000"/>
        <bgColor indexed="64"/>
      </patternFill>
    </fill>
    <fill>
      <patternFill patternType="mediumGray">
        <fgColor theme="3" tint="0.79998168889431442"/>
        <bgColor auto="1"/>
      </patternFill>
    </fill>
    <fill>
      <patternFill patternType="mediumGray">
        <fgColor theme="3" tint="0.79998168889431442"/>
        <bgColor indexed="65"/>
      </patternFill>
    </fill>
    <fill>
      <patternFill patternType="mediumGray">
        <fgColor theme="3" tint="0.79995117038483843"/>
        <bgColor auto="1"/>
      </patternFill>
    </fill>
    <fill>
      <patternFill patternType="solid">
        <fgColor auto="1"/>
        <bgColor indexed="64"/>
      </patternFill>
    </fill>
    <fill>
      <patternFill patternType="darkDown">
        <fgColor rgb="FF92D050"/>
        <bgColor auto="1"/>
      </patternFill>
    </fill>
    <fill>
      <patternFill patternType="solid">
        <fgColor theme="4" tint="0.79989013336588644"/>
        <bgColor indexed="64"/>
      </patternFill>
    </fill>
    <fill>
      <patternFill patternType="solid">
        <fgColor theme="3" tint="0.79998168889431442"/>
        <bgColor indexed="64"/>
      </patternFill>
    </fill>
    <fill>
      <patternFill patternType="solid">
        <fgColor theme="3" tint="0.79995117038483843"/>
        <bgColor indexed="64"/>
      </patternFill>
    </fill>
    <fill>
      <patternFill patternType="solid">
        <fgColor theme="6"/>
        <bgColor indexed="64"/>
      </patternFill>
    </fill>
    <fill>
      <patternFill patternType="lightDown">
        <fgColor rgb="FF92D050"/>
        <bgColor auto="1"/>
      </patternFill>
    </fill>
    <fill>
      <patternFill patternType="solid">
        <fgColor theme="0" tint="-0.24994659260841701"/>
        <bgColor indexed="64"/>
      </patternFill>
    </fill>
    <fill>
      <patternFill patternType="solid">
        <fgColor theme="0" tint="-0.14996795556505021"/>
        <bgColor indexed="64"/>
      </patternFill>
    </fill>
    <fill>
      <patternFill patternType="solid">
        <fgColor rgb="FF094E89"/>
        <bgColor indexed="64"/>
      </patternFill>
    </fill>
    <fill>
      <patternFill patternType="solid">
        <fgColor rgb="FF8BBD0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tint="-0.14999847407452621"/>
        <bgColor indexed="64"/>
      </patternFill>
    </fill>
    <fill>
      <patternFill patternType="lightDown">
        <fgColor rgb="FF92D050"/>
      </patternFill>
    </fill>
    <fill>
      <patternFill patternType="solid">
        <fgColor theme="0" tint="-0.499984740745262"/>
        <bgColor indexed="64"/>
      </patternFill>
    </fill>
    <fill>
      <patternFill patternType="solid">
        <fgColor rgb="FFC5D6F7"/>
        <bgColor auto="1"/>
      </patternFill>
    </fill>
    <fill>
      <patternFill patternType="lightDown">
        <fgColor rgb="FF8BBD00"/>
        <bgColor theme="0"/>
      </patternFill>
    </fill>
    <fill>
      <patternFill patternType="solid">
        <fgColor theme="0" tint="-0.499984740745262"/>
        <bgColor theme="0"/>
      </patternFill>
    </fill>
    <fill>
      <patternFill patternType="solid">
        <fgColor theme="0" tint="-0.34998626667073579"/>
        <bgColor indexed="64"/>
      </patternFill>
    </fill>
    <fill>
      <patternFill patternType="solid">
        <fgColor rgb="FFD9D9D9"/>
        <bgColor indexed="64"/>
      </patternFill>
    </fill>
    <fill>
      <patternFill patternType="lightDown">
        <fgColor rgb="FFFFFFFF"/>
        <bgColor rgb="FFFFFF99"/>
      </patternFill>
    </fill>
    <fill>
      <patternFill patternType="solid">
        <fgColor rgb="FFDCE6F1"/>
        <bgColor rgb="FF92D050"/>
      </patternFill>
    </fill>
    <fill>
      <patternFill patternType="solid">
        <fgColor rgb="FF002060"/>
        <bgColor indexed="64"/>
      </patternFill>
    </fill>
  </fills>
  <borders count="899">
    <border>
      <left/>
      <right/>
      <top/>
      <bottom/>
      <diagonal/>
    </border>
    <border>
      <left style="thin">
        <color rgb="FFB2B2B2"/>
      </left>
      <right style="thin">
        <color rgb="FFB2B2B2"/>
      </right>
      <top style="thin">
        <color rgb="FFB2B2B2"/>
      </top>
      <bottom style="thin">
        <color rgb="FFB2B2B2"/>
      </bottom>
      <diagonal/>
    </border>
    <border>
      <left/>
      <right style="thin">
        <color rgb="FFB2B2B2"/>
      </right>
      <top/>
      <bottom/>
      <diagonal/>
    </border>
    <border>
      <left style="thin">
        <color rgb="FFB2B2B2"/>
      </left>
      <right style="thin">
        <color rgb="FFB2B2B2"/>
      </right>
      <top style="thin">
        <color rgb="FFB2B2B2"/>
      </top>
      <bottom/>
      <diagonal/>
    </border>
    <border>
      <left style="thin">
        <color rgb="FFB2B2B2"/>
      </left>
      <right/>
      <top style="thin">
        <color rgb="FFB2B2B2"/>
      </top>
      <bottom style="thin">
        <color rgb="FFB2B2B2"/>
      </bottom>
      <diagonal/>
    </border>
    <border>
      <left/>
      <right style="thin">
        <color rgb="FFB2B2B2"/>
      </right>
      <top style="thin">
        <color rgb="FFB2B2B2"/>
      </top>
      <bottom style="thin">
        <color rgb="FFB2B2B2"/>
      </bottom>
      <diagonal/>
    </border>
    <border>
      <left/>
      <right/>
      <top style="thin">
        <color rgb="FFB2B2B2"/>
      </top>
      <bottom style="thin">
        <color rgb="FFB2B2B2"/>
      </bottom>
      <diagonal/>
    </border>
    <border>
      <left style="thin">
        <color rgb="FFB2B2B2"/>
      </left>
      <right style="thin">
        <color rgb="FFB2B2B2"/>
      </right>
      <top/>
      <bottom style="thin">
        <color rgb="FFB2B2B2"/>
      </bottom>
      <diagonal/>
    </border>
    <border>
      <left/>
      <right/>
      <top/>
      <bottom style="medium">
        <color rgb="FF0D776E"/>
      </bottom>
      <diagonal/>
    </border>
    <border>
      <left/>
      <right style="medium">
        <color theme="0"/>
      </right>
      <top style="medium">
        <color theme="0"/>
      </top>
      <bottom style="medium">
        <color theme="0"/>
      </bottom>
      <diagonal/>
    </border>
    <border>
      <left/>
      <right/>
      <top style="medium">
        <color theme="0"/>
      </top>
      <bottom style="medium">
        <color theme="0"/>
      </bottom>
      <diagonal/>
    </border>
    <border>
      <left style="medium">
        <color rgb="FF0D776E"/>
      </left>
      <right style="medium">
        <color rgb="FF0D776E"/>
      </right>
      <top/>
      <bottom/>
      <diagonal/>
    </border>
    <border>
      <left style="medium">
        <color rgb="FF0D776E"/>
      </left>
      <right/>
      <top/>
      <bottom/>
      <diagonal/>
    </border>
    <border>
      <left/>
      <right style="medium">
        <color rgb="FF0D776E"/>
      </right>
      <top/>
      <bottom/>
      <diagonal/>
    </border>
    <border>
      <left style="thin">
        <color rgb="FFC0C0C0"/>
      </left>
      <right style="medium">
        <color rgb="FF0D776E"/>
      </right>
      <top/>
      <bottom/>
      <diagonal/>
    </border>
    <border>
      <left style="thin">
        <color theme="4"/>
      </left>
      <right style="thin">
        <color theme="4"/>
      </right>
      <top style="thin">
        <color theme="4"/>
      </top>
      <bottom style="thin">
        <color theme="4"/>
      </bottom>
      <diagonal/>
    </border>
    <border>
      <left style="thin">
        <color theme="4"/>
      </left>
      <right style="thin">
        <color theme="4"/>
      </right>
      <top style="thin">
        <color theme="4"/>
      </top>
      <bottom/>
      <diagonal/>
    </border>
    <border>
      <left style="thin">
        <color theme="4"/>
      </left>
      <right/>
      <top/>
      <bottom/>
      <diagonal/>
    </border>
    <border>
      <left/>
      <right/>
      <top style="thin">
        <color indexed="64"/>
      </top>
      <bottom/>
      <diagonal/>
    </border>
    <border>
      <left style="thin">
        <color theme="4"/>
      </left>
      <right/>
      <top style="thin">
        <color indexed="64"/>
      </top>
      <bottom/>
      <diagonal/>
    </border>
    <border>
      <left/>
      <right style="thin">
        <color rgb="FFFFC000"/>
      </right>
      <top/>
      <bottom/>
      <diagonal/>
    </border>
    <border>
      <left style="thin">
        <color rgb="FFFFC000"/>
      </left>
      <right style="thin">
        <color rgb="FFFFC000"/>
      </right>
      <top style="thin">
        <color rgb="FFFFC000"/>
      </top>
      <bottom style="thin">
        <color rgb="FFFFC000"/>
      </bottom>
      <diagonal/>
    </border>
    <border>
      <left style="medium">
        <color rgb="FF0D776E"/>
      </left>
      <right/>
      <top style="dashed">
        <color rgb="FFB2B2B2"/>
      </top>
      <bottom style="dashed">
        <color rgb="FFB2B2B2"/>
      </bottom>
      <diagonal/>
    </border>
    <border>
      <left/>
      <right style="medium">
        <color rgb="FF0D776E"/>
      </right>
      <top style="dashed">
        <color rgb="FFB2B2B2"/>
      </top>
      <bottom style="dashed">
        <color rgb="FFB2B2B2"/>
      </bottom>
      <diagonal/>
    </border>
    <border>
      <left/>
      <right style="thin">
        <color theme="4"/>
      </right>
      <top/>
      <bottom/>
      <diagonal/>
    </border>
    <border>
      <left style="thin">
        <color theme="4"/>
      </left>
      <right/>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theme="4"/>
      </right>
      <top style="thin">
        <color indexed="64"/>
      </top>
      <bottom style="thin">
        <color indexed="64"/>
      </bottom>
      <diagonal/>
    </border>
    <border>
      <left style="thin">
        <color theme="4"/>
      </left>
      <right/>
      <top style="thin">
        <color indexed="64"/>
      </top>
      <bottom style="thin">
        <color indexed="64"/>
      </bottom>
      <diagonal/>
    </border>
    <border>
      <left/>
      <right/>
      <top/>
      <bottom style="thin">
        <color rgb="FFFFC000"/>
      </bottom>
      <diagonal/>
    </border>
    <border>
      <left style="medium">
        <color rgb="FF0D776E"/>
      </left>
      <right/>
      <top/>
      <bottom style="double">
        <color auto="1"/>
      </bottom>
      <diagonal/>
    </border>
    <border>
      <left/>
      <right/>
      <top/>
      <bottom style="double">
        <color auto="1"/>
      </bottom>
      <diagonal/>
    </border>
    <border>
      <left style="thin">
        <color rgb="FFFFC000"/>
      </left>
      <right style="thin">
        <color rgb="FFFFC000"/>
      </right>
      <top style="thin">
        <color rgb="FFFFC000"/>
      </top>
      <bottom style="double">
        <color auto="1"/>
      </bottom>
      <diagonal/>
    </border>
    <border>
      <left/>
      <right/>
      <top style="double">
        <color auto="1"/>
      </top>
      <bottom/>
      <diagonal/>
    </border>
    <border>
      <left style="thin">
        <color rgb="FFC0C0C0"/>
      </left>
      <right style="medium">
        <color rgb="FF0D776E"/>
      </right>
      <top style="double">
        <color auto="1"/>
      </top>
      <bottom/>
      <diagonal/>
    </border>
    <border>
      <left style="thin">
        <color theme="4"/>
      </left>
      <right/>
      <top style="thin">
        <color indexed="64"/>
      </top>
      <bottom style="double">
        <color indexed="64"/>
      </bottom>
      <diagonal/>
    </border>
    <border>
      <left/>
      <right/>
      <top style="thin">
        <color indexed="64"/>
      </top>
      <bottom style="double">
        <color indexed="64"/>
      </bottom>
      <diagonal/>
    </border>
    <border>
      <left style="thin">
        <color rgb="FFC0C0C0"/>
      </left>
      <right style="medium">
        <color rgb="FF0D776E"/>
      </right>
      <top/>
      <bottom style="double">
        <color auto="1"/>
      </bottom>
      <diagonal/>
    </border>
    <border>
      <left style="medium">
        <color rgb="FF0D776E"/>
      </left>
      <right/>
      <top style="double">
        <color auto="1"/>
      </top>
      <bottom/>
      <diagonal/>
    </border>
    <border>
      <left/>
      <right style="thin">
        <color theme="4"/>
      </right>
      <top style="thin">
        <color auto="1"/>
      </top>
      <bottom/>
      <diagonal/>
    </border>
    <border>
      <left style="thin">
        <color theme="4"/>
      </left>
      <right style="thin">
        <color theme="4"/>
      </right>
      <top/>
      <bottom/>
      <diagonal/>
    </border>
    <border>
      <left/>
      <right/>
      <top style="double">
        <color auto="1"/>
      </top>
      <bottom style="thin">
        <color rgb="FFFFC000"/>
      </bottom>
      <diagonal/>
    </border>
    <border>
      <left style="thin">
        <color rgb="FFFFC000"/>
      </left>
      <right/>
      <top style="thin">
        <color rgb="FFFFC000"/>
      </top>
      <bottom style="thin">
        <color rgb="FFFFC000"/>
      </bottom>
      <diagonal/>
    </border>
    <border>
      <left/>
      <right/>
      <top style="thin">
        <color rgb="FFFFC000"/>
      </top>
      <bottom style="thin">
        <color rgb="FFFFC000"/>
      </bottom>
      <diagonal/>
    </border>
    <border>
      <left/>
      <right style="thin">
        <color rgb="FFFFC000"/>
      </right>
      <top style="thin">
        <color rgb="FFFFC000"/>
      </top>
      <bottom style="thin">
        <color rgb="FFFFC000"/>
      </bottom>
      <diagonal/>
    </border>
    <border>
      <left/>
      <right/>
      <top style="thin">
        <color rgb="FFFFC000"/>
      </top>
      <bottom style="thin">
        <color indexed="64"/>
      </bottom>
      <diagonal/>
    </border>
    <border>
      <left/>
      <right/>
      <top style="thin">
        <color indexed="64"/>
      </top>
      <bottom style="thin">
        <color rgb="FFFFC000"/>
      </bottom>
      <diagonal/>
    </border>
    <border>
      <left style="thin">
        <color rgb="FFFFC000"/>
      </left>
      <right/>
      <top style="thin">
        <color rgb="FFFFC000"/>
      </top>
      <bottom style="thin">
        <color indexed="64"/>
      </bottom>
      <diagonal/>
    </border>
    <border>
      <left/>
      <right style="thin">
        <color rgb="FFFFC000"/>
      </right>
      <top style="thin">
        <color rgb="FFFFC000"/>
      </top>
      <bottom style="thin">
        <color indexed="64"/>
      </bottom>
      <diagonal/>
    </border>
    <border>
      <left/>
      <right style="thin">
        <color theme="4"/>
      </right>
      <top/>
      <bottom style="thin">
        <color indexed="64"/>
      </bottom>
      <diagonal/>
    </border>
    <border>
      <left style="thin">
        <color theme="4"/>
      </left>
      <right style="thin">
        <color theme="4"/>
      </right>
      <top/>
      <bottom style="thin">
        <color theme="4"/>
      </bottom>
      <diagonal/>
    </border>
    <border>
      <left style="thin">
        <color theme="4"/>
      </left>
      <right style="thin">
        <color theme="4"/>
      </right>
      <top style="double">
        <color auto="1"/>
      </top>
      <bottom/>
      <diagonal/>
    </border>
    <border>
      <left style="thin">
        <color theme="4"/>
      </left>
      <right/>
      <top style="double">
        <color auto="1"/>
      </top>
      <bottom/>
      <diagonal/>
    </border>
    <border>
      <left/>
      <right/>
      <top style="double">
        <color auto="1"/>
      </top>
      <bottom style="dashed">
        <color rgb="FFB2B2B2"/>
      </bottom>
      <diagonal/>
    </border>
    <border>
      <left style="thin">
        <color rgb="FFFFC000"/>
      </left>
      <right/>
      <top style="thin">
        <color rgb="FFFFC000"/>
      </top>
      <bottom/>
      <diagonal/>
    </border>
    <border>
      <left/>
      <right/>
      <top style="thin">
        <color rgb="FFFFC000"/>
      </top>
      <bottom/>
      <diagonal/>
    </border>
    <border>
      <left/>
      <right style="thin">
        <color rgb="FFFFC000"/>
      </right>
      <top style="thin">
        <color rgb="FFFFC000"/>
      </top>
      <bottom/>
      <diagonal/>
    </border>
    <border>
      <left/>
      <right/>
      <top/>
      <bottom style="thin">
        <color theme="1"/>
      </bottom>
      <diagonal/>
    </border>
    <border>
      <left/>
      <right/>
      <top style="thin">
        <color theme="1"/>
      </top>
      <bottom style="thin">
        <color theme="1"/>
      </bottom>
      <diagonal/>
    </border>
    <border>
      <left style="thin">
        <color rgb="FFFFC000"/>
      </left>
      <right style="thin">
        <color rgb="FFFFC000"/>
      </right>
      <top style="thin">
        <color rgb="FFFFC000"/>
      </top>
      <bottom/>
      <diagonal/>
    </border>
    <border>
      <left/>
      <right/>
      <top style="medium">
        <color rgb="FF0D776E"/>
      </top>
      <bottom/>
      <diagonal/>
    </border>
    <border>
      <left style="medium">
        <color rgb="FF0D776E"/>
      </left>
      <right style="medium">
        <color rgb="FF0D776E"/>
      </right>
      <top style="medium">
        <color rgb="FF0D776E"/>
      </top>
      <bottom style="medium">
        <color rgb="FF0D776E"/>
      </bottom>
      <diagonal/>
    </border>
    <border>
      <left style="medium">
        <color rgb="FF0D776E"/>
      </left>
      <right/>
      <top style="medium">
        <color rgb="FF0D776E"/>
      </top>
      <bottom style="medium">
        <color rgb="FF0D776E"/>
      </bottom>
      <diagonal/>
    </border>
    <border>
      <left/>
      <right/>
      <top style="medium">
        <color rgb="FF0D776E"/>
      </top>
      <bottom style="medium">
        <color rgb="FF0D776E"/>
      </bottom>
      <diagonal/>
    </border>
    <border>
      <left/>
      <right style="medium">
        <color rgb="FF0D776E"/>
      </right>
      <top style="medium">
        <color rgb="FF0D776E"/>
      </top>
      <bottom style="medium">
        <color rgb="FF0D776E"/>
      </bottom>
      <diagonal/>
    </border>
    <border>
      <left style="thin">
        <color theme="4"/>
      </left>
      <right/>
      <top/>
      <bottom style="double">
        <color indexed="64"/>
      </bottom>
      <diagonal/>
    </border>
    <border>
      <left/>
      <right/>
      <top style="thin">
        <color theme="1"/>
      </top>
      <bottom/>
      <diagonal/>
    </border>
    <border>
      <left style="medium">
        <color rgb="FF0D776E"/>
      </left>
      <right/>
      <top style="double">
        <color theme="1"/>
      </top>
      <bottom/>
      <diagonal/>
    </border>
    <border>
      <left/>
      <right/>
      <top style="double">
        <color theme="1"/>
      </top>
      <bottom/>
      <diagonal/>
    </border>
    <border>
      <left style="thin">
        <color rgb="FFC0C0C0"/>
      </left>
      <right style="medium">
        <color rgb="FF0D776E"/>
      </right>
      <top style="double">
        <color theme="1"/>
      </top>
      <bottom/>
      <diagonal/>
    </border>
    <border>
      <left style="thin">
        <color rgb="FFFFC000"/>
      </left>
      <right style="thin">
        <color rgb="FFFFC000"/>
      </right>
      <top style="thin">
        <color rgb="FFFFC000"/>
      </top>
      <bottom style="thin">
        <color auto="1"/>
      </bottom>
      <diagonal/>
    </border>
    <border>
      <left style="thin">
        <color theme="4"/>
      </left>
      <right/>
      <top/>
      <bottom style="thin">
        <color theme="1"/>
      </bottom>
      <diagonal/>
    </border>
    <border>
      <left style="thin">
        <color theme="4"/>
      </left>
      <right/>
      <top style="thin">
        <color theme="1"/>
      </top>
      <bottom style="thin">
        <color theme="1"/>
      </bottom>
      <diagonal/>
    </border>
    <border>
      <left style="thin">
        <color rgb="FF0070C0"/>
      </left>
      <right style="thin">
        <color rgb="FF0070C0"/>
      </right>
      <top style="thin">
        <color rgb="FF0070C0"/>
      </top>
      <bottom style="thin">
        <color rgb="FF0070C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rgb="FF0D776E"/>
      </left>
      <right/>
      <top/>
      <bottom style="double">
        <color theme="1"/>
      </bottom>
      <diagonal/>
    </border>
    <border>
      <left/>
      <right/>
      <top style="thin">
        <color indexed="64"/>
      </top>
      <bottom style="double">
        <color theme="1"/>
      </bottom>
      <diagonal/>
    </border>
    <border>
      <left style="thin">
        <color theme="4"/>
      </left>
      <right style="thin">
        <color theme="4"/>
      </right>
      <top style="thin">
        <color theme="4"/>
      </top>
      <bottom style="double">
        <color theme="1"/>
      </bottom>
      <diagonal/>
    </border>
    <border>
      <left/>
      <right/>
      <top/>
      <bottom style="double">
        <color theme="1"/>
      </bottom>
      <diagonal/>
    </border>
    <border>
      <left/>
      <right style="medium">
        <color rgb="FF0D776E"/>
      </right>
      <top style="double">
        <color theme="1"/>
      </top>
      <bottom/>
      <diagonal/>
    </border>
    <border>
      <left/>
      <right style="thin">
        <color rgb="FFC0C0C0"/>
      </right>
      <top style="thin">
        <color indexed="64"/>
      </top>
      <bottom/>
      <diagonal/>
    </border>
    <border>
      <left/>
      <right style="thin">
        <color rgb="FFC0C0C0"/>
      </right>
      <top/>
      <bottom/>
      <diagonal/>
    </border>
    <border>
      <left/>
      <right style="thin">
        <color rgb="FFC0C0C0"/>
      </right>
      <top/>
      <bottom style="thin">
        <color indexed="64"/>
      </bottom>
      <diagonal/>
    </border>
    <border>
      <left/>
      <right style="thin">
        <color rgb="FFC0C0C0"/>
      </right>
      <top style="thin">
        <color theme="1"/>
      </top>
      <bottom/>
      <diagonal/>
    </border>
    <border>
      <left/>
      <right style="thin">
        <color theme="4"/>
      </right>
      <top style="thin">
        <color auto="1"/>
      </top>
      <bottom style="double">
        <color auto="1"/>
      </bottom>
      <diagonal/>
    </border>
    <border>
      <left style="thin">
        <color theme="4"/>
      </left>
      <right style="thin">
        <color theme="4"/>
      </right>
      <top/>
      <bottom style="double">
        <color auto="1"/>
      </bottom>
      <diagonal/>
    </border>
    <border>
      <left/>
      <right style="thin">
        <color theme="4"/>
      </right>
      <top/>
      <bottom style="thin">
        <color theme="1"/>
      </bottom>
      <diagonal/>
    </border>
    <border>
      <left/>
      <right style="thin">
        <color theme="4"/>
      </right>
      <top style="thin">
        <color theme="1"/>
      </top>
      <bottom style="thin">
        <color theme="1"/>
      </bottom>
      <diagonal/>
    </border>
    <border>
      <left/>
      <right style="thin">
        <color rgb="FFC0C0C0"/>
      </right>
      <top/>
      <bottom style="double">
        <color auto="1"/>
      </bottom>
      <diagonal/>
    </border>
    <border>
      <left style="medium">
        <color theme="1"/>
      </left>
      <right style="thin">
        <color theme="1"/>
      </right>
      <top style="medium">
        <color theme="1"/>
      </top>
      <bottom style="thin">
        <color theme="1"/>
      </bottom>
      <diagonal/>
    </border>
    <border>
      <left style="thin">
        <color theme="1"/>
      </left>
      <right style="thin">
        <color theme="1"/>
      </right>
      <top style="medium">
        <color theme="1"/>
      </top>
      <bottom style="thin">
        <color theme="1"/>
      </bottom>
      <diagonal/>
    </border>
    <border>
      <left style="thin">
        <color theme="1"/>
      </left>
      <right style="medium">
        <color theme="1"/>
      </right>
      <top style="medium">
        <color theme="1"/>
      </top>
      <bottom style="thin">
        <color theme="1"/>
      </bottom>
      <diagonal/>
    </border>
    <border>
      <left style="medium">
        <color theme="1"/>
      </left>
      <right style="thin">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style="thin">
        <color theme="4"/>
      </left>
      <right style="thin">
        <color theme="4"/>
      </right>
      <top style="double">
        <color theme="1"/>
      </top>
      <bottom/>
      <diagonal/>
    </border>
    <border>
      <left style="medium">
        <color rgb="FF0D776E"/>
      </left>
      <right/>
      <top/>
      <bottom style="medium">
        <color rgb="FF0D776E"/>
      </bottom>
      <diagonal/>
    </border>
    <border>
      <left/>
      <right/>
      <top style="double">
        <color theme="1"/>
      </top>
      <bottom style="medium">
        <color rgb="FF0D776E"/>
      </bottom>
      <diagonal/>
    </border>
    <border>
      <left/>
      <right style="medium">
        <color rgb="FF0D776E"/>
      </right>
      <top/>
      <bottom style="medium">
        <color rgb="FF0D776E"/>
      </bottom>
      <diagonal/>
    </border>
    <border>
      <left/>
      <right style="medium">
        <color rgb="FF0D776E"/>
      </right>
      <top style="double">
        <color theme="1"/>
      </top>
      <bottom style="medium">
        <color rgb="FF0D776E"/>
      </bottom>
      <diagonal/>
    </border>
    <border>
      <left/>
      <right/>
      <top style="double">
        <color theme="1"/>
      </top>
      <bottom style="double">
        <color theme="1"/>
      </bottom>
      <diagonal/>
    </border>
    <border>
      <left/>
      <right style="medium">
        <color rgb="FF0D776E"/>
      </right>
      <top style="double">
        <color theme="1"/>
      </top>
      <bottom style="double">
        <color theme="1"/>
      </bottom>
      <diagonal/>
    </border>
    <border>
      <left style="medium">
        <color theme="1"/>
      </left>
      <right style="thin">
        <color theme="1"/>
      </right>
      <top style="thin">
        <color theme="1"/>
      </top>
      <bottom/>
      <diagonal/>
    </border>
    <border>
      <left style="thin">
        <color theme="1"/>
      </left>
      <right style="thin">
        <color theme="1"/>
      </right>
      <top style="thin">
        <color theme="1"/>
      </top>
      <bottom/>
      <diagonal/>
    </border>
    <border>
      <left style="thin">
        <color theme="1"/>
      </left>
      <right style="medium">
        <color theme="1"/>
      </right>
      <top style="thin">
        <color theme="1"/>
      </top>
      <bottom/>
      <diagonal/>
    </border>
    <border>
      <left style="thin">
        <color theme="4"/>
      </left>
      <right style="thin">
        <color theme="4"/>
      </right>
      <top style="double">
        <color theme="1"/>
      </top>
      <bottom style="medium">
        <color rgb="FF0D776E"/>
      </bottom>
      <diagonal/>
    </border>
    <border>
      <left style="thin">
        <color theme="4"/>
      </left>
      <right style="thin">
        <color theme="4"/>
      </right>
      <top style="double">
        <color theme="1"/>
      </top>
      <bottom style="double">
        <color theme="1"/>
      </bottom>
      <diagonal/>
    </border>
    <border>
      <left style="thin">
        <color theme="4"/>
      </left>
      <right/>
      <top style="double">
        <color theme="1"/>
      </top>
      <bottom/>
      <diagonal/>
    </border>
    <border>
      <left style="thin">
        <color theme="4"/>
      </left>
      <right/>
      <top/>
      <bottom style="double">
        <color theme="1"/>
      </bottom>
      <diagonal/>
    </border>
    <border>
      <left/>
      <right style="thin">
        <color rgb="FFC0C0C0"/>
      </right>
      <top style="double">
        <color auto="1"/>
      </top>
      <bottom/>
      <diagonal/>
    </border>
    <border>
      <left/>
      <right style="medium">
        <color rgb="FF0D776E"/>
      </right>
      <top style="double">
        <color auto="1"/>
      </top>
      <bottom/>
      <diagonal/>
    </border>
    <border>
      <left style="thin">
        <color theme="4"/>
      </left>
      <right/>
      <top style="double">
        <color theme="1"/>
      </top>
      <bottom style="double">
        <color theme="1"/>
      </bottom>
      <diagonal/>
    </border>
    <border>
      <left style="thin">
        <color rgb="FF92D050"/>
      </left>
      <right style="thin">
        <color rgb="FF92D050"/>
      </right>
      <top style="thin">
        <color rgb="FF92D050"/>
      </top>
      <bottom style="thin">
        <color rgb="FF92D050"/>
      </bottom>
      <diagonal/>
    </border>
    <border>
      <left style="medium">
        <color rgb="FF0D776E"/>
      </left>
      <right/>
      <top style="medium">
        <color rgb="FF0D776E"/>
      </top>
      <bottom/>
      <diagonal/>
    </border>
    <border>
      <left/>
      <right style="medium">
        <color rgb="FF0D776E"/>
      </right>
      <top style="medium">
        <color rgb="FF0D776E"/>
      </top>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
      <left/>
      <right/>
      <top/>
      <bottom style="medium">
        <color rgb="FF006666"/>
      </bottom>
      <diagonal/>
    </border>
    <border>
      <left/>
      <right style="thin">
        <color rgb="FF0070C0"/>
      </right>
      <top/>
      <bottom/>
      <diagonal/>
    </border>
    <border>
      <left style="thin">
        <color rgb="FF0070C0"/>
      </left>
      <right/>
      <top/>
      <bottom/>
      <diagonal/>
    </border>
    <border>
      <left style="thin">
        <color rgb="FF92D050"/>
      </left>
      <right/>
      <top/>
      <bottom/>
      <diagonal/>
    </border>
    <border>
      <left style="thin">
        <color rgb="FFFFC000"/>
      </left>
      <right/>
      <top/>
      <bottom/>
      <diagonal/>
    </border>
    <border>
      <left/>
      <right style="medium">
        <color rgb="FF006666"/>
      </right>
      <top/>
      <bottom style="medium">
        <color rgb="FF006666"/>
      </bottom>
      <diagonal/>
    </border>
    <border>
      <left style="thin">
        <color rgb="FF0070C0"/>
      </left>
      <right/>
      <top style="thin">
        <color rgb="FF0070C0"/>
      </top>
      <bottom style="thin">
        <color rgb="FF0070C0"/>
      </bottom>
      <diagonal/>
    </border>
    <border>
      <left/>
      <right/>
      <top style="thin">
        <color rgb="FF0070C0"/>
      </top>
      <bottom style="thin">
        <color rgb="FF0070C0"/>
      </bottom>
      <diagonal/>
    </border>
    <border>
      <left/>
      <right style="thin">
        <color rgb="FF0070C0"/>
      </right>
      <top style="thin">
        <color rgb="FF0070C0"/>
      </top>
      <bottom style="thin">
        <color rgb="FF0070C0"/>
      </bottom>
      <diagonal/>
    </border>
    <border>
      <left style="medium">
        <color rgb="FF0D776E"/>
      </left>
      <right style="medium">
        <color theme="0"/>
      </right>
      <top style="medium">
        <color rgb="FF0D776E"/>
      </top>
      <bottom style="medium">
        <color theme="0"/>
      </bottom>
      <diagonal/>
    </border>
    <border>
      <left/>
      <right style="medium">
        <color theme="0"/>
      </right>
      <top style="medium">
        <color rgb="FF0D776E"/>
      </top>
      <bottom style="medium">
        <color theme="0"/>
      </bottom>
      <diagonal/>
    </border>
    <border>
      <left/>
      <right style="medium">
        <color rgb="FF0D776E"/>
      </right>
      <top style="medium">
        <color rgb="FF0D776E"/>
      </top>
      <bottom style="medium">
        <color theme="0"/>
      </bottom>
      <diagonal/>
    </border>
    <border>
      <left style="thin">
        <color rgb="FFB2B2B2"/>
      </left>
      <right style="medium">
        <color rgb="FF0D776E"/>
      </right>
      <top/>
      <bottom/>
      <diagonal/>
    </border>
    <border>
      <left/>
      <right/>
      <top style="dashed">
        <color rgb="FFB2B2B2"/>
      </top>
      <bottom/>
      <diagonal/>
    </border>
    <border>
      <left/>
      <right style="medium">
        <color rgb="FF0D776E"/>
      </right>
      <top/>
      <bottom style="thin">
        <color indexed="64"/>
      </bottom>
      <diagonal/>
    </border>
    <border>
      <left/>
      <right style="medium">
        <color rgb="FF0D776E"/>
      </right>
      <top style="thin">
        <color indexed="64"/>
      </top>
      <bottom style="thin">
        <color indexed="64"/>
      </bottom>
      <diagonal/>
    </border>
    <border>
      <left style="medium">
        <color rgb="FF0D776E"/>
      </left>
      <right/>
      <top style="double">
        <color auto="1"/>
      </top>
      <bottom style="double">
        <color indexed="64"/>
      </bottom>
      <diagonal/>
    </border>
    <border>
      <left/>
      <right/>
      <top style="double">
        <color auto="1"/>
      </top>
      <bottom style="double">
        <color indexed="64"/>
      </bottom>
      <diagonal/>
    </border>
    <border>
      <left style="thin">
        <color theme="4"/>
      </left>
      <right/>
      <top style="double">
        <color auto="1"/>
      </top>
      <bottom style="double">
        <color indexed="64"/>
      </bottom>
      <diagonal/>
    </border>
    <border>
      <left style="thin">
        <color rgb="FFC0C0C0"/>
      </left>
      <right style="medium">
        <color rgb="FF0D776E"/>
      </right>
      <top style="double">
        <color auto="1"/>
      </top>
      <bottom style="double">
        <color indexed="64"/>
      </bottom>
      <diagonal/>
    </border>
    <border>
      <left style="thin">
        <color rgb="FFC0C0C0"/>
      </left>
      <right style="medium">
        <color rgb="FF0D776E"/>
      </right>
      <top/>
      <bottom style="thin">
        <color indexed="64"/>
      </bottom>
      <diagonal/>
    </border>
    <border>
      <left/>
      <right/>
      <top/>
      <bottom style="dashed">
        <color rgb="FFB2B2B2"/>
      </bottom>
      <diagonal/>
    </border>
    <border>
      <left style="thin">
        <color rgb="FFC0C0C0"/>
      </left>
      <right style="medium">
        <color rgb="FF0D776E"/>
      </right>
      <top/>
      <bottom style="dashed">
        <color rgb="FFB2B2B2"/>
      </bottom>
      <diagonal/>
    </border>
    <border>
      <left style="thin">
        <color theme="4"/>
      </left>
      <right/>
      <top/>
      <bottom style="dashed">
        <color rgb="FFB2B2B2"/>
      </bottom>
      <diagonal/>
    </border>
    <border>
      <left style="thin">
        <color rgb="FF0D776E"/>
      </left>
      <right/>
      <top style="thin">
        <color rgb="FF0D776E"/>
      </top>
      <bottom/>
      <diagonal/>
    </border>
    <border>
      <left/>
      <right/>
      <top style="thin">
        <color rgb="FF0D776E"/>
      </top>
      <bottom/>
      <diagonal/>
    </border>
    <border>
      <left/>
      <right style="thin">
        <color rgb="FF0D776E"/>
      </right>
      <top style="thin">
        <color rgb="FF0D776E"/>
      </top>
      <bottom/>
      <diagonal/>
    </border>
    <border>
      <left style="thin">
        <color rgb="FF0D776E"/>
      </left>
      <right/>
      <top/>
      <bottom/>
      <diagonal/>
    </border>
    <border>
      <left style="thin">
        <color rgb="FF0D776E"/>
      </left>
      <right style="thin">
        <color auto="1"/>
      </right>
      <top style="thin">
        <color auto="1"/>
      </top>
      <bottom style="thin">
        <color auto="1"/>
      </bottom>
      <diagonal/>
    </border>
    <border>
      <left style="thin">
        <color auto="1"/>
      </left>
      <right style="thin">
        <color rgb="FF0D776E"/>
      </right>
      <top style="thin">
        <color auto="1"/>
      </top>
      <bottom style="thin">
        <color auto="1"/>
      </bottom>
      <diagonal/>
    </border>
    <border>
      <left style="thin">
        <color rgb="FF0D776E"/>
      </left>
      <right/>
      <top/>
      <bottom style="thin">
        <color rgb="FF0D776E"/>
      </bottom>
      <diagonal/>
    </border>
    <border>
      <left/>
      <right/>
      <top/>
      <bottom style="thin">
        <color rgb="FF0D776E"/>
      </bottom>
      <diagonal/>
    </border>
    <border>
      <left/>
      <right style="thin">
        <color rgb="FF0D776E"/>
      </right>
      <top/>
      <bottom style="thin">
        <color rgb="FF0D776E"/>
      </bottom>
      <diagonal/>
    </border>
    <border>
      <left style="medium">
        <color rgb="FF0D776E"/>
      </left>
      <right/>
      <top/>
      <bottom style="thin">
        <color indexed="64"/>
      </bottom>
      <diagonal/>
    </border>
    <border>
      <left style="medium">
        <color rgb="FF0D776E"/>
      </left>
      <right/>
      <top style="thin">
        <color indexed="64"/>
      </top>
      <bottom/>
      <diagonal/>
    </border>
    <border>
      <left/>
      <right/>
      <top/>
      <bottom style="thin">
        <color theme="4"/>
      </bottom>
      <diagonal/>
    </border>
    <border>
      <left style="thin">
        <color theme="4"/>
      </left>
      <right style="thin">
        <color theme="4"/>
      </right>
      <top style="thin">
        <color theme="4"/>
      </top>
      <bottom style="double">
        <color indexed="64"/>
      </bottom>
      <diagonal/>
    </border>
    <border>
      <left style="thin">
        <color rgb="FFC0C0C0"/>
      </left>
      <right style="medium">
        <color rgb="FF0D776E"/>
      </right>
      <top style="thin">
        <color indexed="64"/>
      </top>
      <bottom/>
      <diagonal/>
    </border>
    <border>
      <left/>
      <right/>
      <top style="double">
        <color indexed="64"/>
      </top>
      <bottom style="thin">
        <color indexed="64"/>
      </bottom>
      <diagonal/>
    </border>
    <border>
      <left style="thin">
        <color rgb="FF0D776E"/>
      </left>
      <right style="thin">
        <color auto="1"/>
      </right>
      <top style="thin">
        <color rgb="FF0D776E"/>
      </top>
      <bottom style="thin">
        <color auto="1"/>
      </bottom>
      <diagonal/>
    </border>
    <border>
      <left style="thin">
        <color auto="1"/>
      </left>
      <right style="thin">
        <color auto="1"/>
      </right>
      <top style="thin">
        <color rgb="FF0D776E"/>
      </top>
      <bottom style="thin">
        <color auto="1"/>
      </bottom>
      <diagonal/>
    </border>
    <border>
      <left style="thin">
        <color auto="1"/>
      </left>
      <right style="thin">
        <color rgb="FF0D776E"/>
      </right>
      <top style="thin">
        <color rgb="FF0D776E"/>
      </top>
      <bottom style="thin">
        <color auto="1"/>
      </bottom>
      <diagonal/>
    </border>
    <border>
      <left style="thin">
        <color rgb="FF0D776E"/>
      </left>
      <right style="thin">
        <color auto="1"/>
      </right>
      <top style="thin">
        <color auto="1"/>
      </top>
      <bottom style="thin">
        <color rgb="FF0D776E"/>
      </bottom>
      <diagonal/>
    </border>
    <border>
      <left style="thin">
        <color auto="1"/>
      </left>
      <right style="thin">
        <color auto="1"/>
      </right>
      <top style="thin">
        <color auto="1"/>
      </top>
      <bottom style="thin">
        <color rgb="FF0D776E"/>
      </bottom>
      <diagonal/>
    </border>
    <border>
      <left style="thin">
        <color auto="1"/>
      </left>
      <right style="thin">
        <color rgb="FF0D776E"/>
      </right>
      <top style="thin">
        <color auto="1"/>
      </top>
      <bottom style="thin">
        <color rgb="FF0D776E"/>
      </bottom>
      <diagonal/>
    </border>
    <border>
      <left style="thin">
        <color rgb="FFFFC000"/>
      </left>
      <right/>
      <top/>
      <bottom style="dashed">
        <color rgb="FFB2B2B2"/>
      </bottom>
      <diagonal/>
    </border>
    <border>
      <left style="thin">
        <color theme="4"/>
      </left>
      <right style="thin">
        <color theme="4"/>
      </right>
      <top style="thin">
        <color theme="4"/>
      </top>
      <bottom style="thin">
        <color indexed="64"/>
      </bottom>
      <diagonal/>
    </border>
    <border>
      <left/>
      <right/>
      <top/>
      <bottom style="dashed">
        <color rgb="FF969696"/>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rgb="FF0D776E"/>
      </left>
      <right/>
      <top style="dotted">
        <color theme="1" tint="0.499984740745262"/>
      </top>
      <bottom style="dotted">
        <color theme="1" tint="0.499984740745262"/>
      </bottom>
      <diagonal/>
    </border>
    <border>
      <left/>
      <right/>
      <top style="dotted">
        <color theme="1" tint="0.499984740745262"/>
      </top>
      <bottom style="dotted">
        <color theme="1" tint="0.499984740745262"/>
      </bottom>
      <diagonal/>
    </border>
    <border>
      <left style="thin">
        <color theme="4"/>
      </left>
      <right style="thin">
        <color theme="4"/>
      </right>
      <top/>
      <bottom style="thin">
        <color rgb="FF0070C0"/>
      </bottom>
      <diagonal/>
    </border>
    <border>
      <left style="thin">
        <color rgb="FFFFC000"/>
      </left>
      <right/>
      <top style="thin">
        <color rgb="FFFFC000"/>
      </top>
      <bottom style="double">
        <color auto="1"/>
      </bottom>
      <diagonal/>
    </border>
    <border>
      <left/>
      <right/>
      <top style="thin">
        <color rgb="FFFFC000"/>
      </top>
      <bottom style="double">
        <color auto="1"/>
      </bottom>
      <diagonal/>
    </border>
    <border>
      <left/>
      <right style="thin">
        <color rgb="FFFFC000"/>
      </right>
      <top style="thin">
        <color rgb="FFFFC000"/>
      </top>
      <bottom style="double">
        <color auto="1"/>
      </bottom>
      <diagonal/>
    </border>
    <border>
      <left style="thin">
        <color rgb="FF0070C0"/>
      </left>
      <right style="thin">
        <color rgb="FF0070C0"/>
      </right>
      <top style="thin">
        <color rgb="FF0070C0"/>
      </top>
      <bottom/>
      <diagonal/>
    </border>
    <border>
      <left style="medium">
        <color rgb="FF0D776E"/>
      </left>
      <right/>
      <top/>
      <bottom style="dashed">
        <color rgb="FFB2B2B2"/>
      </bottom>
      <diagonal/>
    </border>
    <border>
      <left style="medium">
        <color rgb="FF336600"/>
      </left>
      <right style="medium">
        <color rgb="FF336600"/>
      </right>
      <top/>
      <bottom/>
      <diagonal/>
    </border>
    <border>
      <left style="thin">
        <color theme="4"/>
      </left>
      <right style="thin">
        <color theme="4"/>
      </right>
      <top style="thin">
        <color auto="1"/>
      </top>
      <bottom/>
      <diagonal/>
    </border>
    <border>
      <left style="thin">
        <color rgb="FFFFC000"/>
      </left>
      <right style="thin">
        <color rgb="FFFFC000"/>
      </right>
      <top/>
      <bottom style="thin">
        <color indexed="64"/>
      </bottom>
      <diagonal/>
    </border>
    <border>
      <left style="thin">
        <color theme="4"/>
      </left>
      <right style="thin">
        <color theme="4"/>
      </right>
      <top style="thin">
        <color auto="1"/>
      </top>
      <bottom style="thin">
        <color theme="4"/>
      </bottom>
      <diagonal/>
    </border>
    <border>
      <left style="thin">
        <color rgb="FFFFC000"/>
      </left>
      <right/>
      <top/>
      <bottom style="thin">
        <color auto="1"/>
      </bottom>
      <diagonal/>
    </border>
    <border>
      <left/>
      <right style="thin">
        <color rgb="FFFFC000"/>
      </right>
      <top/>
      <bottom style="thin">
        <color auto="1"/>
      </bottom>
      <diagonal/>
    </border>
    <border>
      <left style="thin">
        <color rgb="FFFF0000"/>
      </left>
      <right/>
      <top style="thin">
        <color rgb="FFFF0000"/>
      </top>
      <bottom style="thin">
        <color indexed="64"/>
      </bottom>
      <diagonal/>
    </border>
    <border>
      <left/>
      <right/>
      <top style="thin">
        <color rgb="FFFF0000"/>
      </top>
      <bottom style="thin">
        <color indexed="64"/>
      </bottom>
      <diagonal/>
    </border>
    <border>
      <left/>
      <right style="thin">
        <color rgb="FFFF0000"/>
      </right>
      <top style="thin">
        <color rgb="FFFF0000"/>
      </top>
      <bottom style="thin">
        <color indexed="64"/>
      </bottom>
      <diagonal/>
    </border>
    <border>
      <left style="medium">
        <color rgb="FF0D776E"/>
      </left>
      <right/>
      <top style="thin">
        <color indexed="64"/>
      </top>
      <bottom style="thin">
        <color indexed="64"/>
      </bottom>
      <diagonal/>
    </border>
    <border>
      <left style="thin">
        <color theme="4"/>
      </left>
      <right style="thin">
        <color theme="4"/>
      </right>
      <top style="thin">
        <color auto="1"/>
      </top>
      <bottom style="thin">
        <color indexed="64"/>
      </bottom>
      <diagonal/>
    </border>
    <border>
      <left style="thin">
        <color rgb="FF0070C0"/>
      </left>
      <right style="thin">
        <color rgb="FF0070C0"/>
      </right>
      <top/>
      <bottom style="thin">
        <color rgb="FF0070C0"/>
      </bottom>
      <diagonal/>
    </border>
    <border>
      <left/>
      <right style="thin">
        <color rgb="FFC0C0C0"/>
      </right>
      <top/>
      <bottom style="dashed">
        <color rgb="FFB2B2B2"/>
      </bottom>
      <diagonal/>
    </border>
    <border>
      <left style="thin">
        <color theme="4"/>
      </left>
      <right style="thin">
        <color theme="4"/>
      </right>
      <top style="thin">
        <color theme="4"/>
      </top>
      <bottom style="medium">
        <color rgb="FF0D776E"/>
      </bottom>
      <diagonal/>
    </border>
    <border>
      <left/>
      <right/>
      <top style="thin">
        <color indexed="64"/>
      </top>
      <bottom style="medium">
        <color rgb="FF0D776E"/>
      </bottom>
      <diagonal/>
    </border>
    <border>
      <left style="medium">
        <color rgb="FF0D776E"/>
      </left>
      <right/>
      <top style="medium">
        <color rgb="FF0D776E"/>
      </top>
      <bottom style="medium">
        <color theme="0"/>
      </bottom>
      <diagonal/>
    </border>
    <border>
      <left/>
      <right/>
      <top style="medium">
        <color rgb="FF0D776E"/>
      </top>
      <bottom style="medium">
        <color theme="0"/>
      </bottom>
      <diagonal/>
    </border>
    <border>
      <left style="medium">
        <color theme="0"/>
      </left>
      <right/>
      <top style="medium">
        <color rgb="FF0D776E"/>
      </top>
      <bottom style="medium">
        <color theme="0"/>
      </bottom>
      <diagonal/>
    </border>
    <border>
      <left/>
      <right style="medium">
        <color rgb="FF0D776E"/>
      </right>
      <top/>
      <bottom style="double">
        <color auto="1"/>
      </bottom>
      <diagonal/>
    </border>
    <border>
      <left style="thin">
        <color rgb="FF0070C0"/>
      </left>
      <right style="thin">
        <color rgb="FF0070C0"/>
      </right>
      <top style="thin">
        <color rgb="FF0070C0"/>
      </top>
      <bottom style="thin">
        <color auto="1"/>
      </bottom>
      <diagonal/>
    </border>
    <border>
      <left style="thin">
        <color rgb="FF663300"/>
      </left>
      <right style="thin">
        <color rgb="FF663300"/>
      </right>
      <top style="thin">
        <color rgb="FF663300"/>
      </top>
      <bottom style="thin">
        <color rgb="FF663300"/>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style="thin">
        <color rgb="FF0070C0"/>
      </left>
      <right style="thin">
        <color rgb="FF0070C0"/>
      </right>
      <top style="thin">
        <color auto="1"/>
      </top>
      <bottom style="thin">
        <color rgb="FF0070C0"/>
      </bottom>
      <diagonal/>
    </border>
    <border>
      <left/>
      <right style="medium">
        <color rgb="FF0D776E"/>
      </right>
      <top style="thin">
        <color indexed="64"/>
      </top>
      <bottom/>
      <diagonal/>
    </border>
    <border>
      <left style="medium">
        <color rgb="FF0D776E"/>
      </left>
      <right/>
      <top style="double">
        <color auto="1"/>
      </top>
      <bottom style="medium">
        <color rgb="FF0D776E"/>
      </bottom>
      <diagonal/>
    </border>
    <border>
      <left/>
      <right/>
      <top style="double">
        <color auto="1"/>
      </top>
      <bottom style="medium">
        <color rgb="FF0D776E"/>
      </bottom>
      <diagonal/>
    </border>
    <border>
      <left style="thin">
        <color theme="4"/>
      </left>
      <right style="thin">
        <color theme="4"/>
      </right>
      <top style="double">
        <color auto="1"/>
      </top>
      <bottom style="medium">
        <color rgb="FF0D776E"/>
      </bottom>
      <diagonal/>
    </border>
    <border>
      <left style="thin">
        <color theme="4"/>
      </left>
      <right/>
      <top style="double">
        <color auto="1"/>
      </top>
      <bottom style="medium">
        <color rgb="FF0D776E"/>
      </bottom>
      <diagonal/>
    </border>
    <border>
      <left style="thin">
        <color rgb="FFC0C0C0"/>
      </left>
      <right style="medium">
        <color rgb="FF0D776E"/>
      </right>
      <top style="double">
        <color auto="1"/>
      </top>
      <bottom style="medium">
        <color rgb="FF0D776E"/>
      </bottom>
      <diagonal/>
    </border>
    <border>
      <left/>
      <right style="thin">
        <color rgb="FF0070C0"/>
      </right>
      <top style="double">
        <color auto="1"/>
      </top>
      <bottom/>
      <diagonal/>
    </border>
    <border>
      <left style="thin">
        <color rgb="FF0070C0"/>
      </left>
      <right style="thin">
        <color rgb="FF0070C0"/>
      </right>
      <top style="double">
        <color auto="1"/>
      </top>
      <bottom/>
      <diagonal/>
    </border>
    <border>
      <left style="thin">
        <color rgb="FF0070C0"/>
      </left>
      <right style="thin">
        <color rgb="FF0070C0"/>
      </right>
      <top/>
      <bottom/>
      <diagonal/>
    </border>
    <border>
      <left style="thin">
        <color rgb="FFFFC000"/>
      </left>
      <right style="thin">
        <color rgb="FFFFC000"/>
      </right>
      <top/>
      <bottom style="thin">
        <color rgb="FFFFC000"/>
      </bottom>
      <diagonal/>
    </border>
    <border>
      <left/>
      <right/>
      <top style="medium">
        <color rgb="FF0D776E"/>
      </top>
      <bottom style="thin">
        <color auto="1"/>
      </bottom>
      <diagonal/>
    </border>
    <border>
      <left style="thick">
        <color auto="1"/>
      </left>
      <right style="medium">
        <color theme="0"/>
      </right>
      <top style="thick">
        <color auto="1"/>
      </top>
      <bottom/>
      <diagonal/>
    </border>
    <border>
      <left style="medium">
        <color theme="0"/>
      </left>
      <right style="medium">
        <color theme="0"/>
      </right>
      <top style="thick">
        <color auto="1"/>
      </top>
      <bottom/>
      <diagonal/>
    </border>
    <border>
      <left style="thick">
        <color auto="1"/>
      </left>
      <right/>
      <top style="medium">
        <color theme="0"/>
      </top>
      <bottom style="medium">
        <color theme="0"/>
      </bottom>
      <diagonal/>
    </border>
    <border>
      <left style="thick">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ck">
        <color auto="1"/>
      </left>
      <right style="thin">
        <color auto="1"/>
      </right>
      <top style="thin">
        <color auto="1"/>
      </top>
      <bottom style="thin">
        <color auto="1"/>
      </bottom>
      <diagonal/>
    </border>
    <border>
      <left style="thin">
        <color indexed="64"/>
      </left>
      <right style="thick">
        <color auto="1"/>
      </right>
      <top style="thin">
        <color indexed="64"/>
      </top>
      <bottom style="thin">
        <color indexed="64"/>
      </bottom>
      <diagonal/>
    </border>
    <border>
      <left style="thick">
        <color auto="1"/>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ck">
        <color auto="1"/>
      </right>
      <top style="thin">
        <color indexed="64"/>
      </top>
      <bottom/>
      <diagonal/>
    </border>
    <border>
      <left style="thick">
        <color auto="1"/>
      </left>
      <right style="thin">
        <color auto="1"/>
      </right>
      <top style="double">
        <color indexed="64"/>
      </top>
      <bottom style="thin">
        <color auto="1"/>
      </bottom>
      <diagonal/>
    </border>
    <border>
      <left style="thin">
        <color auto="1"/>
      </left>
      <right style="thin">
        <color auto="1"/>
      </right>
      <top style="double">
        <color indexed="64"/>
      </top>
      <bottom style="thin">
        <color auto="1"/>
      </bottom>
      <diagonal/>
    </border>
    <border>
      <left style="thin">
        <color auto="1"/>
      </left>
      <right/>
      <top style="double">
        <color indexed="64"/>
      </top>
      <bottom style="thin">
        <color auto="1"/>
      </bottom>
      <diagonal/>
    </border>
    <border>
      <left style="thin">
        <color auto="1"/>
      </left>
      <right style="thick">
        <color auto="1"/>
      </right>
      <top style="double">
        <color indexed="64"/>
      </top>
      <bottom style="thin">
        <color auto="1"/>
      </bottom>
      <diagonal/>
    </border>
    <border>
      <left style="thick">
        <color auto="1"/>
      </left>
      <right style="thin">
        <color indexed="64"/>
      </right>
      <top/>
      <bottom/>
      <diagonal/>
    </border>
    <border>
      <left style="thin">
        <color indexed="64"/>
      </left>
      <right style="thin">
        <color indexed="64"/>
      </right>
      <top/>
      <bottom/>
      <diagonal/>
    </border>
    <border>
      <left style="thin">
        <color indexed="64"/>
      </left>
      <right/>
      <top/>
      <bottom/>
      <diagonal/>
    </border>
    <border>
      <left style="thick">
        <color auto="1"/>
      </left>
      <right/>
      <top style="double">
        <color indexed="64"/>
      </top>
      <bottom style="thin">
        <color indexed="64"/>
      </bottom>
      <diagonal/>
    </border>
    <border>
      <left style="thick">
        <color auto="1"/>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thick">
        <color auto="1"/>
      </left>
      <right/>
      <top style="thin">
        <color indexed="64"/>
      </top>
      <bottom style="thin">
        <color indexed="64"/>
      </bottom>
      <diagonal/>
    </border>
    <border>
      <left style="thick">
        <color auto="1"/>
      </left>
      <right style="thin">
        <color auto="1"/>
      </right>
      <top style="double">
        <color indexed="64"/>
      </top>
      <bottom style="double">
        <color indexed="64"/>
      </bottom>
      <diagonal/>
    </border>
    <border>
      <left style="thin">
        <color auto="1"/>
      </left>
      <right style="thin">
        <color auto="1"/>
      </right>
      <top style="double">
        <color indexed="64"/>
      </top>
      <bottom style="double">
        <color indexed="64"/>
      </bottom>
      <diagonal/>
    </border>
    <border>
      <left style="thin">
        <color auto="1"/>
      </left>
      <right/>
      <top style="double">
        <color indexed="64"/>
      </top>
      <bottom style="double">
        <color indexed="64"/>
      </bottom>
      <diagonal/>
    </border>
    <border>
      <left style="thin">
        <color indexed="64"/>
      </left>
      <right/>
      <top style="double">
        <color indexed="64"/>
      </top>
      <bottom/>
      <diagonal/>
    </border>
    <border>
      <left style="thick">
        <color auto="1"/>
      </left>
      <right style="thin">
        <color auto="1"/>
      </right>
      <top/>
      <bottom style="double">
        <color indexed="64"/>
      </bottom>
      <diagonal/>
    </border>
    <border>
      <left style="thin">
        <color auto="1"/>
      </left>
      <right style="thin">
        <color auto="1"/>
      </right>
      <top/>
      <bottom style="double">
        <color indexed="64"/>
      </bottom>
      <diagonal/>
    </border>
    <border>
      <left/>
      <right style="thin">
        <color indexed="64"/>
      </right>
      <top style="thin">
        <color auto="1"/>
      </top>
      <bottom/>
      <diagonal/>
    </border>
    <border>
      <left style="thin">
        <color auto="1"/>
      </left>
      <right/>
      <top/>
      <bottom style="double">
        <color indexed="64"/>
      </bottom>
      <diagonal/>
    </border>
    <border>
      <left style="thick">
        <color auto="1"/>
      </left>
      <right style="thin">
        <color auto="1"/>
      </right>
      <top style="double">
        <color indexed="64"/>
      </top>
      <bottom/>
      <diagonal/>
    </border>
    <border>
      <left style="thin">
        <color auto="1"/>
      </left>
      <right style="thin">
        <color auto="1"/>
      </right>
      <top style="double">
        <color indexed="64"/>
      </top>
      <bottom/>
      <diagonal/>
    </border>
    <border>
      <left style="thick">
        <color auto="1"/>
      </left>
      <right/>
      <top/>
      <bottom style="thin">
        <color auto="1"/>
      </bottom>
      <diagonal/>
    </border>
    <border>
      <left style="thick">
        <color auto="1"/>
      </left>
      <right/>
      <top/>
      <bottom/>
      <diagonal/>
    </border>
    <border>
      <left style="thick">
        <color auto="1"/>
      </left>
      <right style="thin">
        <color auto="1"/>
      </right>
      <top style="medium">
        <color indexed="64"/>
      </top>
      <bottom style="thin">
        <color auto="1"/>
      </bottom>
      <diagonal/>
    </border>
    <border>
      <left style="thin">
        <color auto="1"/>
      </left>
      <right/>
      <top style="medium">
        <color indexed="64"/>
      </top>
      <bottom style="thin">
        <color auto="1"/>
      </bottom>
      <diagonal/>
    </border>
    <border>
      <left style="thin">
        <color indexed="64"/>
      </left>
      <right style="thick">
        <color auto="1"/>
      </right>
      <top style="double">
        <color indexed="64"/>
      </top>
      <bottom/>
      <diagonal/>
    </border>
    <border>
      <left style="thick">
        <color auto="1"/>
      </left>
      <right/>
      <top/>
      <bottom style="thick">
        <color auto="1"/>
      </bottom>
      <diagonal/>
    </border>
    <border>
      <left/>
      <right/>
      <top/>
      <bottom style="thick">
        <color auto="1"/>
      </bottom>
      <diagonal/>
    </border>
    <border>
      <left style="thick">
        <color rgb="FF663300"/>
      </left>
      <right style="thin">
        <color auto="1"/>
      </right>
      <top style="thin">
        <color auto="1"/>
      </top>
      <bottom style="thin">
        <color auto="1"/>
      </bottom>
      <diagonal/>
    </border>
    <border>
      <left style="thin">
        <color auto="1"/>
      </left>
      <right style="thick">
        <color rgb="FF663300"/>
      </right>
      <top style="thin">
        <color auto="1"/>
      </top>
      <bottom style="thin">
        <color auto="1"/>
      </bottom>
      <diagonal/>
    </border>
    <border>
      <left style="thick">
        <color rgb="FF663300"/>
      </left>
      <right style="thin">
        <color auto="1"/>
      </right>
      <top style="thin">
        <color auto="1"/>
      </top>
      <bottom style="thick">
        <color rgb="FF0D776E"/>
      </bottom>
      <diagonal/>
    </border>
    <border>
      <left style="thin">
        <color auto="1"/>
      </left>
      <right style="thin">
        <color auto="1"/>
      </right>
      <top style="thin">
        <color auto="1"/>
      </top>
      <bottom style="thick">
        <color rgb="FF0D776E"/>
      </bottom>
      <diagonal/>
    </border>
    <border>
      <left style="thin">
        <color auto="1"/>
      </left>
      <right style="thick">
        <color rgb="FF663300"/>
      </right>
      <top style="thin">
        <color auto="1"/>
      </top>
      <bottom style="thick">
        <color rgb="FF0D776E"/>
      </bottom>
      <diagonal/>
    </border>
    <border>
      <left style="thick">
        <color rgb="FF663300"/>
      </left>
      <right style="thin">
        <color auto="1"/>
      </right>
      <top/>
      <bottom style="thin">
        <color auto="1"/>
      </bottom>
      <diagonal/>
    </border>
    <border>
      <left style="thin">
        <color auto="1"/>
      </left>
      <right style="thick">
        <color rgb="FF663300"/>
      </right>
      <top/>
      <bottom style="thin">
        <color auto="1"/>
      </bottom>
      <diagonal/>
    </border>
    <border>
      <left style="thick">
        <color rgb="FF663300"/>
      </left>
      <right style="thin">
        <color indexed="64"/>
      </right>
      <top style="thin">
        <color indexed="64"/>
      </top>
      <bottom/>
      <diagonal/>
    </border>
    <border>
      <left style="thin">
        <color indexed="64"/>
      </left>
      <right style="thick">
        <color rgb="FF663300"/>
      </right>
      <top style="thin">
        <color indexed="64"/>
      </top>
      <bottom/>
      <diagonal/>
    </border>
    <border>
      <left style="thin">
        <color auto="1"/>
      </left>
      <right style="thin">
        <color auto="1"/>
      </right>
      <top style="medium">
        <color indexed="64"/>
      </top>
      <bottom style="double">
        <color auto="1"/>
      </bottom>
      <diagonal/>
    </border>
    <border>
      <left style="thick">
        <color rgb="FF663300"/>
      </left>
      <right/>
      <top/>
      <bottom/>
      <diagonal/>
    </border>
    <border>
      <left/>
      <right style="thick">
        <color rgb="FF663300"/>
      </right>
      <top/>
      <bottom/>
      <diagonal/>
    </border>
    <border>
      <left style="thick">
        <color rgb="FF663300"/>
      </left>
      <right/>
      <top/>
      <bottom style="thick">
        <color rgb="FF663300"/>
      </bottom>
      <diagonal/>
    </border>
    <border>
      <left/>
      <right/>
      <top/>
      <bottom style="thick">
        <color rgb="FF663300"/>
      </bottom>
      <diagonal/>
    </border>
    <border>
      <left/>
      <right style="thick">
        <color rgb="FF663300"/>
      </right>
      <top/>
      <bottom style="thick">
        <color rgb="FF663300"/>
      </bottom>
      <diagonal/>
    </border>
    <border>
      <left style="thick">
        <color rgb="FF808080"/>
      </left>
      <right style="medium">
        <color rgb="FF0D776E"/>
      </right>
      <top style="thick">
        <color rgb="FF808080"/>
      </top>
      <bottom/>
      <diagonal/>
    </border>
    <border>
      <left style="medium">
        <color rgb="FF0D776E"/>
      </left>
      <right style="medium">
        <color rgb="FF0D776E"/>
      </right>
      <top style="thick">
        <color rgb="FF808080"/>
      </top>
      <bottom/>
      <diagonal/>
    </border>
    <border>
      <left style="medium">
        <color rgb="FF0D776E"/>
      </left>
      <right style="thick">
        <color rgb="FF808080"/>
      </right>
      <top style="thick">
        <color rgb="FF808080"/>
      </top>
      <bottom/>
      <diagonal/>
    </border>
    <border>
      <left style="thick">
        <color rgb="FF808080"/>
      </left>
      <right style="thin">
        <color indexed="64"/>
      </right>
      <top style="thin">
        <color indexed="64"/>
      </top>
      <bottom style="thin">
        <color indexed="64"/>
      </bottom>
      <diagonal/>
    </border>
    <border>
      <left style="thin">
        <color indexed="64"/>
      </left>
      <right style="thick">
        <color rgb="FF808080"/>
      </right>
      <top style="thin">
        <color indexed="64"/>
      </top>
      <bottom style="thin">
        <color indexed="64"/>
      </bottom>
      <diagonal/>
    </border>
    <border>
      <left style="thick">
        <color rgb="FF808080"/>
      </left>
      <right style="thin">
        <color auto="1"/>
      </right>
      <top style="thin">
        <color auto="1"/>
      </top>
      <bottom style="thick">
        <color rgb="FF0D776E"/>
      </bottom>
      <diagonal/>
    </border>
    <border>
      <left style="thin">
        <color auto="1"/>
      </left>
      <right style="thick">
        <color rgb="FF808080"/>
      </right>
      <top style="thin">
        <color auto="1"/>
      </top>
      <bottom style="thick">
        <color rgb="FF0D776E"/>
      </bottom>
      <diagonal/>
    </border>
    <border>
      <left style="thick">
        <color rgb="FF808080"/>
      </left>
      <right style="thin">
        <color auto="1"/>
      </right>
      <top/>
      <bottom style="thin">
        <color auto="1"/>
      </bottom>
      <diagonal/>
    </border>
    <border>
      <left style="thin">
        <color auto="1"/>
      </left>
      <right style="thick">
        <color rgb="FF808080"/>
      </right>
      <top/>
      <bottom style="thin">
        <color auto="1"/>
      </bottom>
      <diagonal/>
    </border>
    <border>
      <left style="thick">
        <color rgb="FF808080"/>
      </left>
      <right/>
      <top/>
      <bottom/>
      <diagonal/>
    </border>
    <border>
      <left/>
      <right style="thick">
        <color rgb="FF808080"/>
      </right>
      <top/>
      <bottom/>
      <diagonal/>
    </border>
    <border>
      <left style="thick">
        <color rgb="FF808080"/>
      </left>
      <right/>
      <top/>
      <bottom style="thick">
        <color rgb="FF808080"/>
      </bottom>
      <diagonal/>
    </border>
    <border>
      <left/>
      <right/>
      <top/>
      <bottom style="thick">
        <color rgb="FF808080"/>
      </bottom>
      <diagonal/>
    </border>
    <border>
      <left/>
      <right style="thick">
        <color rgb="FF808080"/>
      </right>
      <top/>
      <bottom style="thick">
        <color rgb="FF808080"/>
      </bottom>
      <diagonal/>
    </border>
    <border>
      <left style="thick">
        <color rgb="FFFFC000"/>
      </left>
      <right style="medium">
        <color rgb="FF0D776E"/>
      </right>
      <top style="thick">
        <color rgb="FFFFC000"/>
      </top>
      <bottom/>
      <diagonal/>
    </border>
    <border>
      <left style="medium">
        <color rgb="FF0D776E"/>
      </left>
      <right style="medium">
        <color rgb="FF0D776E"/>
      </right>
      <top style="thick">
        <color rgb="FFFFC000"/>
      </top>
      <bottom/>
      <diagonal/>
    </border>
    <border>
      <left style="medium">
        <color rgb="FF0D776E"/>
      </left>
      <right style="thick">
        <color rgb="FFFFC000"/>
      </right>
      <top style="thick">
        <color rgb="FFFFC000"/>
      </top>
      <bottom/>
      <diagonal/>
    </border>
    <border>
      <left style="thick">
        <color rgb="FFFFC000"/>
      </left>
      <right style="thin">
        <color auto="1"/>
      </right>
      <top style="thin">
        <color auto="1"/>
      </top>
      <bottom style="thin">
        <color auto="1"/>
      </bottom>
      <diagonal/>
    </border>
    <border>
      <left style="thin">
        <color auto="1"/>
      </left>
      <right style="thick">
        <color rgb="FFFFC000"/>
      </right>
      <top style="thin">
        <color auto="1"/>
      </top>
      <bottom style="thin">
        <color auto="1"/>
      </bottom>
      <diagonal/>
    </border>
    <border>
      <left style="thick">
        <color rgb="FFFFC000"/>
      </left>
      <right style="thin">
        <color auto="1"/>
      </right>
      <top style="thin">
        <color auto="1"/>
      </top>
      <bottom style="thick">
        <color rgb="FF0D776E"/>
      </bottom>
      <diagonal/>
    </border>
    <border>
      <left style="thin">
        <color auto="1"/>
      </left>
      <right style="thick">
        <color rgb="FFFFC000"/>
      </right>
      <top style="thin">
        <color auto="1"/>
      </top>
      <bottom style="thick">
        <color rgb="FF0D776E"/>
      </bottom>
      <diagonal/>
    </border>
    <border>
      <left style="thick">
        <color rgb="FFFFC000"/>
      </left>
      <right style="thin">
        <color auto="1"/>
      </right>
      <top/>
      <bottom style="thin">
        <color auto="1"/>
      </bottom>
      <diagonal/>
    </border>
    <border>
      <left style="thin">
        <color auto="1"/>
      </left>
      <right style="thick">
        <color rgb="FFFFC000"/>
      </right>
      <top/>
      <bottom style="thin">
        <color auto="1"/>
      </bottom>
      <diagonal/>
    </border>
    <border>
      <left style="thick">
        <color rgb="FFFFC000"/>
      </left>
      <right/>
      <top/>
      <bottom/>
      <diagonal/>
    </border>
    <border>
      <left/>
      <right style="thick">
        <color rgb="FFFFC000"/>
      </right>
      <top/>
      <bottom/>
      <diagonal/>
    </border>
    <border>
      <left style="thick">
        <color rgb="FFFFC000"/>
      </left>
      <right/>
      <top/>
      <bottom style="thick">
        <color rgb="FFFFC000"/>
      </bottom>
      <diagonal/>
    </border>
    <border>
      <left/>
      <right/>
      <top/>
      <bottom style="thick">
        <color rgb="FFFFC000"/>
      </bottom>
      <diagonal/>
    </border>
    <border>
      <left/>
      <right style="thick">
        <color rgb="FFFFC000"/>
      </right>
      <top/>
      <bottom style="thick">
        <color rgb="FFFFC000"/>
      </bottom>
      <diagonal/>
    </border>
    <border>
      <left style="thick">
        <color rgb="FF00B050"/>
      </left>
      <right style="medium">
        <color rgb="FF0D776E"/>
      </right>
      <top style="thick">
        <color rgb="FF00B050"/>
      </top>
      <bottom/>
      <diagonal/>
    </border>
    <border>
      <left style="medium">
        <color rgb="FF0D776E"/>
      </left>
      <right style="medium">
        <color rgb="FF0D776E"/>
      </right>
      <top style="thick">
        <color rgb="FF00B050"/>
      </top>
      <bottom/>
      <diagonal/>
    </border>
    <border>
      <left style="medium">
        <color rgb="FF0D776E"/>
      </left>
      <right style="thick">
        <color rgb="FF00B050"/>
      </right>
      <top style="thick">
        <color rgb="FF00B050"/>
      </top>
      <bottom/>
      <diagonal/>
    </border>
    <border>
      <left style="thick">
        <color rgb="FF00B050"/>
      </left>
      <right style="thin">
        <color auto="1"/>
      </right>
      <top style="thin">
        <color auto="1"/>
      </top>
      <bottom style="thin">
        <color auto="1"/>
      </bottom>
      <diagonal/>
    </border>
    <border>
      <left style="thin">
        <color auto="1"/>
      </left>
      <right style="thick">
        <color rgb="FF00B050"/>
      </right>
      <top style="thin">
        <color auto="1"/>
      </top>
      <bottom style="thin">
        <color auto="1"/>
      </bottom>
      <diagonal/>
    </border>
    <border>
      <left style="thick">
        <color rgb="FF00B050"/>
      </left>
      <right style="thin">
        <color auto="1"/>
      </right>
      <top style="thin">
        <color auto="1"/>
      </top>
      <bottom style="thick">
        <color rgb="FF0D776E"/>
      </bottom>
      <diagonal/>
    </border>
    <border>
      <left style="thin">
        <color auto="1"/>
      </left>
      <right style="thick">
        <color rgb="FF00B050"/>
      </right>
      <top style="thin">
        <color auto="1"/>
      </top>
      <bottom style="thick">
        <color rgb="FF0D776E"/>
      </bottom>
      <diagonal/>
    </border>
    <border>
      <left style="thick">
        <color rgb="FF00B050"/>
      </left>
      <right style="thin">
        <color auto="1"/>
      </right>
      <top/>
      <bottom style="thin">
        <color auto="1"/>
      </bottom>
      <diagonal/>
    </border>
    <border>
      <left style="thin">
        <color indexed="64"/>
      </left>
      <right style="thin">
        <color indexed="64"/>
      </right>
      <top style="thick">
        <color rgb="FF0D776E"/>
      </top>
      <bottom style="thin">
        <color indexed="64"/>
      </bottom>
      <diagonal/>
    </border>
    <border>
      <left style="thin">
        <color auto="1"/>
      </left>
      <right style="thick">
        <color rgb="FF00B050"/>
      </right>
      <top/>
      <bottom style="thin">
        <color auto="1"/>
      </bottom>
      <diagonal/>
    </border>
    <border>
      <left style="thick">
        <color rgb="FF00B050"/>
      </left>
      <right/>
      <top/>
      <bottom/>
      <diagonal/>
    </border>
    <border>
      <left/>
      <right style="thick">
        <color rgb="FF00B050"/>
      </right>
      <top/>
      <bottom/>
      <diagonal/>
    </border>
    <border>
      <left style="thick">
        <color rgb="FF00B050"/>
      </left>
      <right/>
      <top/>
      <bottom style="thick">
        <color rgb="FF00B050"/>
      </bottom>
      <diagonal/>
    </border>
    <border>
      <left/>
      <right/>
      <top/>
      <bottom style="thick">
        <color rgb="FF00B050"/>
      </bottom>
      <diagonal/>
    </border>
    <border>
      <left/>
      <right style="thick">
        <color rgb="FF00B050"/>
      </right>
      <top/>
      <bottom style="thick">
        <color rgb="FF00B050"/>
      </bottom>
      <diagonal/>
    </border>
    <border>
      <left style="thick">
        <color rgb="FF002060"/>
      </left>
      <right style="thin">
        <color auto="1"/>
      </right>
      <top style="thick">
        <color rgb="FF002060"/>
      </top>
      <bottom style="thin">
        <color auto="1"/>
      </bottom>
      <diagonal/>
    </border>
    <border>
      <left style="thin">
        <color auto="1"/>
      </left>
      <right style="thin">
        <color auto="1"/>
      </right>
      <top style="thick">
        <color rgb="FF002060"/>
      </top>
      <bottom style="thin">
        <color auto="1"/>
      </bottom>
      <diagonal/>
    </border>
    <border>
      <left style="thin">
        <color auto="1"/>
      </left>
      <right style="thick">
        <color rgb="FF002060"/>
      </right>
      <top style="thick">
        <color rgb="FF002060"/>
      </top>
      <bottom style="thin">
        <color auto="1"/>
      </bottom>
      <diagonal/>
    </border>
    <border>
      <left style="thick">
        <color rgb="FF002060"/>
      </left>
      <right style="thin">
        <color auto="1"/>
      </right>
      <top style="thin">
        <color auto="1"/>
      </top>
      <bottom style="thin">
        <color auto="1"/>
      </bottom>
      <diagonal/>
    </border>
    <border>
      <left style="thin">
        <color auto="1"/>
      </left>
      <right style="thick">
        <color rgb="FF002060"/>
      </right>
      <top style="thin">
        <color auto="1"/>
      </top>
      <bottom style="thin">
        <color auto="1"/>
      </bottom>
      <diagonal/>
    </border>
    <border>
      <left style="thick">
        <color rgb="FF002060"/>
      </left>
      <right style="thin">
        <color auto="1"/>
      </right>
      <top style="thin">
        <color auto="1"/>
      </top>
      <bottom style="thick">
        <color rgb="FF002060"/>
      </bottom>
      <diagonal/>
    </border>
    <border>
      <left style="thin">
        <color auto="1"/>
      </left>
      <right style="thin">
        <color auto="1"/>
      </right>
      <top style="thin">
        <color auto="1"/>
      </top>
      <bottom style="thick">
        <color rgb="FF002060"/>
      </bottom>
      <diagonal/>
    </border>
    <border>
      <left style="thin">
        <color auto="1"/>
      </left>
      <right style="thick">
        <color rgb="FF002060"/>
      </right>
      <top style="thin">
        <color auto="1"/>
      </top>
      <bottom style="thick">
        <color rgb="FF002060"/>
      </bottom>
      <diagonal/>
    </border>
    <border>
      <left style="thin">
        <color auto="1"/>
      </left>
      <right style="medium">
        <color rgb="FF0D776E"/>
      </right>
      <top/>
      <bottom style="thin">
        <color auto="1"/>
      </bottom>
      <diagonal/>
    </border>
    <border>
      <left style="medium">
        <color rgb="FF0D776E"/>
      </left>
      <right style="thin">
        <color auto="1"/>
      </right>
      <top style="thin">
        <color rgb="FF0D776E"/>
      </top>
      <bottom style="thin">
        <color auto="1"/>
      </bottom>
      <diagonal/>
    </border>
    <border>
      <left style="thin">
        <color auto="1"/>
      </left>
      <right style="medium">
        <color rgb="FF0D776E"/>
      </right>
      <top style="thin">
        <color rgb="FF0D776E"/>
      </top>
      <bottom style="thin">
        <color auto="1"/>
      </bottom>
      <diagonal/>
    </border>
    <border>
      <left style="medium">
        <color rgb="FF0D776E"/>
      </left>
      <right style="thin">
        <color auto="1"/>
      </right>
      <top style="thin">
        <color auto="1"/>
      </top>
      <bottom style="thin">
        <color auto="1"/>
      </bottom>
      <diagonal/>
    </border>
    <border>
      <left style="thin">
        <color auto="1"/>
      </left>
      <right style="medium">
        <color rgb="FF0D776E"/>
      </right>
      <top style="thin">
        <color auto="1"/>
      </top>
      <bottom style="thin">
        <color auto="1"/>
      </bottom>
      <diagonal/>
    </border>
    <border>
      <left style="medium">
        <color rgb="FF0D776E"/>
      </left>
      <right style="thin">
        <color auto="1"/>
      </right>
      <top style="thin">
        <color auto="1"/>
      </top>
      <bottom style="thin">
        <color rgb="FF0D776E"/>
      </bottom>
      <diagonal/>
    </border>
    <border>
      <left style="thin">
        <color auto="1"/>
      </left>
      <right style="medium">
        <color rgb="FF0D776E"/>
      </right>
      <top style="thin">
        <color auto="1"/>
      </top>
      <bottom style="thin">
        <color rgb="FF0D776E"/>
      </bottom>
      <diagonal/>
    </border>
    <border>
      <left style="thin">
        <color theme="6" tint="-0.499984740745262"/>
      </left>
      <right style="thin">
        <color theme="6" tint="-0.499984740745262"/>
      </right>
      <top style="thin">
        <color theme="6" tint="-0.499984740745262"/>
      </top>
      <bottom style="thin">
        <color theme="6" tint="-0.499984740745262"/>
      </bottom>
      <diagonal/>
    </border>
    <border>
      <left style="medium">
        <color rgb="FF0D776E"/>
      </left>
      <right style="thin">
        <color auto="1"/>
      </right>
      <top style="thin">
        <color auto="1"/>
      </top>
      <bottom/>
      <diagonal/>
    </border>
    <border>
      <left style="thin">
        <color auto="1"/>
      </left>
      <right style="medium">
        <color rgb="FF0D776E"/>
      </right>
      <top style="thin">
        <color auto="1"/>
      </top>
      <bottom/>
      <diagonal/>
    </border>
    <border>
      <left style="medium">
        <color rgb="FF0D776E"/>
      </left>
      <right style="thin">
        <color auto="1"/>
      </right>
      <top/>
      <bottom/>
      <diagonal/>
    </border>
    <border>
      <left style="thin">
        <color auto="1"/>
      </left>
      <right style="medium">
        <color rgb="FF0D776E"/>
      </right>
      <top/>
      <bottom/>
      <diagonal/>
    </border>
    <border>
      <left style="medium">
        <color rgb="FF0D776E"/>
      </left>
      <right style="thin">
        <color auto="1"/>
      </right>
      <top/>
      <bottom style="thin">
        <color rgb="FF0D776E"/>
      </bottom>
      <diagonal/>
    </border>
    <border>
      <left style="thin">
        <color auto="1"/>
      </left>
      <right style="thin">
        <color auto="1"/>
      </right>
      <top/>
      <bottom style="thin">
        <color rgb="FF0D776E"/>
      </bottom>
      <diagonal/>
    </border>
    <border>
      <left style="thin">
        <color auto="1"/>
      </left>
      <right style="medium">
        <color rgb="FF0D776E"/>
      </right>
      <top/>
      <bottom style="thin">
        <color rgb="FF0D776E"/>
      </bottom>
      <diagonal/>
    </border>
    <border>
      <left/>
      <right style="thin">
        <color rgb="FF0D776E"/>
      </right>
      <top/>
      <bottom/>
      <diagonal/>
    </border>
    <border>
      <left style="medium">
        <color rgb="FF0D776E"/>
      </left>
      <right/>
      <top style="thin">
        <color theme="1"/>
      </top>
      <bottom/>
      <diagonal/>
    </border>
    <border>
      <left/>
      <right style="medium">
        <color rgb="FF0D776E"/>
      </right>
      <top style="thin">
        <color theme="1"/>
      </top>
      <bottom/>
      <diagonal/>
    </border>
    <border>
      <left style="thin">
        <color rgb="FF92D050"/>
      </left>
      <right style="thin">
        <color rgb="FF92D050"/>
      </right>
      <top/>
      <bottom/>
      <diagonal/>
    </border>
    <border>
      <left style="thin">
        <color rgb="FF92D050"/>
      </left>
      <right style="thin">
        <color rgb="FF92D050"/>
      </right>
      <top style="thin">
        <color theme="4"/>
      </top>
      <bottom/>
      <diagonal/>
    </border>
    <border>
      <left/>
      <right/>
      <top style="medium">
        <color indexed="64"/>
      </top>
      <bottom/>
      <diagonal/>
    </border>
    <border>
      <left style="thin">
        <color rgb="FF92D050"/>
      </left>
      <right style="thin">
        <color theme="4"/>
      </right>
      <top style="thin">
        <color rgb="FF92D050"/>
      </top>
      <bottom/>
      <diagonal/>
    </border>
    <border>
      <left style="thin">
        <color theme="4"/>
      </left>
      <right style="thin">
        <color theme="4"/>
      </right>
      <top style="thin">
        <color rgb="FF92D050"/>
      </top>
      <bottom/>
      <diagonal/>
    </border>
    <border>
      <left style="thin">
        <color theme="4"/>
      </left>
      <right style="thin">
        <color theme="4"/>
      </right>
      <top/>
      <bottom style="thin">
        <color rgb="FF92D050"/>
      </bottom>
      <diagonal/>
    </border>
    <border>
      <left style="medium">
        <color auto="1"/>
      </left>
      <right style="thin">
        <color theme="1"/>
      </right>
      <top style="medium">
        <color auto="1"/>
      </top>
      <bottom style="thin">
        <color theme="1"/>
      </bottom>
      <diagonal/>
    </border>
    <border>
      <left style="thin">
        <color theme="1"/>
      </left>
      <right style="thin">
        <color theme="1"/>
      </right>
      <top style="medium">
        <color auto="1"/>
      </top>
      <bottom style="thin">
        <color theme="1"/>
      </bottom>
      <diagonal/>
    </border>
    <border>
      <left style="thin">
        <color theme="1"/>
      </left>
      <right style="medium">
        <color auto="1"/>
      </right>
      <top style="medium">
        <color auto="1"/>
      </top>
      <bottom style="thin">
        <color theme="1"/>
      </bottom>
      <diagonal/>
    </border>
    <border>
      <left style="medium">
        <color auto="1"/>
      </left>
      <right style="thin">
        <color theme="1"/>
      </right>
      <top style="thin">
        <color theme="1"/>
      </top>
      <bottom style="thin">
        <color theme="1"/>
      </bottom>
      <diagonal/>
    </border>
    <border>
      <left style="thin">
        <color theme="1"/>
      </left>
      <right style="medium">
        <color auto="1"/>
      </right>
      <top style="thin">
        <color theme="1"/>
      </top>
      <bottom style="thin">
        <color theme="1"/>
      </bottom>
      <diagonal/>
    </border>
    <border>
      <left style="medium">
        <color auto="1"/>
      </left>
      <right style="thin">
        <color theme="1"/>
      </right>
      <top style="thin">
        <color theme="1"/>
      </top>
      <bottom/>
      <diagonal/>
    </border>
    <border>
      <left style="thin">
        <color theme="1"/>
      </left>
      <right style="medium">
        <color auto="1"/>
      </right>
      <top style="thin">
        <color theme="1"/>
      </top>
      <bottom/>
      <diagonal/>
    </border>
    <border>
      <left/>
      <right style="thin">
        <color rgb="FFC0C0C0"/>
      </right>
      <top style="double">
        <color theme="1"/>
      </top>
      <bottom/>
      <diagonal/>
    </border>
    <border>
      <left style="thin">
        <color theme="4"/>
      </left>
      <right/>
      <top style="thin">
        <color theme="1"/>
      </top>
      <bottom style="double">
        <color theme="1"/>
      </bottom>
      <diagonal/>
    </border>
    <border>
      <left/>
      <right/>
      <top style="thin">
        <color theme="1"/>
      </top>
      <bottom style="double">
        <color theme="1"/>
      </bottom>
      <diagonal/>
    </border>
    <border>
      <left style="medium">
        <color auto="1"/>
      </left>
      <right style="thin">
        <color auto="1"/>
      </right>
      <top style="thin">
        <color auto="1"/>
      </top>
      <bottom style="double">
        <color auto="1"/>
      </bottom>
      <diagonal/>
    </border>
    <border>
      <left style="thin">
        <color auto="1"/>
      </left>
      <right style="medium">
        <color auto="1"/>
      </right>
      <top style="thin">
        <color auto="1"/>
      </top>
      <bottom style="double">
        <color auto="1"/>
      </bottom>
      <diagonal/>
    </border>
    <border>
      <left style="medium">
        <color indexed="64"/>
      </left>
      <right/>
      <top/>
      <bottom/>
      <diagonal/>
    </border>
    <border>
      <left/>
      <right/>
      <top style="double">
        <color theme="1"/>
      </top>
      <bottom style="thin">
        <color rgb="FF92D050"/>
      </bottom>
      <diagonal/>
    </border>
    <border>
      <left style="thin">
        <color rgb="FF92D050"/>
      </left>
      <right style="thin">
        <color rgb="FF92D050"/>
      </right>
      <top style="thin">
        <color rgb="FF92D050"/>
      </top>
      <bottom/>
      <diagonal/>
    </border>
    <border>
      <left/>
      <right/>
      <top style="double">
        <color theme="1"/>
      </top>
      <bottom style="thin">
        <color rgb="FFFFC000"/>
      </bottom>
      <diagonal/>
    </border>
    <border>
      <left/>
      <right/>
      <top style="thin">
        <color indexed="64"/>
      </top>
      <bottom style="thin">
        <color theme="1"/>
      </bottom>
      <diagonal/>
    </border>
    <border>
      <left style="thin">
        <color theme="4"/>
      </left>
      <right/>
      <top style="thin">
        <color theme="1"/>
      </top>
      <bottom/>
      <diagonal/>
    </border>
    <border>
      <left/>
      <right style="thin">
        <color theme="4"/>
      </right>
      <top style="thin">
        <color theme="1"/>
      </top>
      <bottom/>
      <diagonal/>
    </border>
    <border>
      <left style="medium">
        <color theme="1"/>
      </left>
      <right style="thin">
        <color theme="1"/>
      </right>
      <top style="thin">
        <color theme="1"/>
      </top>
      <bottom style="medium">
        <color theme="1"/>
      </bottom>
      <diagonal/>
    </border>
    <border>
      <left style="thin">
        <color theme="1"/>
      </left>
      <right style="thin">
        <color theme="1"/>
      </right>
      <top style="thin">
        <color theme="1"/>
      </top>
      <bottom style="medium">
        <color theme="1"/>
      </bottom>
      <diagonal/>
    </border>
    <border>
      <left style="thin">
        <color theme="1"/>
      </left>
      <right style="medium">
        <color theme="1"/>
      </right>
      <top style="thin">
        <color theme="1"/>
      </top>
      <bottom style="medium">
        <color theme="1"/>
      </bottom>
      <diagonal/>
    </border>
    <border>
      <left/>
      <right style="medium">
        <color rgb="FF0D776E"/>
      </right>
      <top style="thin">
        <color theme="1"/>
      </top>
      <bottom style="thin">
        <color theme="1"/>
      </bottom>
      <diagonal/>
    </border>
    <border>
      <left style="thin">
        <color rgb="FFC0C0C0"/>
      </left>
      <right style="medium">
        <color rgb="FF0D776E"/>
      </right>
      <top style="thin">
        <color theme="1"/>
      </top>
      <bottom style="thin">
        <color theme="1"/>
      </bottom>
      <diagonal/>
    </border>
    <border>
      <left style="thin">
        <color theme="4"/>
      </left>
      <right style="thin">
        <color theme="4"/>
      </right>
      <top style="thin">
        <color theme="4"/>
      </top>
      <bottom style="thin">
        <color theme="1"/>
      </bottom>
      <diagonal/>
    </border>
    <border>
      <left/>
      <right style="medium">
        <color theme="1"/>
      </right>
      <top/>
      <bottom style="thin">
        <color theme="1"/>
      </bottom>
      <diagonal/>
    </border>
    <border>
      <left/>
      <right style="medium">
        <color theme="1"/>
      </right>
      <top/>
      <bottom/>
      <diagonal/>
    </border>
    <border>
      <left style="medium">
        <color theme="1"/>
      </left>
      <right/>
      <top/>
      <bottom style="thin">
        <color theme="1"/>
      </bottom>
      <diagonal/>
    </border>
    <border>
      <left style="medium">
        <color theme="1"/>
      </left>
      <right/>
      <top/>
      <bottom/>
      <diagonal/>
    </border>
    <border>
      <left style="medium">
        <color theme="1"/>
      </left>
      <right/>
      <top style="thin">
        <color rgb="FFFFC000"/>
      </top>
      <bottom/>
      <diagonal/>
    </border>
    <border>
      <left style="medium">
        <color rgb="FF0D776E"/>
      </left>
      <right/>
      <top style="thin">
        <color theme="1"/>
      </top>
      <bottom style="thin">
        <color theme="1"/>
      </bottom>
      <diagonal/>
    </border>
    <border>
      <left/>
      <right style="thin">
        <color indexed="64"/>
      </right>
      <top/>
      <bottom style="thin">
        <color indexed="64"/>
      </bottom>
      <diagonal/>
    </border>
    <border>
      <left style="thin">
        <color auto="1"/>
      </left>
      <right style="thick">
        <color rgb="FF002060"/>
      </right>
      <top/>
      <bottom style="thin">
        <color auto="1"/>
      </bottom>
      <diagonal/>
    </border>
    <border>
      <left style="thick">
        <color rgb="FF002060"/>
      </left>
      <right/>
      <top/>
      <bottom style="thin">
        <color indexed="64"/>
      </bottom>
      <diagonal/>
    </border>
    <border>
      <left style="medium">
        <color rgb="FF006666"/>
      </left>
      <right/>
      <top style="medium">
        <color rgb="FF006666"/>
      </top>
      <bottom/>
      <diagonal/>
    </border>
    <border>
      <left/>
      <right/>
      <top style="medium">
        <color rgb="FF006666"/>
      </top>
      <bottom/>
      <diagonal/>
    </border>
    <border>
      <left/>
      <right style="medium">
        <color rgb="FF006666"/>
      </right>
      <top style="medium">
        <color rgb="FF006666"/>
      </top>
      <bottom/>
      <diagonal/>
    </border>
    <border>
      <left style="medium">
        <color rgb="FF006666"/>
      </left>
      <right style="thin">
        <color auto="1"/>
      </right>
      <top/>
      <bottom style="thin">
        <color auto="1"/>
      </bottom>
      <diagonal/>
    </border>
    <border>
      <left style="thin">
        <color auto="1"/>
      </left>
      <right style="medium">
        <color rgb="FF006666"/>
      </right>
      <top/>
      <bottom style="thin">
        <color auto="1"/>
      </bottom>
      <diagonal/>
    </border>
    <border>
      <left style="medium">
        <color rgb="FF006666"/>
      </left>
      <right style="thin">
        <color auto="1"/>
      </right>
      <top style="thin">
        <color auto="1"/>
      </top>
      <bottom style="thin">
        <color auto="1"/>
      </bottom>
      <diagonal/>
    </border>
    <border>
      <left style="medium">
        <color rgb="FF006666"/>
      </left>
      <right style="thin">
        <color auto="1"/>
      </right>
      <top style="thin">
        <color auto="1"/>
      </top>
      <bottom style="medium">
        <color rgb="FF006666"/>
      </bottom>
      <diagonal/>
    </border>
    <border>
      <left style="thin">
        <color auto="1"/>
      </left>
      <right style="thin">
        <color auto="1"/>
      </right>
      <top style="thin">
        <color auto="1"/>
      </top>
      <bottom style="medium">
        <color rgb="FF006666"/>
      </bottom>
      <diagonal/>
    </border>
    <border>
      <left style="thin">
        <color auto="1"/>
      </left>
      <right style="medium">
        <color rgb="FF006666"/>
      </right>
      <top style="thin">
        <color auto="1"/>
      </top>
      <bottom style="medium">
        <color rgb="FF006666"/>
      </bottom>
      <diagonal/>
    </border>
    <border>
      <left style="thin">
        <color rgb="FF92D050"/>
      </left>
      <right style="thin">
        <color rgb="FF92D050"/>
      </right>
      <top style="thin">
        <color theme="1"/>
      </top>
      <bottom style="thin">
        <color rgb="FF92D050"/>
      </bottom>
      <diagonal/>
    </border>
    <border>
      <left style="thin">
        <color theme="4"/>
      </left>
      <right/>
      <top style="thin">
        <color theme="1"/>
      </top>
      <bottom style="medium">
        <color rgb="FF0D776E"/>
      </bottom>
      <diagonal/>
    </border>
    <border>
      <left/>
      <right/>
      <top style="thin">
        <color theme="1"/>
      </top>
      <bottom style="medium">
        <color rgb="FF0D776E"/>
      </bottom>
      <diagonal/>
    </border>
    <border>
      <left/>
      <right style="medium">
        <color rgb="FF0D776E"/>
      </right>
      <top/>
      <bottom style="thin">
        <color theme="1"/>
      </bottom>
      <diagonal/>
    </border>
    <border>
      <left/>
      <right style="medium">
        <color rgb="FF0D776E"/>
      </right>
      <top/>
      <bottom style="double">
        <color theme="1"/>
      </bottom>
      <diagonal/>
    </border>
    <border>
      <left style="medium">
        <color rgb="FF0D776E"/>
      </left>
      <right/>
      <top style="double">
        <color theme="1"/>
      </top>
      <bottom style="double">
        <color theme="1"/>
      </bottom>
      <diagonal/>
    </border>
    <border>
      <left style="medium">
        <color rgb="FF0D776E"/>
      </left>
      <right/>
      <top style="double">
        <color theme="1"/>
      </top>
      <bottom style="medium">
        <color rgb="FF0D776E"/>
      </bottom>
      <diagonal/>
    </border>
    <border>
      <left style="medium">
        <color rgb="FF0D776E"/>
      </left>
      <right/>
      <top style="thin">
        <color indexed="64"/>
      </top>
      <bottom style="thin">
        <color theme="1"/>
      </bottom>
      <diagonal/>
    </border>
    <border>
      <left style="thin">
        <color indexed="64"/>
      </left>
      <right style="thin">
        <color indexed="64"/>
      </right>
      <top style="thin">
        <color indexed="64"/>
      </top>
      <bottom style="thin">
        <color indexed="64"/>
      </bottom>
      <diagonal/>
    </border>
    <border>
      <left/>
      <right style="medium">
        <color rgb="FF0D776E"/>
      </right>
      <top style="thin">
        <color indexed="64"/>
      </top>
      <bottom style="double">
        <color indexed="64"/>
      </bottom>
      <diagonal/>
    </border>
    <border>
      <left/>
      <right style="thin">
        <color theme="4"/>
      </right>
      <top/>
      <bottom style="double">
        <color theme="1"/>
      </bottom>
      <diagonal/>
    </border>
    <border>
      <left style="thin">
        <color theme="4"/>
      </left>
      <right style="thin">
        <color rgb="FFFFC000"/>
      </right>
      <top style="thin">
        <color theme="1"/>
      </top>
      <bottom style="thin">
        <color rgb="FFFFC000"/>
      </bottom>
      <diagonal/>
    </border>
    <border>
      <left style="thin">
        <color rgb="FFFFC000"/>
      </left>
      <right style="thin">
        <color rgb="FFFFC000"/>
      </right>
      <top style="thin">
        <color theme="1"/>
      </top>
      <bottom style="thin">
        <color rgb="FFFFC000"/>
      </bottom>
      <diagonal/>
    </border>
    <border>
      <left style="thin">
        <color rgb="FFFFC000"/>
      </left>
      <right style="thin">
        <color rgb="FFFFC000"/>
      </right>
      <top style="thin">
        <color rgb="FFFFC000"/>
      </top>
      <bottom style="double">
        <color theme="1"/>
      </bottom>
      <diagonal/>
    </border>
    <border>
      <left style="thin">
        <color theme="4"/>
      </left>
      <right style="thin">
        <color rgb="FFFFC000"/>
      </right>
      <top style="thin">
        <color rgb="FFFFC000"/>
      </top>
      <bottom style="thin">
        <color theme="1"/>
      </bottom>
      <diagonal/>
    </border>
    <border>
      <left style="thin">
        <color rgb="FFFFC000"/>
      </left>
      <right style="thin">
        <color rgb="FFFFC000"/>
      </right>
      <top style="thin">
        <color rgb="FFFFC000"/>
      </top>
      <bottom style="thin">
        <color theme="1"/>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thin">
        <color theme="4"/>
      </left>
      <right/>
      <top style="double">
        <color theme="1"/>
      </top>
      <bottom style="double">
        <color auto="1"/>
      </bottom>
      <diagonal/>
    </border>
    <border>
      <left/>
      <right/>
      <top style="double">
        <color theme="1"/>
      </top>
      <bottom style="double">
        <color auto="1"/>
      </bottom>
      <diagonal/>
    </border>
    <border>
      <left style="thin">
        <color theme="4"/>
      </left>
      <right style="thin">
        <color theme="4"/>
      </right>
      <top style="double">
        <color theme="1"/>
      </top>
      <bottom style="thin">
        <color theme="4"/>
      </bottom>
      <diagonal/>
    </border>
    <border>
      <left/>
      <right style="thin">
        <color theme="4"/>
      </right>
      <top style="double">
        <color theme="1"/>
      </top>
      <bottom/>
      <diagonal/>
    </border>
    <border>
      <left/>
      <right style="thin">
        <color rgb="FF92D050"/>
      </right>
      <top/>
      <bottom/>
      <diagonal/>
    </border>
    <border>
      <left style="medium">
        <color rgb="FF0D776E"/>
      </left>
      <right/>
      <top style="double">
        <color theme="1"/>
      </top>
      <bottom style="double">
        <color indexed="64"/>
      </bottom>
      <diagonal/>
    </border>
    <border>
      <left style="thin">
        <color theme="4"/>
      </left>
      <right style="thin">
        <color theme="4"/>
      </right>
      <top/>
      <bottom style="thin">
        <color indexed="64"/>
      </bottom>
      <diagonal/>
    </border>
    <border>
      <left/>
      <right style="medium">
        <color rgb="FF0D776E"/>
      </right>
      <top style="thin">
        <color theme="1"/>
      </top>
      <bottom style="double">
        <color theme="1"/>
      </bottom>
      <diagonal/>
    </border>
    <border>
      <left/>
      <right style="medium">
        <color rgb="FF0D776E"/>
      </right>
      <top style="double">
        <color theme="1"/>
      </top>
      <bottom style="double">
        <color auto="1"/>
      </bottom>
      <diagonal/>
    </border>
    <border>
      <left/>
      <right style="medium">
        <color rgb="FF0D776E"/>
      </right>
      <top style="double">
        <color auto="1"/>
      </top>
      <bottom style="double">
        <color auto="1"/>
      </bottom>
      <diagonal/>
    </border>
    <border>
      <left style="thin">
        <color auto="1"/>
      </left>
      <right style="medium">
        <color rgb="FF006666"/>
      </right>
      <top style="thin">
        <color auto="1"/>
      </top>
      <bottom style="thin">
        <color auto="1"/>
      </bottom>
      <diagonal/>
    </border>
    <border>
      <left/>
      <right style="medium">
        <color rgb="FF0D776E"/>
      </right>
      <top style="thin">
        <color theme="1"/>
      </top>
      <bottom style="medium">
        <color rgb="FF0D776E"/>
      </bottom>
      <diagonal/>
    </border>
    <border>
      <left style="medium">
        <color rgb="FF0D776E"/>
      </left>
      <right/>
      <top/>
      <bottom style="thin">
        <color theme="1"/>
      </bottom>
      <diagonal/>
    </border>
    <border>
      <left style="thin">
        <color theme="4"/>
      </left>
      <right style="thin">
        <color theme="4"/>
      </right>
      <top style="thin">
        <color theme="1"/>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top/>
      <bottom style="medium">
        <color indexed="64"/>
      </bottom>
      <diagonal/>
    </border>
    <border>
      <left style="thin">
        <color theme="4"/>
      </left>
      <right style="thin">
        <color theme="4"/>
      </right>
      <top style="thin">
        <color theme="1"/>
      </top>
      <bottom style="thin">
        <color theme="4"/>
      </bottom>
      <diagonal/>
    </border>
    <border>
      <left style="thin">
        <color rgb="FF92D050"/>
      </left>
      <right style="thin">
        <color rgb="FF92D050"/>
      </right>
      <top style="thin">
        <color rgb="FF92D050"/>
      </top>
      <bottom style="double">
        <color auto="1"/>
      </bottom>
      <diagonal/>
    </border>
    <border>
      <left style="thin">
        <color rgb="FF92D050"/>
      </left>
      <right style="thin">
        <color rgb="FF92D050"/>
      </right>
      <top style="thin">
        <color rgb="FF92D050"/>
      </top>
      <bottom style="thin">
        <color auto="1"/>
      </bottom>
      <diagonal/>
    </border>
    <border>
      <left style="thin">
        <color rgb="FF92D050"/>
      </left>
      <right/>
      <top style="double">
        <color theme="1"/>
      </top>
      <bottom style="double">
        <color theme="1"/>
      </bottom>
      <diagonal/>
    </border>
    <border>
      <left style="thin">
        <color rgb="FFFFC000"/>
      </left>
      <right style="thin">
        <color rgb="FFFFC000"/>
      </right>
      <top style="thin">
        <color rgb="FFFFC000"/>
      </top>
      <bottom style="medium">
        <color rgb="FF006666"/>
      </bottom>
      <diagonal/>
    </border>
    <border>
      <left style="medium">
        <color indexed="64"/>
      </left>
      <right style="thin">
        <color theme="4"/>
      </right>
      <top/>
      <bottom/>
      <diagonal/>
    </border>
    <border>
      <left style="medium">
        <color rgb="FF006666"/>
      </left>
      <right/>
      <top/>
      <bottom/>
      <diagonal/>
    </border>
    <border>
      <left/>
      <right style="medium">
        <color rgb="FF006666"/>
      </right>
      <top/>
      <bottom/>
      <diagonal/>
    </border>
    <border>
      <left style="medium">
        <color rgb="FF006666"/>
      </left>
      <right style="thin">
        <color indexed="64"/>
      </right>
      <top style="medium">
        <color indexed="64"/>
      </top>
      <bottom style="thin">
        <color indexed="64"/>
      </bottom>
      <diagonal/>
    </border>
    <border>
      <left style="thin">
        <color indexed="64"/>
      </left>
      <right style="medium">
        <color rgb="FF006666"/>
      </right>
      <top style="medium">
        <color indexed="64"/>
      </top>
      <bottom style="thin">
        <color indexed="64"/>
      </bottom>
      <diagonal/>
    </border>
    <border>
      <left style="thin">
        <color indexed="64"/>
      </left>
      <right style="thin">
        <color indexed="64"/>
      </right>
      <top style="medium">
        <color theme="1"/>
      </top>
      <bottom style="thin">
        <color indexed="64"/>
      </bottom>
      <diagonal/>
    </border>
    <border>
      <left style="thin">
        <color indexed="64"/>
      </left>
      <right style="medium">
        <color theme="1"/>
      </right>
      <top style="medium">
        <color theme="1"/>
      </top>
      <bottom style="thin">
        <color indexed="64"/>
      </bottom>
      <diagonal/>
    </border>
    <border>
      <left style="thin">
        <color indexed="64"/>
      </left>
      <right style="medium">
        <color theme="1"/>
      </right>
      <top style="thin">
        <color indexed="64"/>
      </top>
      <bottom style="thin">
        <color indexed="64"/>
      </bottom>
      <diagonal/>
    </border>
    <border>
      <left style="thin">
        <color indexed="64"/>
      </left>
      <right style="thin">
        <color indexed="64"/>
      </right>
      <top style="thin">
        <color indexed="64"/>
      </top>
      <bottom style="medium">
        <color theme="1"/>
      </bottom>
      <diagonal/>
    </border>
    <border>
      <left style="thin">
        <color indexed="64"/>
      </left>
      <right style="medium">
        <color theme="1"/>
      </right>
      <top style="thin">
        <color indexed="64"/>
      </top>
      <bottom style="medium">
        <color theme="1"/>
      </bottom>
      <diagonal/>
    </border>
    <border>
      <left style="medium">
        <color rgb="FF006666"/>
      </left>
      <right style="thin">
        <color indexed="64"/>
      </right>
      <top style="medium">
        <color theme="1"/>
      </top>
      <bottom style="thin">
        <color indexed="64"/>
      </bottom>
      <diagonal/>
    </border>
    <border>
      <left style="medium">
        <color rgb="FF006666"/>
      </left>
      <right style="thin">
        <color indexed="64"/>
      </right>
      <top style="thin">
        <color indexed="64"/>
      </top>
      <bottom style="medium">
        <color theme="1"/>
      </bottom>
      <diagonal/>
    </border>
    <border>
      <left/>
      <right style="medium">
        <color rgb="FF006666"/>
      </right>
      <top style="thin">
        <color indexed="64"/>
      </top>
      <bottom style="thin">
        <color indexed="64"/>
      </bottom>
      <diagonal/>
    </border>
    <border>
      <left style="medium">
        <color theme="1"/>
      </left>
      <right/>
      <top/>
      <bottom style="double">
        <color theme="1"/>
      </bottom>
      <diagonal/>
    </border>
    <border>
      <left style="thin">
        <color rgb="FFFFC000"/>
      </left>
      <right style="thin">
        <color rgb="FFFFC000"/>
      </right>
      <top style="thin">
        <color rgb="FFFFC000"/>
      </top>
      <bottom style="medium">
        <color rgb="FF0D776E"/>
      </bottom>
      <diagonal/>
    </border>
    <border>
      <left style="thin">
        <color rgb="FF0070C0"/>
      </left>
      <right/>
      <top/>
      <bottom style="thin">
        <color theme="1"/>
      </bottom>
      <diagonal/>
    </border>
    <border>
      <left/>
      <right style="thin">
        <color rgb="FFC0C0C0"/>
      </right>
      <top/>
      <bottom style="thin">
        <color theme="1"/>
      </bottom>
      <diagonal/>
    </border>
    <border>
      <left style="thin">
        <color theme="4"/>
      </left>
      <right style="thin">
        <color theme="4"/>
      </right>
      <top style="thin">
        <color theme="1"/>
      </top>
      <bottom style="thin">
        <color theme="1"/>
      </bottom>
      <diagonal/>
    </border>
    <border>
      <left style="thin">
        <color theme="4"/>
      </left>
      <right style="thin">
        <color theme="4"/>
      </right>
      <top/>
      <bottom style="thin">
        <color theme="1"/>
      </bottom>
      <diagonal/>
    </border>
    <border>
      <left style="thin">
        <color rgb="FF0070C0"/>
      </left>
      <right/>
      <top/>
      <bottom style="thin">
        <color indexed="64"/>
      </bottom>
      <diagonal/>
    </border>
    <border>
      <left style="thin">
        <color rgb="FF0070C0"/>
      </left>
      <right style="thin">
        <color rgb="FF0070C0"/>
      </right>
      <top style="thin">
        <color indexed="64"/>
      </top>
      <bottom style="thin">
        <color indexed="64"/>
      </bottom>
      <diagonal/>
    </border>
    <border>
      <left style="thin">
        <color rgb="FF0070C0"/>
      </left>
      <right/>
      <top style="thin">
        <color indexed="64"/>
      </top>
      <bottom/>
      <diagonal/>
    </border>
    <border>
      <left style="thin">
        <color rgb="FF0070C0"/>
      </left>
      <right style="thin">
        <color rgb="FF0070C0"/>
      </right>
      <top style="double">
        <color theme="1"/>
      </top>
      <bottom/>
      <diagonal/>
    </border>
    <border>
      <left/>
      <right style="thin">
        <color rgb="FF0070C0"/>
      </right>
      <top style="double">
        <color theme="1"/>
      </top>
      <bottom/>
      <diagonal/>
    </border>
    <border>
      <left style="thin">
        <color rgb="FF0070C0"/>
      </left>
      <right style="thin">
        <color rgb="FF0070C0"/>
      </right>
      <top style="thin">
        <color indexed="64"/>
      </top>
      <bottom style="double">
        <color indexed="64"/>
      </bottom>
      <diagonal/>
    </border>
    <border>
      <left style="thin">
        <color rgb="FF0070C0"/>
      </left>
      <right style="thin">
        <color rgb="FF0070C0"/>
      </right>
      <top style="thin">
        <color rgb="FF0070C0"/>
      </top>
      <bottom style="thin">
        <color theme="1"/>
      </bottom>
      <diagonal/>
    </border>
    <border>
      <left style="thin">
        <color rgb="FFC0C0C0"/>
      </left>
      <right style="medium">
        <color rgb="FF0D776E"/>
      </right>
      <top/>
      <bottom style="thin">
        <color theme="1"/>
      </bottom>
      <diagonal/>
    </border>
    <border>
      <left style="thin">
        <color rgb="FF0070C0"/>
      </left>
      <right style="thin">
        <color rgb="FF0070C0"/>
      </right>
      <top style="thin">
        <color theme="1"/>
      </top>
      <bottom style="thin">
        <color theme="1"/>
      </bottom>
      <diagonal/>
    </border>
    <border>
      <left style="thin">
        <color rgb="FF0070C0"/>
      </left>
      <right style="thin">
        <color rgb="FF0070C0"/>
      </right>
      <top style="thin">
        <color theme="1"/>
      </top>
      <bottom style="medium">
        <color rgb="FF0D776E"/>
      </bottom>
      <diagonal/>
    </border>
    <border>
      <left style="thin">
        <color rgb="FFC0C0C0"/>
      </left>
      <right style="medium">
        <color rgb="FF0D776E"/>
      </right>
      <top style="thin">
        <color theme="1"/>
      </top>
      <bottom style="medium">
        <color rgb="FF0D776E"/>
      </bottom>
      <diagonal/>
    </border>
    <border>
      <left style="thin">
        <color rgb="FF0070C0"/>
      </left>
      <right style="medium">
        <color rgb="FF0D776E"/>
      </right>
      <top style="double">
        <color auto="1"/>
      </top>
      <bottom/>
      <diagonal/>
    </border>
    <border>
      <left style="thin">
        <color rgb="FF0070C0"/>
      </left>
      <right style="medium">
        <color rgb="FF0D776E"/>
      </right>
      <top/>
      <bottom/>
      <diagonal/>
    </border>
    <border>
      <left style="thin">
        <color rgb="FF0070C0"/>
      </left>
      <right style="medium">
        <color rgb="FF0D776E"/>
      </right>
      <top style="double">
        <color theme="1"/>
      </top>
      <bottom/>
      <diagonal/>
    </border>
    <border>
      <left style="thin">
        <color rgb="FFC0C0C0"/>
      </left>
      <right style="medium">
        <color rgb="FF0D776E"/>
      </right>
      <top style="thin">
        <color theme="1"/>
      </top>
      <bottom style="double">
        <color auto="1"/>
      </bottom>
      <diagonal/>
    </border>
    <border>
      <left/>
      <right/>
      <top style="medium">
        <color theme="0"/>
      </top>
      <bottom/>
      <diagonal/>
    </border>
    <border>
      <left/>
      <right style="thin">
        <color indexed="64"/>
      </right>
      <top style="double">
        <color auto="1"/>
      </top>
      <bottom style="thin">
        <color indexed="64"/>
      </bottom>
      <diagonal/>
    </border>
    <border>
      <left style="thin">
        <color indexed="64"/>
      </left>
      <right/>
      <top style="thin">
        <color indexed="64"/>
      </top>
      <bottom style="medium">
        <color theme="0"/>
      </bottom>
      <diagonal/>
    </border>
    <border>
      <left style="thin">
        <color rgb="FFC0C0C0"/>
      </left>
      <right style="medium">
        <color rgb="FF0D776E"/>
      </right>
      <top style="thin">
        <color theme="1"/>
      </top>
      <bottom/>
      <diagonal/>
    </border>
    <border>
      <left style="thin">
        <color rgb="FFFFC000"/>
      </left>
      <right style="thin">
        <color rgb="FFFFC000"/>
      </right>
      <top style="medium">
        <color indexed="64"/>
      </top>
      <bottom/>
      <diagonal/>
    </border>
    <border>
      <left style="thin">
        <color rgb="FFFFC000"/>
      </left>
      <right style="thin">
        <color rgb="FFFFC000"/>
      </right>
      <top/>
      <bottom style="thin">
        <color theme="1"/>
      </bottom>
      <diagonal/>
    </border>
    <border>
      <left/>
      <right/>
      <top style="thin">
        <color theme="1"/>
      </top>
      <bottom style="thin">
        <color rgb="FFFFC000"/>
      </bottom>
      <diagonal/>
    </border>
    <border>
      <left style="thin">
        <color theme="4"/>
      </left>
      <right style="thin">
        <color theme="4"/>
      </right>
      <top style="thin">
        <color theme="1"/>
      </top>
      <bottom style="thin">
        <color rgb="FF0070C0"/>
      </bottom>
      <diagonal/>
    </border>
    <border>
      <left style="thin">
        <color rgb="FF0070C0"/>
      </left>
      <right style="thin">
        <color rgb="FF0070C0"/>
      </right>
      <top style="thin">
        <color theme="1"/>
      </top>
      <bottom style="thin">
        <color rgb="FF0070C0"/>
      </bottom>
      <diagonal/>
    </border>
    <border>
      <left style="thin">
        <color rgb="FF0070C0"/>
      </left>
      <right/>
      <top style="thin">
        <color theme="1"/>
      </top>
      <bottom/>
      <diagonal/>
    </border>
    <border>
      <left/>
      <right style="thin">
        <color theme="4"/>
      </right>
      <top/>
      <bottom style="double">
        <color auto="1"/>
      </bottom>
      <diagonal/>
    </border>
    <border>
      <left/>
      <right style="thin">
        <color rgb="FF92D050"/>
      </right>
      <top style="thin">
        <color indexed="64"/>
      </top>
      <bottom/>
      <diagonal/>
    </border>
    <border>
      <left/>
      <right style="thin">
        <color rgb="FF92D050"/>
      </right>
      <top/>
      <bottom style="double">
        <color auto="1"/>
      </bottom>
      <diagonal/>
    </border>
    <border>
      <left/>
      <right style="thin">
        <color theme="4"/>
      </right>
      <top style="double">
        <color auto="1"/>
      </top>
      <bottom/>
      <diagonal/>
    </border>
    <border>
      <left/>
      <right style="thin">
        <color rgb="FFC0C0C0"/>
      </right>
      <top style="double">
        <color auto="1"/>
      </top>
      <bottom style="double">
        <color auto="1"/>
      </bottom>
      <diagonal/>
    </border>
    <border>
      <left style="thin">
        <color auto="1"/>
      </left>
      <right style="medium">
        <color auto="1"/>
      </right>
      <top style="thin">
        <color auto="1"/>
      </top>
      <bottom style="thin">
        <color auto="1"/>
      </bottom>
      <diagonal/>
    </border>
    <border>
      <left style="thin">
        <color theme="4"/>
      </left>
      <right style="thin">
        <color theme="4"/>
      </right>
      <top/>
      <bottom style="double">
        <color theme="1"/>
      </bottom>
      <diagonal/>
    </border>
    <border>
      <left style="thin">
        <color rgb="FFB2B2B2"/>
      </left>
      <right style="medium">
        <color rgb="FF0D776E"/>
      </right>
      <top style="double">
        <color theme="1"/>
      </top>
      <bottom/>
      <diagonal/>
    </border>
    <border>
      <left style="thin">
        <color rgb="FF92D050"/>
      </left>
      <right style="thin">
        <color rgb="FF92D050"/>
      </right>
      <top/>
      <bottom style="thin">
        <color theme="4"/>
      </bottom>
      <diagonal/>
    </border>
    <border>
      <left/>
      <right style="thin">
        <color rgb="FFB2B2B2"/>
      </right>
      <top style="double">
        <color theme="1"/>
      </top>
      <bottom/>
      <diagonal/>
    </border>
    <border>
      <left/>
      <right style="thin">
        <color rgb="FFC0C0C0"/>
      </right>
      <top style="double">
        <color auto="1"/>
      </top>
      <bottom style="medium">
        <color rgb="FF0D776E"/>
      </bottom>
      <diagonal/>
    </border>
    <border>
      <left/>
      <right style="thin">
        <color rgb="FFC0C0C0"/>
      </right>
      <top style="thin">
        <color theme="1"/>
      </top>
      <bottom style="double">
        <color theme="1"/>
      </bottom>
      <diagonal/>
    </border>
    <border>
      <left style="thin">
        <color theme="4"/>
      </left>
      <right/>
      <top style="thin">
        <color theme="1"/>
      </top>
      <bottom style="double">
        <color auto="1"/>
      </bottom>
      <diagonal/>
    </border>
    <border>
      <left/>
      <right/>
      <top style="thin">
        <color theme="1"/>
      </top>
      <bottom style="double">
        <color auto="1"/>
      </bottom>
      <diagonal/>
    </border>
    <border>
      <left/>
      <right style="thin">
        <color rgb="FFC0C0C0"/>
      </right>
      <top style="thin">
        <color theme="1"/>
      </top>
      <bottom style="double">
        <color auto="1"/>
      </bottom>
      <diagonal/>
    </border>
    <border>
      <left/>
      <right style="medium">
        <color rgb="FF0D776E"/>
      </right>
      <top style="double">
        <color theme="1"/>
      </top>
      <bottom style="thin">
        <color theme="1"/>
      </bottom>
      <diagonal/>
    </border>
    <border>
      <left style="thin">
        <color theme="4"/>
      </left>
      <right style="thin">
        <color theme="4"/>
      </right>
      <top style="thin">
        <color theme="1"/>
      </top>
      <bottom style="double">
        <color theme="1"/>
      </bottom>
      <diagonal/>
    </border>
    <border>
      <left/>
      <right style="medium">
        <color auto="1"/>
      </right>
      <top style="thin">
        <color indexed="64"/>
      </top>
      <bottom style="thin">
        <color auto="1"/>
      </bottom>
      <diagonal/>
    </border>
    <border>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thin">
        <color auto="1"/>
      </left>
      <right/>
      <top style="medium">
        <color indexed="64"/>
      </top>
      <bottom/>
      <diagonal/>
    </border>
    <border>
      <left/>
      <right style="medium">
        <color indexed="64"/>
      </right>
      <top style="medium">
        <color indexed="64"/>
      </top>
      <bottom/>
      <diagonal/>
    </border>
    <border>
      <left/>
      <right style="medium">
        <color auto="1"/>
      </right>
      <top/>
      <bottom style="thin">
        <color auto="1"/>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auto="1"/>
      </right>
      <top style="medium">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diagonal/>
    </border>
    <border>
      <left/>
      <right/>
      <top style="dotted">
        <color theme="1" tint="0.499984740745262"/>
      </top>
      <bottom/>
      <diagonal/>
    </border>
    <border>
      <left style="medium">
        <color indexed="64"/>
      </left>
      <right/>
      <top/>
      <bottom style="thin">
        <color indexed="64"/>
      </bottom>
      <diagonal/>
    </border>
    <border>
      <left/>
      <right/>
      <top style="medium">
        <color indexed="64"/>
      </top>
      <bottom style="thin">
        <color theme="1"/>
      </bottom>
      <diagonal/>
    </border>
    <border>
      <left style="thin">
        <color theme="4"/>
      </left>
      <right/>
      <top style="thin">
        <color indexed="64"/>
      </top>
      <bottom style="thin">
        <color theme="1"/>
      </bottom>
      <diagonal/>
    </border>
    <border>
      <left style="thin">
        <color theme="4"/>
      </left>
      <right/>
      <top style="thin">
        <color theme="1"/>
      </top>
      <bottom style="thin">
        <color indexed="64"/>
      </bottom>
      <diagonal/>
    </border>
    <border>
      <left/>
      <right/>
      <top style="thin">
        <color theme="1"/>
      </top>
      <bottom style="thin">
        <color indexed="64"/>
      </bottom>
      <diagonal/>
    </border>
    <border>
      <left style="thin">
        <color rgb="FF92D050"/>
      </left>
      <right/>
      <top/>
      <bottom style="dashed">
        <color rgb="FFB2B2B2"/>
      </bottom>
      <diagonal/>
    </border>
    <border>
      <left/>
      <right style="medium">
        <color rgb="FF0D776E"/>
      </right>
      <top/>
      <bottom style="dashed">
        <color rgb="FFB2B2B2"/>
      </bottom>
      <diagonal/>
    </border>
    <border>
      <left style="thin">
        <color rgb="FFFFC000"/>
      </left>
      <right style="thin">
        <color rgb="FFFFC000"/>
      </right>
      <top/>
      <bottom/>
      <diagonal/>
    </border>
    <border>
      <left style="thin">
        <color rgb="FFC0C0C0"/>
      </left>
      <right style="medium">
        <color rgb="FF0D776E"/>
      </right>
      <top style="thin">
        <color rgb="FFC0C0C0"/>
      </top>
      <bottom/>
      <diagonal/>
    </border>
    <border>
      <left style="medium">
        <color indexed="64"/>
      </left>
      <right/>
      <top style="medium">
        <color indexed="64"/>
      </top>
      <bottom style="thin">
        <color indexed="64"/>
      </bottom>
      <diagonal/>
    </border>
    <border>
      <left style="thin">
        <color rgb="FFFFC000"/>
      </left>
      <right/>
      <top/>
      <bottom style="thin">
        <color theme="1"/>
      </bottom>
      <diagonal/>
    </border>
    <border>
      <left style="thin">
        <color theme="4"/>
      </left>
      <right/>
      <top style="thin">
        <color theme="1"/>
      </top>
      <bottom style="thin">
        <color rgb="FFFF0000"/>
      </bottom>
      <diagonal/>
    </border>
    <border>
      <left/>
      <right/>
      <top style="thin">
        <color theme="1"/>
      </top>
      <bottom style="thin">
        <color rgb="FFFF0000"/>
      </bottom>
      <diagonal/>
    </border>
    <border>
      <left/>
      <right style="thin">
        <color rgb="FFC0C0C0"/>
      </right>
      <top style="thin">
        <color theme="1"/>
      </top>
      <bottom style="thin">
        <color rgb="FFFF0000"/>
      </bottom>
      <diagonal/>
    </border>
    <border>
      <left style="thin">
        <color theme="1"/>
      </left>
      <right/>
      <top style="thin">
        <color theme="1"/>
      </top>
      <bottom style="thin">
        <color theme="1"/>
      </bottom>
      <diagonal/>
    </border>
    <border>
      <left/>
      <right style="medium">
        <color theme="1"/>
      </right>
      <top style="thin">
        <color theme="1"/>
      </top>
      <bottom style="thin">
        <color theme="1"/>
      </bottom>
      <diagonal/>
    </border>
    <border>
      <left style="thin">
        <color theme="1"/>
      </left>
      <right/>
      <top style="thin">
        <color theme="1"/>
      </top>
      <bottom style="medium">
        <color theme="1"/>
      </bottom>
      <diagonal/>
    </border>
    <border>
      <left/>
      <right/>
      <top style="thin">
        <color theme="1"/>
      </top>
      <bottom style="medium">
        <color theme="1"/>
      </bottom>
      <diagonal/>
    </border>
    <border>
      <left/>
      <right style="medium">
        <color theme="1"/>
      </right>
      <top style="thin">
        <color theme="1"/>
      </top>
      <bottom style="medium">
        <color theme="1"/>
      </bottom>
      <diagonal/>
    </border>
    <border>
      <left style="medium">
        <color rgb="FF0D776E"/>
      </left>
      <right/>
      <top style="thin">
        <color theme="1"/>
      </top>
      <bottom style="thin">
        <color indexed="64"/>
      </bottom>
      <diagonal/>
    </border>
    <border>
      <left style="thin">
        <color theme="4"/>
      </left>
      <right style="thin">
        <color theme="4"/>
      </right>
      <top style="thin">
        <color theme="1"/>
      </top>
      <bottom style="thin">
        <color indexed="64"/>
      </bottom>
      <diagonal/>
    </border>
    <border>
      <left style="thin">
        <color theme="4"/>
      </left>
      <right style="thin">
        <color theme="4"/>
      </right>
      <top style="thin">
        <color theme="1"/>
      </top>
      <bottom style="medium">
        <color rgb="FF0D776E"/>
      </bottom>
      <diagonal/>
    </border>
    <border>
      <left style="thin">
        <color rgb="FF92D050"/>
      </left>
      <right style="thin">
        <color rgb="FF92D050"/>
      </right>
      <top style="double">
        <color theme="1"/>
      </top>
      <bottom style="thin">
        <color rgb="FF92D050"/>
      </bottom>
      <diagonal/>
    </border>
    <border>
      <left/>
      <right style="medium">
        <color rgb="FF0D776E"/>
      </right>
      <top style="thin">
        <color theme="1"/>
      </top>
      <bottom style="thin">
        <color indexed="64"/>
      </bottom>
      <diagonal/>
    </border>
    <border>
      <left/>
      <right style="thick">
        <color auto="1"/>
      </right>
      <top style="thin">
        <color indexed="64"/>
      </top>
      <bottom style="thin">
        <color indexed="64"/>
      </bottom>
      <diagonal/>
    </border>
    <border>
      <left/>
      <right style="thick">
        <color auto="1"/>
      </right>
      <top style="medium">
        <color theme="0"/>
      </top>
      <bottom style="thin">
        <color auto="1"/>
      </bottom>
      <diagonal/>
    </border>
    <border>
      <left/>
      <right style="thick">
        <color auto="1"/>
      </right>
      <top style="thin">
        <color indexed="64"/>
      </top>
      <bottom style="double">
        <color indexed="64"/>
      </bottom>
      <diagonal/>
    </border>
    <border>
      <left/>
      <right style="thick">
        <color auto="1"/>
      </right>
      <top style="thin">
        <color indexed="64"/>
      </top>
      <bottom/>
      <diagonal/>
    </border>
    <border>
      <left/>
      <right style="thick">
        <color auto="1"/>
      </right>
      <top/>
      <bottom/>
      <diagonal/>
    </border>
    <border>
      <left/>
      <right style="thick">
        <color auto="1"/>
      </right>
      <top/>
      <bottom style="thin">
        <color indexed="64"/>
      </bottom>
      <diagonal/>
    </border>
    <border>
      <left/>
      <right style="thick">
        <color auto="1"/>
      </right>
      <top style="double">
        <color indexed="64"/>
      </top>
      <bottom style="double">
        <color indexed="64"/>
      </bottom>
      <diagonal/>
    </border>
    <border>
      <left/>
      <right style="thick">
        <color auto="1"/>
      </right>
      <top style="double">
        <color indexed="64"/>
      </top>
      <bottom style="thin">
        <color auto="1"/>
      </bottom>
      <diagonal/>
    </border>
    <border>
      <left style="thin">
        <color rgb="FFFFC000"/>
      </left>
      <right/>
      <top style="thin">
        <color theme="1"/>
      </top>
      <bottom style="thin">
        <color rgb="FFFFC000"/>
      </bottom>
      <diagonal/>
    </border>
    <border>
      <left style="thin">
        <color rgb="FFFFC000"/>
      </left>
      <right/>
      <top style="thin">
        <color rgb="FFFFC000"/>
      </top>
      <bottom style="thin">
        <color theme="1"/>
      </bottom>
      <diagonal/>
    </border>
    <border>
      <left style="medium">
        <color rgb="FF0D776E"/>
      </left>
      <right style="medium">
        <color rgb="FF0D776E"/>
      </right>
      <top style="thin">
        <color rgb="FF0D776E"/>
      </top>
      <bottom style="thin">
        <color rgb="FF0D776E"/>
      </bottom>
      <diagonal/>
    </border>
    <border>
      <left style="thin">
        <color theme="4"/>
      </left>
      <right style="thin">
        <color theme="4"/>
      </right>
      <top style="thin">
        <color theme="1"/>
      </top>
      <bottom style="thin">
        <color rgb="FF0D776E"/>
      </bottom>
      <diagonal/>
    </border>
    <border>
      <left style="thin">
        <color theme="4"/>
      </left>
      <right style="thin">
        <color theme="4"/>
      </right>
      <top style="thin">
        <color theme="1"/>
      </top>
      <bottom style="thin">
        <color rgb="FF92D050"/>
      </bottom>
      <diagonal/>
    </border>
    <border>
      <left style="thin">
        <color theme="4"/>
      </left>
      <right style="thin">
        <color theme="4"/>
      </right>
      <top style="thin">
        <color theme="1"/>
      </top>
      <bottom style="double">
        <color auto="1"/>
      </bottom>
      <diagonal/>
    </border>
    <border>
      <left style="thin">
        <color theme="4"/>
      </left>
      <right style="thin">
        <color theme="4"/>
      </right>
      <top style="thin">
        <color auto="1"/>
      </top>
      <bottom style="thin">
        <color theme="1"/>
      </bottom>
      <diagonal/>
    </border>
    <border>
      <left style="thin">
        <color theme="4"/>
      </left>
      <right/>
      <top style="thin">
        <color theme="1"/>
      </top>
      <bottom style="thin">
        <color rgb="FF0D776E"/>
      </bottom>
      <diagonal/>
    </border>
    <border>
      <left/>
      <right/>
      <top style="thin">
        <color theme="1"/>
      </top>
      <bottom style="thin">
        <color rgb="FF0D776E"/>
      </bottom>
      <diagonal/>
    </border>
    <border>
      <left style="thin">
        <color theme="4"/>
      </left>
      <right/>
      <top style="thin">
        <color rgb="FF0D776E"/>
      </top>
      <bottom style="thin">
        <color rgb="FF0D776E"/>
      </bottom>
      <diagonal/>
    </border>
    <border>
      <left/>
      <right/>
      <top style="thin">
        <color rgb="FF0D776E"/>
      </top>
      <bottom style="thin">
        <color rgb="FF0D776E"/>
      </bottom>
      <diagonal/>
    </border>
    <border>
      <left/>
      <right style="thick">
        <color auto="1"/>
      </right>
      <top/>
      <bottom style="double">
        <color indexed="64"/>
      </bottom>
      <diagonal/>
    </border>
    <border>
      <left style="thin">
        <color indexed="64"/>
      </left>
      <right/>
      <top style="double">
        <color indexed="64"/>
      </top>
      <bottom style="medium">
        <color theme="0"/>
      </bottom>
      <diagonal/>
    </border>
    <border>
      <left/>
      <right style="thick">
        <color auto="1"/>
      </right>
      <top style="double">
        <color indexed="64"/>
      </top>
      <bottom style="medium">
        <color theme="0"/>
      </bottom>
      <diagonal/>
    </border>
    <border>
      <left style="thick">
        <color auto="1"/>
      </left>
      <right/>
      <top style="medium">
        <color theme="0"/>
      </top>
      <bottom/>
      <diagonal/>
    </border>
    <border>
      <left/>
      <right style="thin">
        <color theme="1"/>
      </right>
      <top style="thin">
        <color theme="1"/>
      </top>
      <bottom style="thin">
        <color theme="1"/>
      </bottom>
      <diagonal/>
    </border>
    <border>
      <left style="thick">
        <color auto="1"/>
      </left>
      <right style="thin">
        <color theme="1"/>
      </right>
      <top style="thin">
        <color theme="1"/>
      </top>
      <bottom/>
      <diagonal/>
    </border>
    <border>
      <left style="thin">
        <color theme="1"/>
      </left>
      <right style="thin">
        <color theme="1"/>
      </right>
      <top style="thin">
        <color theme="1"/>
      </top>
      <bottom style="double">
        <color theme="1"/>
      </bottom>
      <diagonal/>
    </border>
    <border>
      <left style="thin">
        <color theme="1"/>
      </left>
      <right/>
      <top style="thin">
        <color theme="1"/>
      </top>
      <bottom style="double">
        <color theme="1"/>
      </bottom>
      <diagonal/>
    </border>
    <border>
      <left style="thin">
        <color theme="1"/>
      </left>
      <right style="thin">
        <color theme="1"/>
      </right>
      <top style="double">
        <color theme="1"/>
      </top>
      <bottom style="thin">
        <color theme="1"/>
      </bottom>
      <diagonal/>
    </border>
    <border>
      <left style="thin">
        <color theme="1"/>
      </left>
      <right/>
      <top style="double">
        <color theme="1"/>
      </top>
      <bottom style="thin">
        <color theme="1"/>
      </bottom>
      <diagonal/>
    </border>
    <border>
      <left style="thin">
        <color theme="1"/>
      </left>
      <right style="thin">
        <color theme="1"/>
      </right>
      <top style="double">
        <color theme="1"/>
      </top>
      <bottom style="double">
        <color theme="1"/>
      </bottom>
      <diagonal/>
    </border>
    <border>
      <left style="thin">
        <color theme="1"/>
      </left>
      <right style="thin">
        <color theme="1"/>
      </right>
      <top style="double">
        <color theme="1"/>
      </top>
      <bottom/>
      <diagonal/>
    </border>
    <border>
      <left style="thin">
        <color theme="1"/>
      </left>
      <right/>
      <top style="double">
        <color theme="1"/>
      </top>
      <bottom/>
      <diagonal/>
    </border>
    <border>
      <left style="thin">
        <color theme="1"/>
      </left>
      <right/>
      <top style="double">
        <color theme="1"/>
      </top>
      <bottom style="double">
        <color theme="1"/>
      </bottom>
      <diagonal/>
    </border>
    <border>
      <left style="thin">
        <color theme="1"/>
      </left>
      <right/>
      <top style="thin">
        <color theme="1"/>
      </top>
      <bottom/>
      <diagonal/>
    </border>
    <border>
      <left style="thin">
        <color theme="1"/>
      </left>
      <right/>
      <top/>
      <bottom/>
      <diagonal/>
    </border>
    <border>
      <left style="thin">
        <color theme="1"/>
      </left>
      <right/>
      <top/>
      <bottom style="double">
        <color theme="1"/>
      </bottom>
      <diagonal/>
    </border>
    <border>
      <left style="thin">
        <color theme="1"/>
      </left>
      <right style="thin">
        <color theme="1"/>
      </right>
      <top/>
      <bottom style="thin">
        <color theme="1"/>
      </bottom>
      <diagonal/>
    </border>
    <border>
      <left style="thin">
        <color theme="1"/>
      </left>
      <right/>
      <top/>
      <bottom style="thin">
        <color theme="1"/>
      </bottom>
      <diagonal/>
    </border>
    <border>
      <left style="thin">
        <color theme="1"/>
      </left>
      <right style="thin">
        <color theme="1"/>
      </right>
      <top/>
      <bottom style="double">
        <color theme="1"/>
      </bottom>
      <diagonal/>
    </border>
    <border>
      <left/>
      <right/>
      <top style="thin">
        <color rgb="FFFFC000"/>
      </top>
      <bottom style="thin">
        <color theme="1"/>
      </bottom>
      <diagonal/>
    </border>
    <border>
      <left/>
      <right style="thin">
        <color rgb="FFFFC000"/>
      </right>
      <top style="thin">
        <color rgb="FFFFC000"/>
      </top>
      <bottom style="thin">
        <color theme="1"/>
      </bottom>
      <diagonal/>
    </border>
    <border>
      <left style="thin">
        <color theme="4"/>
      </left>
      <right/>
      <top/>
      <bottom style="thin">
        <color theme="4"/>
      </bottom>
      <diagonal/>
    </border>
    <border>
      <left style="thin">
        <color theme="4"/>
      </left>
      <right/>
      <top style="thin">
        <color theme="4"/>
      </top>
      <bottom style="thin">
        <color theme="1"/>
      </bottom>
      <diagonal/>
    </border>
    <border>
      <left/>
      <right/>
      <top style="thin">
        <color theme="4"/>
      </top>
      <bottom style="thin">
        <color theme="1"/>
      </bottom>
      <diagonal/>
    </border>
    <border>
      <left/>
      <right style="medium">
        <color rgb="FF0D776E"/>
      </right>
      <top style="thin">
        <color theme="1"/>
      </top>
      <bottom style="double">
        <color indexed="64"/>
      </bottom>
      <diagonal/>
    </border>
    <border>
      <left/>
      <right style="thin">
        <color rgb="FFFFC000"/>
      </right>
      <top/>
      <bottom style="thin">
        <color theme="1"/>
      </bottom>
      <diagonal/>
    </border>
    <border>
      <left/>
      <right style="medium">
        <color rgb="FF006666"/>
      </right>
      <top/>
      <bottom style="thin">
        <color theme="1"/>
      </bottom>
      <diagonal/>
    </border>
    <border>
      <left/>
      <right style="medium">
        <color rgb="FF006666"/>
      </right>
      <top style="thin">
        <color indexed="64"/>
      </top>
      <bottom/>
      <diagonal/>
    </border>
    <border>
      <left style="thin">
        <color rgb="FF92D050"/>
      </left>
      <right style="thin">
        <color rgb="FF92D050"/>
      </right>
      <top style="thin">
        <color theme="1"/>
      </top>
      <bottom style="thin">
        <color theme="4"/>
      </bottom>
      <diagonal/>
    </border>
    <border>
      <left/>
      <right style="medium">
        <color rgb="FF0D776E"/>
      </right>
      <top style="dotted">
        <color theme="1"/>
      </top>
      <bottom/>
      <diagonal/>
    </border>
    <border>
      <left/>
      <right/>
      <top style="dotted">
        <color theme="1"/>
      </top>
      <bottom/>
      <diagonal/>
    </border>
    <border>
      <left/>
      <right/>
      <top style="dotted">
        <color auto="1"/>
      </top>
      <bottom/>
      <diagonal/>
    </border>
    <border>
      <left style="medium">
        <color indexed="64"/>
      </left>
      <right/>
      <top/>
      <bottom style="thin">
        <color rgb="FFFFC000"/>
      </bottom>
      <diagonal/>
    </border>
    <border>
      <left/>
      <right/>
      <top style="thin">
        <color theme="4"/>
      </top>
      <bottom style="thin">
        <color indexed="64"/>
      </bottom>
      <diagonal/>
    </border>
    <border>
      <left/>
      <right/>
      <top style="thin">
        <color indexed="64"/>
      </top>
      <bottom style="thin">
        <color theme="4"/>
      </bottom>
      <diagonal/>
    </border>
    <border>
      <left/>
      <right/>
      <top style="thin">
        <color theme="4"/>
      </top>
      <bottom style="double">
        <color auto="1"/>
      </bottom>
      <diagonal/>
    </border>
    <border>
      <left style="thin">
        <color theme="4"/>
      </left>
      <right style="thin">
        <color theme="4"/>
      </right>
      <top style="double">
        <color theme="1"/>
      </top>
      <bottom style="thin">
        <color theme="1"/>
      </bottom>
      <diagonal/>
    </border>
    <border>
      <left style="thin">
        <color theme="4"/>
      </left>
      <right style="thin">
        <color theme="4"/>
      </right>
      <top style="thin">
        <color theme="1"/>
      </top>
      <bottom style="thin">
        <color rgb="FFFF0000"/>
      </bottom>
      <diagonal/>
    </border>
    <border>
      <left/>
      <right style="medium">
        <color rgb="FF006666"/>
      </right>
      <top style="double">
        <color theme="1"/>
      </top>
      <bottom/>
      <diagonal/>
    </border>
    <border>
      <left/>
      <right style="medium">
        <color rgb="FF006666"/>
      </right>
      <top/>
      <bottom style="double">
        <color theme="1"/>
      </bottom>
      <diagonal/>
    </border>
    <border>
      <left style="thin">
        <color rgb="FF92D050"/>
      </left>
      <right/>
      <top style="thin">
        <color theme="1"/>
      </top>
      <bottom style="double">
        <color auto="1"/>
      </bottom>
      <diagonal/>
    </border>
    <border>
      <left style="thin">
        <color rgb="FF92D050"/>
      </left>
      <right/>
      <top/>
      <bottom style="thin">
        <color theme="1"/>
      </bottom>
      <diagonal/>
    </border>
    <border>
      <left style="thin">
        <color rgb="FF92D050"/>
      </left>
      <right/>
      <top style="thin">
        <color theme="1"/>
      </top>
      <bottom style="double">
        <color theme="1"/>
      </bottom>
      <diagonal/>
    </border>
    <border>
      <left style="thin">
        <color rgb="FF92D050"/>
      </left>
      <right/>
      <top/>
      <bottom style="double">
        <color theme="1"/>
      </bottom>
      <diagonal/>
    </border>
    <border>
      <left/>
      <right style="thin">
        <color theme="4"/>
      </right>
      <top style="dotted">
        <color theme="0" tint="-0.34998626667073579"/>
      </top>
      <bottom style="dotted">
        <color theme="0" tint="-0.34998626667073579"/>
      </bottom>
      <diagonal/>
    </border>
    <border>
      <left/>
      <right style="medium">
        <color rgb="FF0D776E"/>
      </right>
      <top/>
      <bottom style="thin">
        <color rgb="FF0D776E"/>
      </bottom>
      <diagonal/>
    </border>
    <border>
      <left style="thin">
        <color rgb="FFFFC000"/>
      </left>
      <right style="thin">
        <color rgb="FFFFC000"/>
      </right>
      <top style="thin">
        <color rgb="FFFFC000"/>
      </top>
      <bottom style="thin">
        <color rgb="FF0D776E"/>
      </bottom>
      <diagonal/>
    </border>
    <border>
      <left style="thin">
        <color rgb="FF92D050"/>
      </left>
      <right/>
      <top style="thin">
        <color rgb="FF0D776E"/>
      </top>
      <bottom style="thin">
        <color theme="4"/>
      </bottom>
      <diagonal/>
    </border>
    <border>
      <left/>
      <right/>
      <top style="thin">
        <color rgb="FF0D776E"/>
      </top>
      <bottom style="thin">
        <color theme="4"/>
      </bottom>
      <diagonal/>
    </border>
    <border>
      <left style="thin">
        <color rgb="FF92D050"/>
      </left>
      <right/>
      <top style="thin">
        <color theme="1"/>
      </top>
      <bottom style="thin">
        <color theme="4"/>
      </bottom>
      <diagonal/>
    </border>
    <border>
      <left/>
      <right/>
      <top style="thin">
        <color theme="1"/>
      </top>
      <bottom style="thin">
        <color theme="4"/>
      </bottom>
      <diagonal/>
    </border>
    <border>
      <left/>
      <right style="thin">
        <color theme="4"/>
      </right>
      <top/>
      <bottom style="dotted">
        <color theme="1"/>
      </bottom>
      <diagonal/>
    </border>
    <border>
      <left style="medium">
        <color theme="1"/>
      </left>
      <right/>
      <top style="medium">
        <color theme="1"/>
      </top>
      <bottom style="thin">
        <color theme="1"/>
      </bottom>
      <diagonal/>
    </border>
    <border>
      <left/>
      <right style="thin">
        <color theme="1"/>
      </right>
      <top style="medium">
        <color theme="1"/>
      </top>
      <bottom style="thin">
        <color theme="1"/>
      </bottom>
      <diagonal/>
    </border>
    <border>
      <left/>
      <right/>
      <top/>
      <bottom style="dotted">
        <color theme="1"/>
      </bottom>
      <diagonal/>
    </border>
    <border>
      <left style="thin">
        <color rgb="FFFFC000"/>
      </left>
      <right/>
      <top/>
      <bottom style="dotted">
        <color theme="1"/>
      </bottom>
      <diagonal/>
    </border>
    <border>
      <left/>
      <right style="thin">
        <color rgb="FFFFC000"/>
      </right>
      <top style="thin">
        <color rgb="FFFFC000"/>
      </top>
      <bottom style="dotted">
        <color theme="1"/>
      </bottom>
      <diagonal/>
    </border>
    <border>
      <left/>
      <right style="medium">
        <color rgb="FF0D776E"/>
      </right>
      <top/>
      <bottom style="dotted">
        <color theme="1"/>
      </bottom>
      <diagonal/>
    </border>
    <border>
      <left style="thin">
        <color rgb="FFFFC000"/>
      </left>
      <right/>
      <top style="medium">
        <color theme="1"/>
      </top>
      <bottom style="thin">
        <color rgb="FF0D776E"/>
      </bottom>
      <diagonal/>
    </border>
    <border>
      <left/>
      <right/>
      <top style="medium">
        <color theme="1"/>
      </top>
      <bottom style="thin">
        <color rgb="FF0D776E"/>
      </bottom>
      <diagonal/>
    </border>
    <border>
      <left/>
      <right style="thin">
        <color rgb="FFFFC000"/>
      </right>
      <top style="medium">
        <color theme="1"/>
      </top>
      <bottom style="thin">
        <color rgb="FF0D776E"/>
      </bottom>
      <diagonal/>
    </border>
    <border>
      <left/>
      <right/>
      <top style="medium">
        <color theme="1"/>
      </top>
      <bottom style="thin">
        <color theme="1"/>
      </bottom>
      <diagonal/>
    </border>
    <border>
      <left style="thin">
        <color theme="4"/>
      </left>
      <right style="thin">
        <color theme="4"/>
      </right>
      <top style="thin">
        <color theme="4"/>
      </top>
      <bottom style="thin">
        <color rgb="FF0D776E"/>
      </bottom>
      <diagonal/>
    </border>
    <border>
      <left style="medium">
        <color theme="1"/>
      </left>
      <right/>
      <top style="thin">
        <color theme="1"/>
      </top>
      <bottom style="thin">
        <color theme="1"/>
      </bottom>
      <diagonal/>
    </border>
    <border>
      <left style="thin">
        <color theme="1"/>
      </left>
      <right/>
      <top style="medium">
        <color theme="1"/>
      </top>
      <bottom style="thin">
        <color theme="1"/>
      </bottom>
      <diagonal/>
    </border>
    <border>
      <left/>
      <right style="medium">
        <color theme="1"/>
      </right>
      <top style="medium">
        <color theme="1"/>
      </top>
      <bottom style="thin">
        <color theme="1"/>
      </bottom>
      <diagonal/>
    </border>
    <border>
      <left/>
      <right style="thin">
        <color theme="1"/>
      </right>
      <top style="thin">
        <color theme="1"/>
      </top>
      <bottom style="medium">
        <color theme="1"/>
      </bottom>
      <diagonal/>
    </border>
    <border>
      <left style="thick">
        <color auto="1"/>
      </left>
      <right/>
      <top style="medium">
        <color theme="0"/>
      </top>
      <bottom style="thin">
        <color auto="1"/>
      </bottom>
      <diagonal/>
    </border>
    <border>
      <left/>
      <right/>
      <top style="medium">
        <color theme="0"/>
      </top>
      <bottom style="thin">
        <color auto="1"/>
      </bottom>
      <diagonal/>
    </border>
    <border>
      <left/>
      <right style="thick">
        <color auto="1"/>
      </right>
      <top style="medium">
        <color indexed="64"/>
      </top>
      <bottom style="thin">
        <color indexed="64"/>
      </bottom>
      <diagonal/>
    </border>
    <border>
      <left style="thin">
        <color theme="4"/>
      </left>
      <right style="thin">
        <color auto="1"/>
      </right>
      <top style="double">
        <color auto="1"/>
      </top>
      <bottom style="thin">
        <color indexed="64"/>
      </bottom>
      <diagonal/>
    </border>
    <border>
      <left style="thin">
        <color indexed="64"/>
      </left>
      <right style="thin">
        <color indexed="64"/>
      </right>
      <top style="thin">
        <color indexed="64"/>
      </top>
      <bottom style="thin">
        <color theme="1"/>
      </bottom>
      <diagonal/>
    </border>
    <border>
      <left/>
      <right style="thin">
        <color theme="4"/>
      </right>
      <top style="double">
        <color theme="1"/>
      </top>
      <bottom style="double">
        <color theme="1"/>
      </bottom>
      <diagonal/>
    </border>
    <border>
      <left/>
      <right style="thick">
        <color auto="1"/>
      </right>
      <top style="double">
        <color indexed="64"/>
      </top>
      <bottom/>
      <diagonal/>
    </border>
    <border>
      <left/>
      <right style="thick">
        <color auto="1"/>
      </right>
      <top style="thin">
        <color indexed="64"/>
      </top>
      <bottom style="medium">
        <color theme="0"/>
      </bottom>
      <diagonal/>
    </border>
    <border>
      <left style="thin">
        <color theme="0" tint="-0.24994659260841701"/>
      </left>
      <right style="medium">
        <color rgb="FF0D776E"/>
      </right>
      <top style="thin">
        <color theme="1"/>
      </top>
      <bottom style="thin">
        <color theme="1"/>
      </bottom>
      <diagonal/>
    </border>
    <border>
      <left/>
      <right style="thin">
        <color theme="0" tint="-0.24994659260841701"/>
      </right>
      <top style="double">
        <color auto="1"/>
      </top>
      <bottom/>
      <diagonal/>
    </border>
    <border>
      <left/>
      <right style="thin">
        <color theme="0" tint="-0.24994659260841701"/>
      </right>
      <top/>
      <bottom/>
      <diagonal/>
    </border>
    <border>
      <left/>
      <right/>
      <top style="thin">
        <color rgb="FF0D776E"/>
      </top>
      <bottom style="double">
        <color theme="1"/>
      </bottom>
      <diagonal/>
    </border>
    <border>
      <left style="thin">
        <color rgb="FF0070C0"/>
      </left>
      <right/>
      <top/>
      <bottom style="medium">
        <color rgb="FF0D776E"/>
      </bottom>
      <diagonal/>
    </border>
    <border>
      <left/>
      <right style="thin">
        <color rgb="FFC0C0C0"/>
      </right>
      <top/>
      <bottom style="medium">
        <color rgb="FF0D776E"/>
      </bottom>
      <diagonal/>
    </border>
    <border>
      <left/>
      <right style="thick">
        <color auto="1"/>
      </right>
      <top style="medium">
        <color theme="0"/>
      </top>
      <bottom style="medium">
        <color theme="0"/>
      </bottom>
      <diagonal/>
    </border>
    <border>
      <left/>
      <right style="thick">
        <color auto="1"/>
      </right>
      <top style="medium">
        <color theme="0"/>
      </top>
      <bottom/>
      <diagonal/>
    </border>
    <border>
      <left/>
      <right style="thick">
        <color auto="1"/>
      </right>
      <top style="thin">
        <color theme="1"/>
      </top>
      <bottom style="thin">
        <color theme="1"/>
      </bottom>
      <diagonal/>
    </border>
    <border>
      <left style="thick">
        <color auto="1"/>
      </left>
      <right/>
      <top/>
      <bottom style="double">
        <color theme="1"/>
      </bottom>
      <diagonal/>
    </border>
    <border>
      <left/>
      <right style="thick">
        <color auto="1"/>
      </right>
      <top style="thin">
        <color theme="1"/>
      </top>
      <bottom style="double">
        <color theme="1"/>
      </bottom>
      <diagonal/>
    </border>
    <border>
      <left style="thick">
        <color auto="1"/>
      </left>
      <right style="thin">
        <color theme="1"/>
      </right>
      <top style="double">
        <color theme="1"/>
      </top>
      <bottom/>
      <diagonal/>
    </border>
    <border>
      <left/>
      <right style="thick">
        <color auto="1"/>
      </right>
      <top style="double">
        <color theme="1"/>
      </top>
      <bottom/>
      <diagonal/>
    </border>
    <border>
      <left style="thick">
        <color auto="1"/>
      </left>
      <right style="thin">
        <color theme="1"/>
      </right>
      <top style="double">
        <color theme="1"/>
      </top>
      <bottom style="thin">
        <color theme="1"/>
      </bottom>
      <diagonal/>
    </border>
    <border>
      <left/>
      <right style="thick">
        <color auto="1"/>
      </right>
      <top style="double">
        <color theme="1"/>
      </top>
      <bottom style="thin">
        <color theme="1"/>
      </bottom>
      <diagonal/>
    </border>
    <border>
      <left style="thick">
        <color auto="1"/>
      </left>
      <right style="thin">
        <color theme="1"/>
      </right>
      <top style="thin">
        <color theme="1"/>
      </top>
      <bottom style="thin">
        <color theme="1"/>
      </bottom>
      <diagonal/>
    </border>
    <border>
      <left style="thick">
        <color auto="1"/>
      </left>
      <right style="thin">
        <color theme="1"/>
      </right>
      <top style="thin">
        <color theme="1"/>
      </top>
      <bottom style="double">
        <color theme="1"/>
      </bottom>
      <diagonal/>
    </border>
    <border>
      <left style="thick">
        <color auto="1"/>
      </left>
      <right style="thin">
        <color theme="1"/>
      </right>
      <top style="double">
        <color theme="1"/>
      </top>
      <bottom style="double">
        <color theme="1"/>
      </bottom>
      <diagonal/>
    </border>
    <border>
      <left/>
      <right style="thick">
        <color auto="1"/>
      </right>
      <top style="double">
        <color theme="1"/>
      </top>
      <bottom style="double">
        <color theme="1"/>
      </bottom>
      <diagonal/>
    </border>
    <border>
      <left/>
      <right style="thick">
        <color auto="1"/>
      </right>
      <top style="thin">
        <color theme="1"/>
      </top>
      <bottom/>
      <diagonal/>
    </border>
    <border>
      <left/>
      <right style="thick">
        <color auto="1"/>
      </right>
      <top/>
      <bottom style="double">
        <color theme="1"/>
      </bottom>
      <diagonal/>
    </border>
    <border>
      <left style="thick">
        <color auto="1"/>
      </left>
      <right style="thin">
        <color theme="1"/>
      </right>
      <top/>
      <bottom style="thin">
        <color theme="1"/>
      </bottom>
      <diagonal/>
    </border>
    <border>
      <left/>
      <right style="thick">
        <color auto="1"/>
      </right>
      <top/>
      <bottom style="thin">
        <color theme="1"/>
      </bottom>
      <diagonal/>
    </border>
    <border>
      <left style="thick">
        <color auto="1"/>
      </left>
      <right style="thin">
        <color theme="1"/>
      </right>
      <top/>
      <bottom style="double">
        <color theme="1"/>
      </bottom>
      <diagonal/>
    </border>
    <border>
      <left/>
      <right style="thick">
        <color auto="1"/>
      </right>
      <top/>
      <bottom style="thick">
        <color auto="1"/>
      </bottom>
      <diagonal/>
    </border>
    <border>
      <left/>
      <right/>
      <top style="thin">
        <color theme="4"/>
      </top>
      <bottom/>
      <diagonal/>
    </border>
    <border>
      <left style="thin">
        <color rgb="FFFFC000"/>
      </left>
      <right style="thin">
        <color rgb="FFFFC000"/>
      </right>
      <top style="medium">
        <color theme="1"/>
      </top>
      <bottom style="double">
        <color theme="1"/>
      </bottom>
      <diagonal/>
    </border>
    <border>
      <left style="thin">
        <color auto="1"/>
      </left>
      <right/>
      <top style="medium">
        <color theme="0"/>
      </top>
      <bottom style="double">
        <color indexed="64"/>
      </bottom>
      <diagonal/>
    </border>
    <border>
      <left/>
      <right style="thick">
        <color auto="1"/>
      </right>
      <top style="medium">
        <color theme="0"/>
      </top>
      <bottom style="double">
        <color indexed="64"/>
      </bottom>
      <diagonal/>
    </border>
    <border>
      <left style="thin">
        <color theme="4"/>
      </left>
      <right/>
      <top style="double">
        <color theme="1"/>
      </top>
      <bottom style="thin">
        <color theme="4"/>
      </bottom>
      <diagonal/>
    </border>
    <border>
      <left style="thin">
        <color theme="4"/>
      </left>
      <right/>
      <top style="thin">
        <color theme="4"/>
      </top>
      <bottom style="thin">
        <color rgb="FF0D776E"/>
      </bottom>
      <diagonal/>
    </border>
    <border>
      <left/>
      <right style="thin">
        <color indexed="64"/>
      </right>
      <top/>
      <bottom style="double">
        <color indexed="64"/>
      </bottom>
      <diagonal/>
    </border>
    <border>
      <left/>
      <right/>
      <top/>
      <bottom style="medium">
        <color theme="1"/>
      </bottom>
      <diagonal/>
    </border>
    <border>
      <left/>
      <right style="thin">
        <color theme="4"/>
      </right>
      <top/>
      <bottom style="thin">
        <color rgb="FF0D776E"/>
      </bottom>
      <diagonal/>
    </border>
    <border>
      <left style="thin">
        <color rgb="FF92D050"/>
      </left>
      <right style="thin">
        <color rgb="FF92D050"/>
      </right>
      <top style="dotted">
        <color theme="1"/>
      </top>
      <bottom style="thin">
        <color rgb="FF92D050"/>
      </bottom>
      <diagonal/>
    </border>
    <border>
      <left style="thin">
        <color rgb="FF92D050"/>
      </left>
      <right style="thin">
        <color rgb="FF92D050"/>
      </right>
      <top style="thin">
        <color rgb="FF92D050"/>
      </top>
      <bottom style="thin">
        <color theme="4"/>
      </bottom>
      <diagonal/>
    </border>
    <border>
      <left style="thin">
        <color theme="4"/>
      </left>
      <right/>
      <top/>
      <bottom style="dotted">
        <color theme="1" tint="0.499984740745262"/>
      </bottom>
      <diagonal/>
    </border>
    <border>
      <left/>
      <right/>
      <top/>
      <bottom style="dotted">
        <color theme="1" tint="0.499984740745262"/>
      </bottom>
      <diagonal/>
    </border>
    <border>
      <left/>
      <right style="thin">
        <color rgb="FFC0C0C0"/>
      </right>
      <top/>
      <bottom style="dotted">
        <color theme="1" tint="0.499984740745262"/>
      </bottom>
      <diagonal/>
    </border>
    <border>
      <left style="thin">
        <color indexed="64"/>
      </left>
      <right style="thin">
        <color indexed="64"/>
      </right>
      <top style="dotted">
        <color indexed="64"/>
      </top>
      <bottom style="thin">
        <color indexed="64"/>
      </bottom>
      <diagonal/>
    </border>
    <border>
      <left style="thin">
        <color indexed="64"/>
      </left>
      <right/>
      <top/>
      <bottom style="medium">
        <color theme="0"/>
      </bottom>
      <diagonal/>
    </border>
    <border>
      <left/>
      <right style="thick">
        <color auto="1"/>
      </right>
      <top/>
      <bottom style="medium">
        <color theme="0"/>
      </bottom>
      <diagonal/>
    </border>
    <border>
      <left style="thin">
        <color auto="1"/>
      </left>
      <right/>
      <top style="medium">
        <color theme="0"/>
      </top>
      <bottom style="thin">
        <color auto="1"/>
      </bottom>
      <diagonal/>
    </border>
    <border>
      <left/>
      <right style="thin">
        <color indexed="64"/>
      </right>
      <top style="thin">
        <color indexed="64"/>
      </top>
      <bottom style="double">
        <color indexed="64"/>
      </bottom>
      <diagonal/>
    </border>
    <border>
      <left style="thin">
        <color theme="4"/>
      </left>
      <right style="thin">
        <color theme="4"/>
      </right>
      <top style="double">
        <color theme="1"/>
      </top>
      <bottom style="double">
        <color indexed="64"/>
      </bottom>
      <diagonal/>
    </border>
    <border>
      <left style="thin">
        <color auto="1"/>
      </left>
      <right/>
      <top style="medium">
        <color theme="0"/>
      </top>
      <bottom/>
      <diagonal/>
    </border>
    <border>
      <left style="thin">
        <color rgb="FF92D050"/>
      </left>
      <right style="thin">
        <color rgb="FF92D050"/>
      </right>
      <top/>
      <bottom style="thin">
        <color rgb="FF92D050"/>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theme="0"/>
      </left>
      <right/>
      <top style="thick">
        <color auto="1"/>
      </top>
      <bottom/>
      <diagonal/>
    </border>
    <border>
      <left/>
      <right style="thick">
        <color auto="1"/>
      </right>
      <top style="thick">
        <color auto="1"/>
      </top>
      <bottom/>
      <diagonal/>
    </border>
    <border>
      <left style="thin">
        <color theme="6" tint="-0.499984740745262"/>
      </left>
      <right style="medium">
        <color rgb="FF0D776E"/>
      </right>
      <top style="medium">
        <color rgb="FF0D776E"/>
      </top>
      <bottom style="thin">
        <color theme="6" tint="-0.499984740745262"/>
      </bottom>
      <diagonal/>
    </border>
    <border>
      <left style="medium">
        <color rgb="FF0D776E"/>
      </left>
      <right/>
      <top style="thin">
        <color rgb="FF0D776E"/>
      </top>
      <bottom style="thin">
        <color rgb="FF0D776E"/>
      </bottom>
      <diagonal/>
    </border>
    <border>
      <left/>
      <right style="medium">
        <color rgb="FF0D776E"/>
      </right>
      <top style="thin">
        <color rgb="FF0D776E"/>
      </top>
      <bottom style="thin">
        <color rgb="FF0D776E"/>
      </bottom>
      <diagonal/>
    </border>
    <border>
      <left/>
      <right/>
      <top style="thin">
        <color rgb="FF92D050"/>
      </top>
      <bottom/>
      <diagonal/>
    </border>
    <border>
      <left/>
      <right/>
      <top/>
      <bottom style="thin">
        <color rgb="FF92D050"/>
      </bottom>
      <diagonal/>
    </border>
    <border>
      <left style="thin">
        <color theme="0"/>
      </left>
      <right/>
      <top/>
      <bottom style="thin">
        <color indexed="64"/>
      </bottom>
      <diagonal/>
    </border>
    <border>
      <left style="thin">
        <color theme="0"/>
      </left>
      <right style="thin">
        <color theme="0"/>
      </right>
      <top/>
      <bottom/>
      <diagonal/>
    </border>
    <border>
      <left style="thin">
        <color theme="0"/>
      </left>
      <right style="thin">
        <color theme="0"/>
      </right>
      <top style="thick">
        <color auto="1"/>
      </top>
      <bottom/>
      <diagonal/>
    </border>
    <border>
      <left style="thin">
        <color theme="0"/>
      </left>
      <right style="thin">
        <color theme="0"/>
      </right>
      <top/>
      <bottom style="thin">
        <color indexed="64"/>
      </bottom>
      <diagonal/>
    </border>
    <border>
      <left/>
      <right/>
      <top style="medium">
        <color theme="1"/>
      </top>
      <bottom style="thin">
        <color indexed="64"/>
      </bottom>
      <diagonal/>
    </border>
    <border>
      <left style="medium">
        <color rgb="FF0D776E"/>
      </left>
      <right/>
      <top/>
      <bottom style="thin">
        <color rgb="FF0D776E"/>
      </bottom>
      <diagonal/>
    </border>
    <border>
      <left/>
      <right style="thick">
        <color rgb="FF002060"/>
      </right>
      <top style="thin">
        <color indexed="64"/>
      </top>
      <bottom style="thin">
        <color auto="1"/>
      </bottom>
      <diagonal/>
    </border>
    <border>
      <left style="thin">
        <color theme="0"/>
      </left>
      <right/>
      <top style="thick">
        <color auto="1"/>
      </top>
      <bottom/>
      <diagonal/>
    </border>
    <border>
      <left style="thin">
        <color theme="0"/>
      </left>
      <right/>
      <top/>
      <bottom/>
      <diagonal/>
    </border>
    <border>
      <left/>
      <right style="thin">
        <color theme="0"/>
      </right>
      <top/>
      <bottom/>
      <diagonal/>
    </border>
    <border>
      <left/>
      <right/>
      <top style="thin">
        <color rgb="FF0D776E"/>
      </top>
      <bottom style="double">
        <color indexed="64"/>
      </bottom>
      <diagonal/>
    </border>
    <border>
      <left/>
      <right style="medium">
        <color rgb="FF0D776E"/>
      </right>
      <top style="thin">
        <color rgb="FF0D776E"/>
      </top>
      <bottom style="double">
        <color indexed="64"/>
      </bottom>
      <diagonal/>
    </border>
    <border>
      <left style="thin">
        <color theme="1"/>
      </left>
      <right style="thin">
        <color theme="1"/>
      </right>
      <top/>
      <bottom/>
      <diagonal/>
    </border>
    <border>
      <left style="thin">
        <color indexed="64"/>
      </left>
      <right style="thin">
        <color indexed="64"/>
      </right>
      <top/>
      <bottom style="medium">
        <color theme="0"/>
      </bottom>
      <diagonal/>
    </border>
    <border>
      <left style="thin">
        <color indexed="64"/>
      </left>
      <right style="thin">
        <color indexed="64"/>
      </right>
      <top style="medium">
        <color indexed="64"/>
      </top>
      <bottom/>
      <diagonal/>
    </border>
    <border>
      <left style="thin">
        <color indexed="64"/>
      </left>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style="thin">
        <color indexed="64"/>
      </right>
      <top style="thin">
        <color indexed="64"/>
      </top>
      <bottom/>
      <diagonal/>
    </border>
    <border>
      <left style="hair">
        <color indexed="64"/>
      </left>
      <right style="medium">
        <color indexed="64"/>
      </right>
      <top style="thin">
        <color indexed="64"/>
      </top>
      <bottom style="thin">
        <color indexed="64"/>
      </bottom>
      <diagonal/>
    </border>
    <border>
      <left style="hair">
        <color indexed="64"/>
      </left>
      <right style="thin">
        <color indexed="64"/>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thin">
        <color indexed="64"/>
      </top>
      <bottom/>
      <diagonal/>
    </border>
    <border>
      <left style="medium">
        <color indexed="64"/>
      </left>
      <right style="thin">
        <color auto="1"/>
      </right>
      <top/>
      <bottom style="thin">
        <color auto="1"/>
      </bottom>
      <diagonal/>
    </border>
    <border>
      <left/>
      <right style="medium">
        <color indexed="64"/>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auto="1"/>
      </top>
      <bottom style="medium">
        <color theme="0"/>
      </bottom>
      <diagonal/>
    </border>
    <border>
      <left/>
      <right/>
      <top style="thin">
        <color indexed="64"/>
      </top>
      <bottom style="thin">
        <color indexed="64"/>
      </bottom>
      <diagonal/>
    </border>
    <border>
      <left/>
      <right/>
      <top style="thin">
        <color indexed="64"/>
      </top>
      <bottom/>
      <diagonal/>
    </border>
    <border>
      <left style="thin">
        <color indexed="64"/>
      </left>
      <right style="thin">
        <color auto="1"/>
      </right>
      <top style="thin">
        <color indexed="64"/>
      </top>
      <bottom/>
      <diagonal/>
    </border>
    <border>
      <left/>
      <right/>
      <top style="thick">
        <color auto="1"/>
      </top>
      <bottom style="thick">
        <color auto="1"/>
      </bottom>
      <diagonal/>
    </border>
    <border>
      <left style="thin">
        <color indexed="64"/>
      </left>
      <right style="thin">
        <color indexed="64"/>
      </right>
      <top style="thin">
        <color indexed="64"/>
      </top>
      <bottom style="thin">
        <color indexed="64"/>
      </bottom>
      <diagonal/>
    </border>
    <border>
      <left style="thin">
        <color theme="1"/>
      </left>
      <right style="thin">
        <color indexed="64"/>
      </right>
      <top style="thin">
        <color theme="1"/>
      </top>
      <bottom style="thin">
        <color indexed="64"/>
      </bottom>
      <diagonal/>
    </border>
    <border>
      <left style="thin">
        <color theme="1"/>
      </left>
      <right style="thin">
        <color theme="1"/>
      </right>
      <top style="thin">
        <color theme="1"/>
      </top>
      <bottom style="thin">
        <color indexed="64"/>
      </bottom>
      <diagonal/>
    </border>
    <border>
      <left style="thin">
        <color indexed="64"/>
      </left>
      <right style="thin">
        <color indexed="64"/>
      </right>
      <top/>
      <bottom style="thin">
        <color theme="1"/>
      </bottom>
      <diagonal/>
    </border>
    <border>
      <left style="thin">
        <color indexed="64"/>
      </left>
      <right/>
      <top style="thin">
        <color indexed="64"/>
      </top>
      <bottom/>
      <diagonal/>
    </border>
    <border>
      <left/>
      <right style="thin">
        <color auto="1"/>
      </right>
      <top style="thin">
        <color indexed="64"/>
      </top>
      <bottom/>
      <diagonal/>
    </border>
    <border>
      <left/>
      <right style="thin">
        <color auto="1"/>
      </right>
      <top/>
      <bottom/>
      <diagonal/>
    </border>
    <border>
      <left/>
      <right style="thin">
        <color theme="1"/>
      </right>
      <top style="thin">
        <color theme="1"/>
      </top>
      <bottom/>
      <diagonal/>
    </border>
    <border>
      <left style="thin">
        <color auto="1"/>
      </left>
      <right style="thin">
        <color theme="1"/>
      </right>
      <top style="thin">
        <color theme="1"/>
      </top>
      <bottom/>
      <diagonal/>
    </border>
    <border>
      <left style="thin">
        <color theme="1"/>
      </left>
      <right style="thin">
        <color theme="1"/>
      </right>
      <top style="thin">
        <color auto="1"/>
      </top>
      <bottom/>
      <diagonal/>
    </border>
    <border>
      <left style="thin">
        <color theme="1"/>
      </left>
      <right style="thin">
        <color indexed="64"/>
      </right>
      <top/>
      <bottom style="double">
        <color theme="1"/>
      </bottom>
      <diagonal/>
    </border>
    <border>
      <left style="thin">
        <color theme="1"/>
      </left>
      <right style="thin">
        <color indexed="64"/>
      </right>
      <top style="thin">
        <color theme="1"/>
      </top>
      <bottom/>
      <diagonal/>
    </border>
    <border>
      <left style="thin">
        <color indexed="64"/>
      </left>
      <right style="thin">
        <color indexed="64"/>
      </right>
      <top/>
      <bottom style="double">
        <color theme="1"/>
      </bottom>
      <diagonal/>
    </border>
    <border>
      <left/>
      <right style="thin">
        <color auto="1"/>
      </right>
      <top style="thin">
        <color auto="1"/>
      </top>
      <bottom style="thin">
        <color auto="1"/>
      </bottom>
      <diagonal/>
    </border>
    <border>
      <left/>
      <right/>
      <top style="double">
        <color theme="1"/>
      </top>
      <bottom style="thin">
        <color theme="1"/>
      </bottom>
      <diagonal/>
    </border>
    <border>
      <left/>
      <right style="thin">
        <color theme="1"/>
      </right>
      <top style="double">
        <color theme="1"/>
      </top>
      <bottom style="thin">
        <color theme="1"/>
      </bottom>
      <diagonal/>
    </border>
    <border>
      <left/>
      <right/>
      <top style="double">
        <color theme="1"/>
      </top>
      <bottom style="thin">
        <color auto="1"/>
      </bottom>
      <diagonal/>
    </border>
    <border>
      <left/>
      <right style="thin">
        <color auto="1"/>
      </right>
      <top style="double">
        <color theme="1"/>
      </top>
      <bottom style="thin">
        <color auto="1"/>
      </bottom>
      <diagonal/>
    </border>
    <border>
      <left style="thin">
        <color indexed="64"/>
      </left>
      <right style="thin">
        <color indexed="64"/>
      </right>
      <top style="thin">
        <color theme="1"/>
      </top>
      <bottom style="thin">
        <color indexed="64"/>
      </bottom>
      <diagonal/>
    </border>
    <border>
      <left style="thin">
        <color indexed="64"/>
      </left>
      <right/>
      <top style="thin">
        <color indexed="64"/>
      </top>
      <bottom style="thin">
        <color indexed="64"/>
      </bottom>
      <diagonal/>
    </border>
    <border>
      <left style="thin">
        <color indexed="64"/>
      </left>
      <right style="thin">
        <color auto="1"/>
      </right>
      <top style="thin">
        <color indexed="64"/>
      </top>
      <bottom style="hair">
        <color indexed="64"/>
      </bottom>
      <diagonal/>
    </border>
    <border>
      <left style="thin">
        <color indexed="64"/>
      </left>
      <right style="thin">
        <color auto="1"/>
      </right>
      <top style="hair">
        <color indexed="64"/>
      </top>
      <bottom style="thin">
        <color auto="1"/>
      </bottom>
      <diagonal/>
    </border>
    <border>
      <left style="thin">
        <color indexed="64"/>
      </left>
      <right style="thin">
        <color auto="1"/>
      </right>
      <top style="hair">
        <color indexed="64"/>
      </top>
      <bottom style="hair">
        <color indexed="64"/>
      </bottom>
      <diagonal/>
    </border>
    <border>
      <left style="thin">
        <color theme="1"/>
      </left>
      <right/>
      <top style="thin">
        <color indexed="64"/>
      </top>
      <bottom/>
      <diagonal/>
    </border>
    <border>
      <left/>
      <right style="thin">
        <color theme="1"/>
      </right>
      <top style="thin">
        <color indexed="64"/>
      </top>
      <bottom/>
      <diagonal/>
    </border>
    <border>
      <left/>
      <right style="thin">
        <color theme="1"/>
      </right>
      <top/>
      <bottom style="double">
        <color theme="1"/>
      </bottom>
      <diagonal/>
    </border>
    <border>
      <left style="thin">
        <color theme="1"/>
      </left>
      <right/>
      <top style="thin">
        <color indexed="64"/>
      </top>
      <bottom style="double">
        <color theme="1"/>
      </bottom>
      <diagonal/>
    </border>
    <border>
      <left/>
      <right style="thin">
        <color theme="1"/>
      </right>
      <top style="thin">
        <color indexed="64"/>
      </top>
      <bottom style="double">
        <color theme="1"/>
      </bottom>
      <diagonal/>
    </border>
    <border>
      <left/>
      <right style="thin">
        <color theme="1"/>
      </right>
      <top style="double">
        <color theme="1"/>
      </top>
      <bottom/>
      <diagonal/>
    </border>
    <border>
      <left/>
      <right style="thin">
        <color theme="1"/>
      </right>
      <top/>
      <bottom style="thin">
        <color theme="1"/>
      </bottom>
      <diagonal/>
    </border>
    <border>
      <left style="thin">
        <color theme="1"/>
      </left>
      <right style="thin">
        <color auto="1"/>
      </right>
      <top style="double">
        <color theme="1"/>
      </top>
      <bottom/>
      <diagonal/>
    </border>
    <border>
      <left style="thin">
        <color auto="1"/>
      </left>
      <right style="thin">
        <color auto="1"/>
      </right>
      <top style="double">
        <color theme="1"/>
      </top>
      <bottom/>
      <diagonal/>
    </border>
    <border>
      <left/>
      <right style="thin">
        <color auto="1"/>
      </right>
      <top style="double">
        <color indexed="64"/>
      </top>
      <bottom style="double">
        <color indexed="64"/>
      </bottom>
      <diagonal/>
    </border>
    <border>
      <left/>
      <right style="thin">
        <color indexed="64"/>
      </right>
      <top/>
      <bottom style="medium">
        <color theme="0"/>
      </bottom>
      <diagonal/>
    </border>
    <border>
      <left/>
      <right style="thin">
        <color indexed="64"/>
      </right>
      <top style="double">
        <color indexed="64"/>
      </top>
      <bottom/>
      <diagonal/>
    </border>
    <border>
      <left style="thin">
        <color indexed="64"/>
      </left>
      <right style="thin">
        <color indexed="64"/>
      </right>
      <top style="double">
        <color indexed="64"/>
      </top>
      <bottom style="hair">
        <color indexed="64"/>
      </bottom>
      <diagonal/>
    </border>
    <border>
      <left style="thin">
        <color indexed="64"/>
      </left>
      <right style="thin">
        <color indexed="64"/>
      </right>
      <top style="hair">
        <color indexed="64"/>
      </top>
      <bottom/>
      <diagonal/>
    </border>
    <border>
      <left/>
      <right style="thin">
        <color indexed="64"/>
      </right>
      <top style="medium">
        <color theme="0"/>
      </top>
      <bottom style="double">
        <color indexed="64"/>
      </bottom>
      <diagonal/>
    </border>
    <border>
      <left style="thin">
        <color indexed="64"/>
      </left>
      <right style="thin">
        <color auto="1"/>
      </right>
      <top style="medium">
        <color theme="0"/>
      </top>
      <bottom/>
      <diagonal/>
    </border>
    <border>
      <left style="medium">
        <color indexed="64"/>
      </left>
      <right/>
      <top style="thin">
        <color indexed="64"/>
      </top>
      <bottom/>
      <diagonal/>
    </border>
    <border>
      <left style="hair">
        <color indexed="64"/>
      </left>
      <right/>
      <top style="thin">
        <color indexed="64"/>
      </top>
      <bottom style="thin">
        <color indexed="64"/>
      </bottom>
      <diagonal/>
    </border>
    <border>
      <left/>
      <right style="medium">
        <color auto="1"/>
      </right>
      <top style="thin">
        <color indexed="64"/>
      </top>
      <bottom style="thin">
        <color auto="1"/>
      </bottom>
      <diagonal/>
    </border>
    <border>
      <left style="thin">
        <color indexed="64"/>
      </left>
      <right style="medium">
        <color indexed="64"/>
      </right>
      <top style="thin">
        <color indexed="64"/>
      </top>
      <bottom/>
      <diagonal/>
    </border>
    <border>
      <left/>
      <right style="medium">
        <color indexed="64"/>
      </right>
      <top style="thin">
        <color auto="1"/>
      </top>
      <bottom/>
      <diagonal/>
    </border>
    <border>
      <left style="thin">
        <color indexed="64"/>
      </left>
      <right style="medium">
        <color auto="1"/>
      </right>
      <top style="thin">
        <color indexed="64"/>
      </top>
      <bottom style="thin">
        <color auto="1"/>
      </bottom>
      <diagonal/>
    </border>
    <border>
      <left/>
      <right style="thin">
        <color indexed="64"/>
      </right>
      <top style="medium">
        <color indexed="64"/>
      </top>
      <bottom/>
      <diagonal/>
    </border>
    <border>
      <left style="hair">
        <color indexed="64"/>
      </left>
      <right style="medium">
        <color indexed="64"/>
      </right>
      <top style="thin">
        <color indexed="64"/>
      </top>
      <bottom style="medium">
        <color indexed="64"/>
      </bottom>
      <diagonal/>
    </border>
    <border>
      <left/>
      <right style="medium">
        <color rgb="FF0D776E"/>
      </right>
      <top style="thin">
        <color indexed="64"/>
      </top>
      <bottom/>
      <diagonal/>
    </border>
    <border>
      <left/>
      <right/>
      <top/>
      <bottom style="thin">
        <color rgb="FFFF0000"/>
      </bottom>
      <diagonal/>
    </border>
    <border>
      <left style="thin">
        <color indexed="64"/>
      </left>
      <right style="thin">
        <color indexed="64"/>
      </right>
      <top style="thin">
        <color indexed="64"/>
      </top>
      <bottom style="medium">
        <color theme="0"/>
      </bottom>
      <diagonal/>
    </border>
    <border>
      <left style="medium">
        <color rgb="FF0D776E"/>
      </left>
      <right style="medium">
        <color rgb="FF0D776E"/>
      </right>
      <top style="medium">
        <color theme="0"/>
      </top>
      <bottom/>
      <diagonal/>
    </border>
    <border>
      <left/>
      <right/>
      <top style="thin">
        <color indexed="64"/>
      </top>
      <bottom/>
      <diagonal/>
    </border>
    <border>
      <left style="medium">
        <color rgb="FF0D776E"/>
      </left>
      <right/>
      <top/>
      <bottom style="double">
        <color auto="1"/>
      </bottom>
      <diagonal/>
    </border>
    <border>
      <left/>
      <right style="medium">
        <color rgb="FF0D776E"/>
      </right>
      <top/>
      <bottom style="double">
        <color auto="1"/>
      </bottom>
      <diagonal/>
    </border>
    <border>
      <left style="thin">
        <color rgb="FF92D050"/>
      </left>
      <right/>
      <top style="double">
        <color auto="1"/>
      </top>
      <bottom/>
      <diagonal/>
    </border>
    <border>
      <left/>
      <right/>
      <top style="double">
        <color auto="1"/>
      </top>
      <bottom style="double">
        <color indexed="64"/>
      </bottom>
      <diagonal/>
    </border>
    <border>
      <left style="thin">
        <color theme="4"/>
      </left>
      <right style="thin">
        <color theme="4"/>
      </right>
      <top style="double">
        <color auto="1"/>
      </top>
      <bottom style="double">
        <color indexed="64"/>
      </bottom>
      <diagonal/>
    </border>
    <border>
      <left style="medium">
        <color rgb="FF0D776E"/>
      </left>
      <right/>
      <top style="double">
        <color auto="1"/>
      </top>
      <bottom/>
      <diagonal/>
    </border>
    <border>
      <left style="medium">
        <color indexed="64"/>
      </left>
      <right style="thin">
        <color indexed="64"/>
      </right>
      <top style="thin">
        <color indexed="64"/>
      </top>
      <bottom style="thin">
        <color indexed="64"/>
      </bottom>
      <diagonal/>
    </border>
    <border>
      <left style="medium">
        <color indexed="64"/>
      </left>
      <right/>
      <top/>
      <bottom style="double">
        <color auto="1"/>
      </bottom>
      <diagonal/>
    </border>
    <border>
      <left style="thin">
        <color rgb="FFC0C0C0"/>
      </left>
      <right style="medium">
        <color rgb="FF0D776E"/>
      </right>
      <top style="double">
        <color auto="1"/>
      </top>
      <bottom/>
      <diagonal/>
    </border>
    <border>
      <left/>
      <right/>
      <top style="double">
        <color indexed="64"/>
      </top>
      <bottom style="thin">
        <color indexed="64"/>
      </bottom>
      <diagonal/>
    </border>
    <border>
      <left/>
      <right style="medium">
        <color rgb="FF0D776E"/>
      </right>
      <top style="double">
        <color indexed="64"/>
      </top>
      <bottom style="thin">
        <color indexed="64"/>
      </bottom>
      <diagonal/>
    </border>
    <border>
      <left style="medium">
        <color rgb="FF0D776E"/>
      </left>
      <right/>
      <top style="thin">
        <color indexed="64"/>
      </top>
      <bottom/>
      <diagonal/>
    </border>
    <border>
      <left style="medium">
        <color rgb="FF0D776E"/>
      </left>
      <right/>
      <top style="thin">
        <color indexed="64"/>
      </top>
      <bottom style="thin">
        <color indexed="64"/>
      </bottom>
      <diagonal/>
    </border>
    <border>
      <left/>
      <right style="thin">
        <color theme="4"/>
      </right>
      <top style="thin">
        <color indexed="64"/>
      </top>
      <bottom style="thin">
        <color indexed="64"/>
      </bottom>
      <diagonal/>
    </border>
    <border>
      <left/>
      <right style="thin">
        <color theme="4"/>
      </right>
      <top style="thin">
        <color auto="1"/>
      </top>
      <bottom/>
      <diagonal/>
    </border>
    <border>
      <left/>
      <right style="medium">
        <color rgb="FF0D776E"/>
      </right>
      <top style="thin">
        <color indexed="64"/>
      </top>
      <bottom style="thin">
        <color indexed="64"/>
      </bottom>
      <diagonal/>
    </border>
    <border>
      <left style="thin">
        <color rgb="FF0D776E"/>
      </left>
      <right style="thin">
        <color auto="1"/>
      </right>
      <top style="thin">
        <color auto="1"/>
      </top>
      <bottom style="thin">
        <color auto="1"/>
      </bottom>
      <diagonal/>
    </border>
    <border>
      <left style="thin">
        <color auto="1"/>
      </left>
      <right style="thin">
        <color rgb="FF0D776E"/>
      </right>
      <top style="thin">
        <color auto="1"/>
      </top>
      <bottom style="thin">
        <color auto="1"/>
      </bottom>
      <diagonal/>
    </border>
    <border>
      <left style="thin">
        <color theme="4"/>
      </left>
      <right style="thin">
        <color theme="4"/>
      </right>
      <top style="double">
        <color auto="1"/>
      </top>
      <bottom style="thin">
        <color theme="4"/>
      </bottom>
      <diagonal/>
    </border>
    <border>
      <left/>
      <right style="medium">
        <color rgb="FF0D776E"/>
      </right>
      <top style="double">
        <color auto="1"/>
      </top>
      <bottom style="double">
        <color auto="1"/>
      </bottom>
      <diagonal/>
    </border>
    <border>
      <left style="medium">
        <color rgb="FF006666"/>
      </left>
      <right style="thin">
        <color auto="1"/>
      </right>
      <top style="thin">
        <color auto="1"/>
      </top>
      <bottom style="thin">
        <color auto="1"/>
      </bottom>
      <diagonal/>
    </border>
    <border>
      <left style="thin">
        <color auto="1"/>
      </left>
      <right style="thick">
        <color rgb="FF002060"/>
      </right>
      <top style="thin">
        <color auto="1"/>
      </top>
      <bottom style="thin">
        <color auto="1"/>
      </bottom>
      <diagonal/>
    </border>
    <border>
      <left style="thick">
        <color rgb="FF002060"/>
      </left>
      <right style="thin">
        <color auto="1"/>
      </right>
      <top style="thin">
        <color auto="1"/>
      </top>
      <bottom style="thin">
        <color auto="1"/>
      </bottom>
      <diagonal/>
    </border>
    <border>
      <left style="thick">
        <color rgb="FF002060"/>
      </left>
      <right/>
      <top style="thin">
        <color indexed="64"/>
      </top>
      <bottom style="thin">
        <color indexed="64"/>
      </bottom>
      <diagonal/>
    </border>
    <border>
      <left style="thin">
        <color auto="1"/>
      </left>
      <right style="medium">
        <color rgb="FF006666"/>
      </right>
      <top style="thin">
        <color auto="1"/>
      </top>
      <bottom style="thin">
        <color auto="1"/>
      </bottom>
      <diagonal/>
    </border>
    <border>
      <left style="thick">
        <color rgb="FF002060"/>
      </left>
      <right style="thin">
        <color auto="1"/>
      </right>
      <top style="thin">
        <color auto="1"/>
      </top>
      <bottom style="thin">
        <color rgb="FF0D776E"/>
      </bottom>
      <diagonal/>
    </border>
    <border>
      <left style="thin">
        <color auto="1"/>
      </left>
      <right style="thin">
        <color auto="1"/>
      </right>
      <top style="thin">
        <color auto="1"/>
      </top>
      <bottom style="thin">
        <color rgb="FF0D776E"/>
      </bottom>
      <diagonal/>
    </border>
    <border>
      <left style="thin">
        <color auto="1"/>
      </left>
      <right style="thick">
        <color rgb="FF002060"/>
      </right>
      <top style="thin">
        <color auto="1"/>
      </top>
      <bottom style="thin">
        <color rgb="FF0D776E"/>
      </bottom>
      <diagonal/>
    </border>
    <border>
      <left style="medium">
        <color rgb="FF006666"/>
      </left>
      <right style="thin">
        <color auto="1"/>
      </right>
      <top style="thin">
        <color auto="1"/>
      </top>
      <bottom style="medium">
        <color rgb="FF006666"/>
      </bottom>
      <diagonal/>
    </border>
    <border>
      <left style="thin">
        <color auto="1"/>
      </left>
      <right style="thin">
        <color auto="1"/>
      </right>
      <top style="thin">
        <color auto="1"/>
      </top>
      <bottom style="medium">
        <color rgb="FF006666"/>
      </bottom>
      <diagonal/>
    </border>
    <border>
      <left style="thin">
        <color auto="1"/>
      </left>
      <right style="thick">
        <color rgb="FF002060"/>
      </right>
      <top style="thin">
        <color auto="1"/>
      </top>
      <bottom style="medium">
        <color rgb="FF006666"/>
      </bottom>
      <diagonal/>
    </border>
    <border>
      <left style="thick">
        <color rgb="FF002060"/>
      </left>
      <right/>
      <top style="thin">
        <color indexed="64"/>
      </top>
      <bottom style="medium">
        <color rgb="FF006666"/>
      </bottom>
      <diagonal/>
    </border>
    <border>
      <left/>
      <right style="thin">
        <color indexed="64"/>
      </right>
      <top style="thin">
        <color indexed="64"/>
      </top>
      <bottom style="medium">
        <color rgb="FF006666"/>
      </bottom>
      <diagonal/>
    </border>
    <border>
      <left style="thin">
        <color auto="1"/>
      </left>
      <right style="medium">
        <color rgb="FF006666"/>
      </right>
      <top style="thin">
        <color auto="1"/>
      </top>
      <bottom style="medium">
        <color rgb="FF006666"/>
      </bottom>
      <diagonal/>
    </border>
    <border>
      <left style="thin">
        <color theme="4"/>
      </left>
      <right/>
      <top style="double">
        <color auto="1"/>
      </top>
      <bottom style="thin">
        <color rgb="FF0D776E"/>
      </bottom>
      <diagonal/>
    </border>
    <border>
      <left/>
      <right/>
      <top style="double">
        <color auto="1"/>
      </top>
      <bottom style="thin">
        <color rgb="FF0D776E"/>
      </bottom>
      <diagonal/>
    </border>
    <border>
      <left style="thin">
        <color theme="4"/>
      </left>
      <right/>
      <top/>
      <bottom style="double">
        <color indexed="64"/>
      </bottom>
      <diagonal/>
    </border>
    <border>
      <left/>
      <right style="thin">
        <color rgb="FFC0C0C0"/>
      </right>
      <top/>
      <bottom style="double">
        <color auto="1"/>
      </bottom>
      <diagonal/>
    </border>
    <border>
      <left/>
      <right/>
      <top style="thin">
        <color indexed="64"/>
      </top>
      <bottom style="thin">
        <color rgb="FFFFC000"/>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medium">
        <color rgb="FF0D776E"/>
      </bottom>
      <diagonal/>
    </border>
    <border>
      <left/>
      <right/>
      <top style="thin">
        <color theme="0" tint="-0.34998626667073579"/>
      </top>
      <bottom style="medium">
        <color rgb="FF0D776E"/>
      </bottom>
      <diagonal/>
    </border>
    <border>
      <left/>
      <right/>
      <top style="thin">
        <color theme="0" tint="-0.34998626667073579"/>
      </top>
      <bottom/>
      <diagonal/>
    </border>
    <border>
      <left style="medium">
        <color indexed="64"/>
      </left>
      <right/>
      <top/>
      <bottom style="medium">
        <color rgb="FF0D776E"/>
      </bottom>
      <diagonal/>
    </border>
    <border>
      <left style="medium">
        <color rgb="FF0D776E"/>
      </left>
      <right style="medium">
        <color rgb="FF0D776E"/>
      </right>
      <top/>
      <bottom style="medium">
        <color rgb="FF0D776E"/>
      </bottom>
      <diagonal/>
    </border>
    <border>
      <left/>
      <right/>
      <top/>
      <bottom style="thin">
        <color theme="0" tint="-0.34998626667073579"/>
      </bottom>
      <diagonal/>
    </border>
    <border>
      <left/>
      <right/>
      <top style="thin">
        <color theme="0" tint="-0.34998626667073579"/>
      </top>
      <bottom style="thick">
        <color rgb="FF663300"/>
      </bottom>
      <diagonal/>
    </border>
    <border>
      <left style="thin">
        <color auto="1"/>
      </left>
      <right style="thin">
        <color auto="1"/>
      </right>
      <top/>
      <bottom style="double">
        <color indexed="64"/>
      </bottom>
      <diagonal/>
    </border>
    <border>
      <left/>
      <right/>
      <top style="thin">
        <color theme="0" tint="-0.34998626667073579"/>
      </top>
      <bottom style="medium">
        <color theme="0" tint="-0.34998626667073579"/>
      </bottom>
      <diagonal/>
    </border>
    <border>
      <left/>
      <right style="thin">
        <color auto="1"/>
      </right>
      <top style="thin">
        <color theme="0" tint="-0.34998626667073579"/>
      </top>
      <bottom style="medium">
        <color theme="0" tint="-0.34998626667073579"/>
      </bottom>
      <diagonal/>
    </border>
    <border>
      <left/>
      <right style="thin">
        <color auto="1"/>
      </right>
      <top/>
      <bottom style="thin">
        <color theme="1"/>
      </bottom>
      <diagonal/>
    </border>
    <border>
      <left/>
      <right style="thin">
        <color auto="1"/>
      </right>
      <top style="thin">
        <color theme="1"/>
      </top>
      <bottom style="thin">
        <color theme="1"/>
      </bottom>
      <diagonal/>
    </border>
    <border>
      <left/>
      <right style="thin">
        <color auto="1"/>
      </right>
      <top style="thin">
        <color theme="1"/>
      </top>
      <bottom/>
      <diagonal/>
    </border>
    <border>
      <left/>
      <right style="thin">
        <color auto="1"/>
      </right>
      <top style="thick">
        <color auto="1"/>
      </top>
      <bottom style="thick">
        <color auto="1"/>
      </bottom>
      <diagonal/>
    </border>
    <border>
      <left style="thin">
        <color auto="1"/>
      </left>
      <right style="thin">
        <color theme="0"/>
      </right>
      <top style="thick">
        <color auto="1"/>
      </top>
      <bottom/>
      <diagonal/>
    </border>
    <border>
      <left/>
      <right style="thin">
        <color auto="1"/>
      </right>
      <top style="thick">
        <color auto="1"/>
      </top>
      <bottom/>
      <diagonal/>
    </border>
    <border>
      <left style="thin">
        <color auto="1"/>
      </left>
      <right style="thin">
        <color theme="0"/>
      </right>
      <top/>
      <bottom/>
      <diagonal/>
    </border>
    <border>
      <left style="thin">
        <color theme="0"/>
      </left>
      <right/>
      <top style="thin">
        <color indexed="64"/>
      </top>
      <bottom/>
      <diagonal/>
    </border>
    <border>
      <left style="thin">
        <color auto="1"/>
      </left>
      <right style="thin">
        <color theme="0"/>
      </right>
      <top/>
      <bottom style="thin">
        <color indexed="64"/>
      </bottom>
      <diagonal/>
    </border>
    <border>
      <left/>
      <right style="thin">
        <color theme="0"/>
      </right>
      <top style="thin">
        <color indexed="64"/>
      </top>
      <bottom/>
      <diagonal/>
    </border>
    <border>
      <left style="thin">
        <color auto="1"/>
      </left>
      <right/>
      <top/>
      <bottom style="double">
        <color indexed="64"/>
      </bottom>
      <diagonal/>
    </border>
    <border>
      <left/>
      <right style="thin">
        <color auto="1"/>
      </right>
      <top/>
      <bottom style="double">
        <color indexed="64"/>
      </bottom>
      <diagonal/>
    </border>
    <border>
      <left style="thin">
        <color indexed="64"/>
      </left>
      <right/>
      <top style="thin">
        <color indexed="64"/>
      </top>
      <bottom style="medium">
        <color theme="0"/>
      </bottom>
      <diagonal/>
    </border>
    <border>
      <left/>
      <right style="thin">
        <color auto="1"/>
      </right>
      <top style="thin">
        <color indexed="64"/>
      </top>
      <bottom style="medium">
        <color theme="0"/>
      </bottom>
      <diagonal/>
    </border>
    <border>
      <left/>
      <right style="thin">
        <color auto="1"/>
      </right>
      <top style="medium">
        <color theme="0"/>
      </top>
      <bottom style="thin">
        <color auto="1"/>
      </bottom>
      <diagonal/>
    </border>
    <border>
      <left/>
      <right style="thin">
        <color auto="1"/>
      </right>
      <top style="medium">
        <color theme="0"/>
      </top>
      <bottom/>
      <diagonal/>
    </border>
    <border>
      <left style="thin">
        <color auto="1"/>
      </left>
      <right/>
      <top style="thin">
        <color theme="1"/>
      </top>
      <bottom/>
      <diagonal/>
    </border>
    <border>
      <left style="thin">
        <color auto="1"/>
      </left>
      <right/>
      <top/>
      <bottom style="double">
        <color theme="1"/>
      </bottom>
      <diagonal/>
    </border>
    <border>
      <left/>
      <right style="thin">
        <color auto="1"/>
      </right>
      <top style="thin">
        <color theme="1"/>
      </top>
      <bottom style="double">
        <color theme="1"/>
      </bottom>
      <diagonal/>
    </border>
    <border>
      <left style="thin">
        <color auto="1"/>
      </left>
      <right style="thin">
        <color theme="1"/>
      </right>
      <top style="double">
        <color theme="1"/>
      </top>
      <bottom/>
      <diagonal/>
    </border>
    <border>
      <left/>
      <right style="thin">
        <color auto="1"/>
      </right>
      <top style="double">
        <color theme="1"/>
      </top>
      <bottom/>
      <diagonal/>
    </border>
    <border>
      <left style="thin">
        <color auto="1"/>
      </left>
      <right style="thin">
        <color theme="1"/>
      </right>
      <top/>
      <bottom style="double">
        <color theme="1"/>
      </bottom>
      <diagonal/>
    </border>
    <border>
      <left/>
      <right style="thin">
        <color auto="1"/>
      </right>
      <top/>
      <bottom style="double">
        <color theme="1"/>
      </bottom>
      <diagonal/>
    </border>
    <border>
      <left style="thin">
        <color auto="1"/>
      </left>
      <right/>
      <top style="double">
        <color theme="1"/>
      </top>
      <bottom style="thin">
        <color theme="1"/>
      </bottom>
      <diagonal/>
    </border>
    <border>
      <left/>
      <right style="thin">
        <color auto="1"/>
      </right>
      <top style="double">
        <color theme="1"/>
      </top>
      <bottom style="thin">
        <color theme="1"/>
      </bottom>
      <diagonal/>
    </border>
    <border>
      <left style="thin">
        <color auto="1"/>
      </left>
      <right style="thin">
        <color theme="1"/>
      </right>
      <top style="thin">
        <color theme="1"/>
      </top>
      <bottom style="thin">
        <color theme="1"/>
      </bottom>
      <diagonal/>
    </border>
    <border>
      <left style="thin">
        <color auto="1"/>
      </left>
      <right style="thin">
        <color theme="1"/>
      </right>
      <top style="thin">
        <color theme="1"/>
      </top>
      <bottom style="double">
        <color theme="1"/>
      </bottom>
      <diagonal/>
    </border>
    <border>
      <left style="thin">
        <color auto="1"/>
      </left>
      <right/>
      <top style="double">
        <color theme="1"/>
      </top>
      <bottom/>
      <diagonal/>
    </border>
    <border>
      <left style="thin">
        <color auto="1"/>
      </left>
      <right style="thin">
        <color theme="1"/>
      </right>
      <top style="double">
        <color theme="1"/>
      </top>
      <bottom style="double">
        <color theme="1"/>
      </bottom>
      <diagonal/>
    </border>
    <border>
      <left/>
      <right style="thin">
        <color auto="1"/>
      </right>
      <top style="double">
        <color theme="1"/>
      </top>
      <bottom style="double">
        <color theme="1"/>
      </bottom>
      <diagonal/>
    </border>
    <border>
      <left style="thin">
        <color auto="1"/>
      </left>
      <right/>
      <top/>
      <bottom style="thin">
        <color theme="1"/>
      </bottom>
      <diagonal/>
    </border>
    <border>
      <left style="thin">
        <color auto="1"/>
      </left>
      <right style="thin">
        <color theme="1"/>
      </right>
      <top/>
      <bottom style="thin">
        <color theme="1"/>
      </bottom>
      <diagonal/>
    </border>
    <border>
      <left style="thin">
        <color auto="1"/>
      </left>
      <right/>
      <top style="double">
        <color theme="1"/>
      </top>
      <bottom style="thin">
        <color auto="1"/>
      </bottom>
      <diagonal/>
    </border>
    <border>
      <left style="thin">
        <color auto="1"/>
      </left>
      <right/>
      <top style="medium">
        <color theme="0"/>
      </top>
      <bottom style="medium">
        <color theme="0"/>
      </bottom>
      <diagonal/>
    </border>
    <border>
      <left/>
      <right style="thin">
        <color auto="1"/>
      </right>
      <top style="medium">
        <color theme="0"/>
      </top>
      <bottom style="medium">
        <color theme="0"/>
      </bottom>
      <diagonal/>
    </border>
    <border>
      <left style="thin">
        <color indexed="64"/>
      </left>
      <right style="thin">
        <color indexed="64"/>
      </right>
      <top style="thin">
        <color indexed="64"/>
      </top>
      <bottom style="thin">
        <color theme="1"/>
      </bottom>
      <diagonal/>
    </border>
    <border>
      <left/>
      <right style="thin">
        <color auto="1"/>
      </right>
      <top style="double">
        <color indexed="64"/>
      </top>
      <bottom style="medium">
        <color theme="0"/>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thin">
        <color auto="1"/>
      </left>
      <right/>
      <top style="medium">
        <color theme="0" tint="-0.34998626667073579"/>
      </top>
      <bottom style="thin">
        <color theme="0" tint="-0.34998626667073579"/>
      </bottom>
      <diagonal/>
    </border>
    <border>
      <left/>
      <right/>
      <top style="medium">
        <color theme="0" tint="-0.34998626667073579"/>
      </top>
      <bottom style="thin">
        <color theme="0" tint="-0.34998626667073579"/>
      </bottom>
      <diagonal/>
    </border>
    <border>
      <left/>
      <right style="thin">
        <color auto="1"/>
      </right>
      <top style="medium">
        <color theme="0" tint="-0.34998626667073579"/>
      </top>
      <bottom style="thin">
        <color theme="0" tint="-0.34998626667073579"/>
      </bottom>
      <diagonal/>
    </border>
    <border>
      <left/>
      <right style="thin">
        <color rgb="FFC0C0C0"/>
      </right>
      <top style="double">
        <color auto="1"/>
      </top>
      <bottom style="thin">
        <color theme="1"/>
      </bottom>
      <diagonal/>
    </border>
    <border>
      <left/>
      <right/>
      <top style="double">
        <color auto="1"/>
      </top>
      <bottom style="thin">
        <color theme="1"/>
      </bottom>
      <diagonal/>
    </border>
    <border>
      <left style="thin">
        <color theme="1"/>
      </left>
      <right/>
      <top style="double">
        <color auto="1"/>
      </top>
      <bottom style="thin">
        <color theme="1"/>
      </bottom>
      <diagonal/>
    </border>
    <border>
      <left/>
      <right/>
      <top style="thick">
        <color auto="1"/>
      </top>
      <bottom/>
      <diagonal/>
    </border>
    <border>
      <left style="hair">
        <color auto="1"/>
      </left>
      <right style="hair">
        <color auto="1"/>
      </right>
      <top style="hair">
        <color auto="1"/>
      </top>
      <bottom style="hair">
        <color auto="1"/>
      </bottom>
      <diagonal/>
    </border>
    <border>
      <left style="thick">
        <color auto="1"/>
      </left>
      <right style="thin">
        <color indexed="64"/>
      </right>
      <top/>
      <bottom style="medium">
        <color theme="0"/>
      </bottom>
      <diagonal/>
    </border>
    <border>
      <left/>
      <right/>
      <top/>
      <bottom style="medium">
        <color theme="0" tint="-0.34998626667073579"/>
      </bottom>
      <diagonal/>
    </border>
    <border>
      <left/>
      <right style="thin">
        <color auto="1"/>
      </right>
      <top style="thin">
        <color theme="0" tint="-0.34998626667073579"/>
      </top>
      <bottom/>
      <diagonal/>
    </border>
    <border>
      <left/>
      <right style="thin">
        <color auto="1"/>
      </right>
      <top/>
      <bottom style="thick">
        <color auto="1"/>
      </bottom>
      <diagonal/>
    </border>
    <border>
      <left style="thick">
        <color rgb="FF663300"/>
      </left>
      <right style="medium">
        <color rgb="FF0D776E"/>
      </right>
      <top/>
      <bottom/>
      <diagonal/>
    </border>
    <border>
      <left style="medium">
        <color rgb="FF0D776E"/>
      </left>
      <right style="thick">
        <color rgb="FF663300"/>
      </right>
      <top/>
      <bottom/>
      <diagonal/>
    </border>
    <border>
      <left/>
      <right style="thin">
        <color theme="0" tint="-0.34998626667073579"/>
      </right>
      <top style="thin">
        <color theme="0" tint="-0.34998626667073579"/>
      </top>
      <bottom style="thin">
        <color theme="0" tint="-0.34998626667073579"/>
      </bottom>
      <diagonal/>
    </border>
    <border>
      <left style="thin">
        <color theme="4"/>
      </left>
      <right/>
      <top style="thin">
        <color indexed="64"/>
      </top>
      <bottom style="medium">
        <color rgb="FF0D776E"/>
      </bottom>
      <diagonal/>
    </border>
    <border>
      <left style="thin">
        <color theme="4"/>
      </left>
      <right style="thin">
        <color theme="4"/>
      </right>
      <top style="thin">
        <color indexed="64"/>
      </top>
      <bottom style="medium">
        <color rgb="FF0D776E"/>
      </bottom>
      <diagonal/>
    </border>
    <border>
      <left/>
      <right style="thin">
        <color theme="4"/>
      </right>
      <top style="thin">
        <color indexed="64"/>
      </top>
      <bottom style="medium">
        <color rgb="FF0D776E"/>
      </bottom>
      <diagonal/>
    </border>
    <border>
      <left style="thick">
        <color auto="1"/>
      </left>
      <right style="thin">
        <color auto="1"/>
      </right>
      <top style="thin">
        <color auto="1"/>
      </top>
      <bottom/>
      <diagonal/>
    </border>
  </borders>
  <cellStyleXfs count="68">
    <xf numFmtId="0" fontId="0" fillId="0" borderId="0"/>
    <xf numFmtId="9" fontId="1" fillId="0" borderId="0" applyFont="0" applyFill="0" applyBorder="0" applyAlignment="0" applyProtection="0"/>
    <xf numFmtId="0" fontId="6" fillId="52" borderId="0" applyNumberFormat="0" applyBorder="0" applyAlignment="0" applyProtection="0"/>
    <xf numFmtId="0" fontId="1" fillId="2" borderId="0" applyNumberFormat="0" applyBorder="0" applyAlignment="0" applyProtection="0"/>
    <xf numFmtId="0" fontId="4" fillId="0" borderId="0"/>
    <xf numFmtId="0" fontId="17" fillId="0" borderId="0" applyNumberFormat="0" applyFill="0" applyBorder="0" applyAlignment="0" applyProtection="0"/>
    <xf numFmtId="0" fontId="19" fillId="8" borderId="9">
      <alignment horizontal="center" vertical="center" wrapText="1"/>
    </xf>
    <xf numFmtId="49" fontId="20" fillId="52" borderId="551">
      <alignment horizontal="left" vertical="center" wrapText="1"/>
    </xf>
    <xf numFmtId="0" fontId="23" fillId="9" borderId="13">
      <alignment horizontal="left" vertical="top" wrapText="1"/>
    </xf>
    <xf numFmtId="1" fontId="26" fillId="10" borderId="15">
      <alignment horizontal="center" vertical="center"/>
      <protection locked="0"/>
    </xf>
    <xf numFmtId="167" fontId="27" fillId="11" borderId="21">
      <alignment horizontal="left" vertical="top" wrapText="1"/>
    </xf>
    <xf numFmtId="0" fontId="26" fillId="12" borderId="22">
      <alignment horizontal="right" vertical="top"/>
    </xf>
    <xf numFmtId="0" fontId="21" fillId="12" borderId="23">
      <alignment horizontal="left" vertical="top" wrapText="1"/>
      <protection locked="0"/>
    </xf>
    <xf numFmtId="0" fontId="34" fillId="8" borderId="62">
      <alignment horizontal="left" vertical="center" wrapText="1"/>
    </xf>
    <xf numFmtId="0" fontId="40" fillId="14" borderId="13">
      <alignment horizontal="center" vertical="center"/>
    </xf>
    <xf numFmtId="0" fontId="13" fillId="15" borderId="120">
      <alignment horizontal="center" vertical="center"/>
    </xf>
    <xf numFmtId="49" fontId="54" fillId="0" borderId="0">
      <alignment horizontal="center" vertical="center" wrapText="1"/>
    </xf>
    <xf numFmtId="0" fontId="57" fillId="18" borderId="0" applyNumberFormat="0" applyBorder="0" applyAlignment="0" applyProtection="0"/>
    <xf numFmtId="0" fontId="62" fillId="19" borderId="184" applyNumberFormat="0" applyProtection="0">
      <alignment horizontal="left" vertical="center"/>
    </xf>
    <xf numFmtId="1" fontId="22" fillId="13" borderId="74">
      <alignment horizontal="center" vertical="center"/>
      <protection locked="0"/>
    </xf>
    <xf numFmtId="167" fontId="69" fillId="0" borderId="204">
      <alignment horizontal="left" vertical="top"/>
    </xf>
    <xf numFmtId="164" fontId="4" fillId="0" borderId="0" applyFont="0" applyFill="0" applyBorder="0" applyAlignment="0" applyProtection="0"/>
    <xf numFmtId="9" fontId="4" fillId="0" borderId="0" applyFont="0" applyFill="0" applyBorder="0" applyAlignment="0" applyProtection="0"/>
    <xf numFmtId="0" fontId="23" fillId="40" borderId="0" applyBorder="0">
      <alignment horizontal="left" vertical="top" wrapText="1"/>
      <protection locked="0"/>
    </xf>
    <xf numFmtId="0" fontId="122" fillId="0" borderId="0"/>
    <xf numFmtId="0" fontId="123" fillId="53" borderId="0" applyNumberFormat="0" applyBorder="0" applyAlignment="0" applyProtection="0"/>
    <xf numFmtId="0" fontId="123" fillId="54" borderId="0" applyNumberFormat="0" applyBorder="0" applyAlignment="0" applyProtection="0"/>
    <xf numFmtId="0" fontId="123" fillId="55" borderId="0" applyNumberFormat="0" applyBorder="0" applyAlignment="0" applyProtection="0"/>
    <xf numFmtId="0" fontId="123" fillId="56" borderId="0" applyNumberFormat="0" applyBorder="0" applyAlignment="0" applyProtection="0"/>
    <xf numFmtId="0" fontId="123" fillId="57" borderId="0" applyNumberFormat="0" applyBorder="0" applyAlignment="0" applyProtection="0"/>
    <xf numFmtId="0" fontId="123" fillId="58" borderId="0" applyNumberFormat="0" applyBorder="0" applyAlignment="0" applyProtection="0"/>
    <xf numFmtId="0" fontId="123" fillId="59" borderId="0" applyNumberFormat="0" applyBorder="0" applyAlignment="0" applyProtection="0"/>
    <xf numFmtId="0" fontId="123" fillId="60" borderId="0" applyNumberFormat="0" applyBorder="0" applyAlignment="0" applyProtection="0"/>
    <xf numFmtId="0" fontId="123" fillId="61" borderId="0" applyNumberFormat="0" applyBorder="0" applyAlignment="0" applyProtection="0"/>
    <xf numFmtId="0" fontId="123" fillId="56" borderId="0" applyNumberFormat="0" applyBorder="0" applyAlignment="0" applyProtection="0"/>
    <xf numFmtId="0" fontId="123" fillId="59" borderId="0" applyNumberFormat="0" applyBorder="0" applyAlignment="0" applyProtection="0"/>
    <xf numFmtId="0" fontId="123" fillId="62" borderId="0" applyNumberFormat="0" applyBorder="0" applyAlignment="0" applyProtection="0"/>
    <xf numFmtId="0" fontId="124" fillId="63" borderId="0" applyNumberFormat="0" applyBorder="0" applyAlignment="0" applyProtection="0"/>
    <xf numFmtId="0" fontId="124" fillId="60" borderId="0" applyNumberFormat="0" applyBorder="0" applyAlignment="0" applyProtection="0"/>
    <xf numFmtId="0" fontId="124" fillId="61" borderId="0" applyNumberFormat="0" applyBorder="0" applyAlignment="0" applyProtection="0"/>
    <xf numFmtId="0" fontId="124" fillId="64" borderId="0" applyNumberFormat="0" applyBorder="0" applyAlignment="0" applyProtection="0"/>
    <xf numFmtId="0" fontId="124" fillId="65" borderId="0" applyNumberFormat="0" applyBorder="0" applyAlignment="0" applyProtection="0"/>
    <xf numFmtId="0" fontId="124" fillId="66" borderId="0" applyNumberFormat="0" applyBorder="0" applyAlignment="0" applyProtection="0"/>
    <xf numFmtId="0" fontId="124" fillId="67" borderId="0" applyNumberFormat="0" applyBorder="0" applyAlignment="0" applyProtection="0"/>
    <xf numFmtId="0" fontId="124" fillId="68" borderId="0" applyNumberFormat="0" applyBorder="0" applyAlignment="0" applyProtection="0"/>
    <xf numFmtId="0" fontId="124" fillId="69" borderId="0" applyNumberFormat="0" applyBorder="0" applyAlignment="0" applyProtection="0"/>
    <xf numFmtId="0" fontId="124" fillId="64" borderId="0" applyNumberFormat="0" applyBorder="0" applyAlignment="0" applyProtection="0"/>
    <xf numFmtId="0" fontId="124" fillId="65" borderId="0" applyNumberFormat="0" applyBorder="0" applyAlignment="0" applyProtection="0"/>
    <xf numFmtId="0" fontId="124" fillId="70" borderId="0" applyNumberFormat="0" applyBorder="0" applyAlignment="0" applyProtection="0"/>
    <xf numFmtId="0" fontId="125" fillId="54" borderId="0" applyNumberFormat="0" applyBorder="0" applyAlignment="0" applyProtection="0"/>
    <xf numFmtId="0" fontId="126" fillId="71" borderId="720" applyNumberFormat="0" applyAlignment="0" applyProtection="0"/>
    <xf numFmtId="0" fontId="127" fillId="72" borderId="721" applyNumberFormat="0" applyAlignment="0" applyProtection="0"/>
    <xf numFmtId="0" fontId="128" fillId="0" borderId="0" applyNumberFormat="0" applyFill="0" applyBorder="0" applyAlignment="0" applyProtection="0"/>
    <xf numFmtId="0" fontId="129" fillId="55" borderId="0" applyNumberFormat="0" applyBorder="0" applyAlignment="0" applyProtection="0"/>
    <xf numFmtId="0" fontId="130" fillId="0" borderId="722" applyNumberFormat="0" applyFill="0" applyAlignment="0" applyProtection="0"/>
    <xf numFmtId="0" fontId="131" fillId="0" borderId="723" applyNumberFormat="0" applyFill="0" applyAlignment="0" applyProtection="0"/>
    <xf numFmtId="0" fontId="132" fillId="0" borderId="724" applyNumberFormat="0" applyFill="0" applyAlignment="0" applyProtection="0"/>
    <xf numFmtId="0" fontId="132" fillId="0" borderId="0" applyNumberFormat="0" applyFill="0" applyBorder="0" applyAlignment="0" applyProtection="0"/>
    <xf numFmtId="0" fontId="121" fillId="0" borderId="0" applyNumberFormat="0" applyFill="0" applyBorder="0" applyAlignment="0" applyProtection="0">
      <alignment vertical="top"/>
      <protection locked="0"/>
    </xf>
    <xf numFmtId="0" fontId="133" fillId="58" borderId="720" applyNumberFormat="0" applyAlignment="0" applyProtection="0"/>
    <xf numFmtId="0" fontId="134" fillId="0" borderId="725" applyNumberFormat="0" applyFill="0" applyAlignment="0" applyProtection="0"/>
    <xf numFmtId="0" fontId="135" fillId="73" borderId="0" applyNumberFormat="0" applyBorder="0" applyAlignment="0" applyProtection="0"/>
    <xf numFmtId="0" fontId="122" fillId="74" borderId="726" applyNumberFormat="0" applyFont="0" applyAlignment="0" applyProtection="0"/>
    <xf numFmtId="0" fontId="136" fillId="71" borderId="727" applyNumberFormat="0" applyAlignment="0" applyProtection="0"/>
    <xf numFmtId="0" fontId="122" fillId="26" borderId="401">
      <alignment horizontal="center" vertical="center" wrapText="1"/>
      <protection locked="0"/>
    </xf>
    <xf numFmtId="0" fontId="137" fillId="0" borderId="0" applyNumberFormat="0" applyFill="0" applyBorder="0" applyAlignment="0" applyProtection="0"/>
    <xf numFmtId="0" fontId="138" fillId="0" borderId="728" applyNumberFormat="0" applyFill="0" applyAlignment="0" applyProtection="0"/>
    <xf numFmtId="0" fontId="139" fillId="0" borderId="0" applyNumberFormat="0" applyFill="0" applyBorder="0" applyAlignment="0" applyProtection="0"/>
  </cellStyleXfs>
  <cellXfs count="5840">
    <xf numFmtId="0" fontId="0" fillId="0" borderId="0" xfId="0"/>
    <xf numFmtId="0" fontId="8" fillId="4" borderId="1" xfId="4" applyFont="1" applyFill="1" applyBorder="1" applyAlignment="1">
      <alignment horizontal="center" vertical="center" wrapText="1"/>
    </xf>
    <xf numFmtId="0" fontId="9" fillId="5" borderId="1" xfId="4" applyFont="1" applyFill="1" applyBorder="1" applyAlignment="1">
      <alignment horizontal="center" vertical="center" wrapText="1"/>
    </xf>
    <xf numFmtId="0" fontId="10" fillId="5" borderId="1" xfId="4" applyFont="1" applyFill="1" applyBorder="1" applyAlignment="1">
      <alignment horizontal="center" vertical="center" wrapText="1"/>
    </xf>
    <xf numFmtId="0" fontId="11" fillId="5" borderId="1" xfId="4" applyFont="1" applyFill="1" applyBorder="1" applyAlignment="1">
      <alignment horizontal="center" vertical="center" wrapText="1"/>
    </xf>
    <xf numFmtId="0" fontId="12" fillId="5" borderId="1" xfId="4" applyFont="1" applyFill="1" applyBorder="1" applyAlignment="1">
      <alignment horizontal="center" vertical="center" wrapText="1"/>
    </xf>
    <xf numFmtId="0" fontId="13" fillId="6" borderId="1" xfId="0" applyFont="1" applyFill="1" applyBorder="1" applyAlignment="1">
      <alignment horizontal="center" vertical="center"/>
    </xf>
    <xf numFmtId="0" fontId="15" fillId="6" borderId="1" xfId="4" applyFont="1" applyFill="1" applyBorder="1" applyAlignment="1">
      <alignment horizontal="center" vertical="center"/>
    </xf>
    <xf numFmtId="0" fontId="1" fillId="0" borderId="0" xfId="0" applyFont="1"/>
    <xf numFmtId="166" fontId="21" fillId="0" borderId="12" xfId="4" quotePrefix="1" applyNumberFormat="1" applyFont="1" applyFill="1" applyBorder="1" applyAlignment="1">
      <alignment horizontal="left" vertical="top"/>
    </xf>
    <xf numFmtId="166" fontId="21" fillId="0" borderId="0" xfId="4" quotePrefix="1" applyNumberFormat="1" applyFont="1" applyFill="1" applyBorder="1" applyAlignment="1">
      <alignment horizontal="center" vertical="top"/>
    </xf>
    <xf numFmtId="0" fontId="21" fillId="0" borderId="12" xfId="4" quotePrefix="1" applyNumberFormat="1" applyFont="1" applyFill="1" applyBorder="1" applyAlignment="1">
      <alignment horizontal="left" vertical="top"/>
    </xf>
    <xf numFmtId="0" fontId="21" fillId="0" borderId="0" xfId="4" quotePrefix="1" applyNumberFormat="1" applyFont="1" applyFill="1" applyBorder="1" applyAlignment="1">
      <alignment horizontal="center" vertical="top"/>
    </xf>
    <xf numFmtId="0" fontId="1" fillId="0" borderId="12" xfId="0" applyFont="1" applyBorder="1" applyAlignment="1">
      <alignment vertical="top"/>
    </xf>
    <xf numFmtId="167" fontId="21" fillId="0" borderId="0" xfId="4" applyNumberFormat="1" applyFont="1" applyFill="1" applyBorder="1" applyAlignment="1">
      <alignment horizontal="center" vertical="top"/>
    </xf>
    <xf numFmtId="0" fontId="22" fillId="0" borderId="0" xfId="4" applyFont="1" applyFill="1" applyBorder="1" applyAlignment="1">
      <alignment horizontal="center" vertical="center" wrapText="1"/>
    </xf>
    <xf numFmtId="167" fontId="21" fillId="0" borderId="18" xfId="4" applyNumberFormat="1" applyFont="1" applyFill="1" applyBorder="1" applyAlignment="1">
      <alignment horizontal="center" vertical="top"/>
    </xf>
    <xf numFmtId="167" fontId="23" fillId="0" borderId="0" xfId="0" applyNumberFormat="1" applyFont="1" applyBorder="1" applyAlignment="1">
      <alignment horizontal="center" vertical="top" wrapText="1"/>
    </xf>
    <xf numFmtId="0" fontId="1" fillId="0" borderId="0" xfId="0" applyFont="1" applyBorder="1"/>
    <xf numFmtId="0" fontId="23" fillId="0" borderId="0" xfId="0" applyFont="1" applyBorder="1" applyAlignment="1">
      <alignment horizontal="center" vertical="top"/>
    </xf>
    <xf numFmtId="167" fontId="23" fillId="0" borderId="27" xfId="0" applyNumberFormat="1" applyFont="1" applyBorder="1" applyAlignment="1">
      <alignment horizontal="center" vertical="top"/>
    </xf>
    <xf numFmtId="0" fontId="13" fillId="0" borderId="28" xfId="0" applyFont="1" applyBorder="1" applyAlignment="1">
      <alignment horizontal="center" vertical="center" wrapText="1"/>
    </xf>
    <xf numFmtId="166" fontId="21" fillId="0" borderId="12" xfId="3" applyNumberFormat="1" applyFont="1" applyFill="1" applyBorder="1" applyAlignment="1">
      <alignment horizontal="left" vertical="top"/>
    </xf>
    <xf numFmtId="166" fontId="21" fillId="0" borderId="0" xfId="3" applyNumberFormat="1" applyFont="1" applyFill="1" applyBorder="1" applyAlignment="1">
      <alignment horizontal="center" vertical="top"/>
    </xf>
    <xf numFmtId="0" fontId="0" fillId="0" borderId="0" xfId="0" applyBorder="1"/>
    <xf numFmtId="0" fontId="30" fillId="0" borderId="0" xfId="0" applyFont="1" applyBorder="1" applyAlignment="1">
      <alignment horizontal="center" vertical="center"/>
    </xf>
    <xf numFmtId="0" fontId="1" fillId="0" borderId="0" xfId="0" applyFont="1" applyFill="1" applyBorder="1"/>
    <xf numFmtId="0" fontId="1" fillId="0" borderId="31" xfId="0" applyFont="1" applyBorder="1"/>
    <xf numFmtId="0" fontId="13" fillId="0" borderId="27" xfId="0" applyFont="1" applyBorder="1" applyAlignment="1">
      <alignment horizontal="center" vertical="center" wrapText="1"/>
    </xf>
    <xf numFmtId="0" fontId="23" fillId="0" borderId="39" xfId="0" applyFont="1" applyBorder="1" applyAlignment="1">
      <alignment horizontal="left" vertical="top"/>
    </xf>
    <xf numFmtId="0" fontId="23" fillId="0" borderId="34" xfId="0" applyFont="1" applyBorder="1" applyAlignment="1">
      <alignment horizontal="center" vertical="top"/>
    </xf>
    <xf numFmtId="0" fontId="23" fillId="0" borderId="0" xfId="0" applyFont="1" applyBorder="1" applyAlignment="1">
      <alignment horizontal="center" vertical="top" wrapText="1"/>
    </xf>
    <xf numFmtId="0" fontId="0" fillId="0" borderId="0" xfId="0" applyFont="1"/>
    <xf numFmtId="0" fontId="1" fillId="0" borderId="0" xfId="0" applyFont="1" applyBorder="1" applyAlignment="1">
      <alignment horizontal="center" vertical="top"/>
    </xf>
    <xf numFmtId="0" fontId="1" fillId="0" borderId="12" xfId="0" applyFont="1" applyBorder="1" applyAlignment="1" applyProtection="1">
      <alignment vertical="top"/>
    </xf>
    <xf numFmtId="0" fontId="14" fillId="0" borderId="40" xfId="12" applyNumberFormat="1" applyFont="1" applyFill="1" applyBorder="1" applyAlignment="1" applyProtection="1">
      <alignment horizontal="center" vertical="center" wrapText="1"/>
    </xf>
    <xf numFmtId="167" fontId="23" fillId="0" borderId="26" xfId="0" applyNumberFormat="1" applyFont="1" applyBorder="1" applyAlignment="1">
      <alignment horizontal="center" vertical="top" wrapText="1"/>
    </xf>
    <xf numFmtId="167" fontId="23" fillId="0" borderId="27" xfId="0" applyNumberFormat="1" applyFont="1" applyBorder="1" applyAlignment="1">
      <alignment horizontal="center" vertical="top" wrapText="1"/>
    </xf>
    <xf numFmtId="167" fontId="23" fillId="0" borderId="18" xfId="0" applyNumberFormat="1" applyFont="1" applyBorder="1" applyAlignment="1">
      <alignment horizontal="center" vertical="top" wrapText="1"/>
    </xf>
    <xf numFmtId="0" fontId="23" fillId="0" borderId="39" xfId="0" applyFont="1" applyBorder="1" applyAlignment="1">
      <alignment horizontal="left" vertical="top" wrapText="1"/>
    </xf>
    <xf numFmtId="0" fontId="23" fillId="0" borderId="34" xfId="0" applyFont="1" applyBorder="1" applyAlignment="1">
      <alignment horizontal="center" vertical="top" wrapText="1"/>
    </xf>
    <xf numFmtId="167" fontId="23" fillId="0" borderId="12" xfId="0" applyNumberFormat="1" applyFont="1" applyBorder="1" applyAlignment="1">
      <alignment horizontal="right" vertical="top" wrapText="1"/>
    </xf>
    <xf numFmtId="0" fontId="23" fillId="0" borderId="26" xfId="0" applyFont="1" applyBorder="1" applyAlignment="1">
      <alignment horizontal="center" vertical="top" wrapText="1"/>
    </xf>
    <xf numFmtId="0" fontId="23" fillId="0" borderId="27" xfId="0" applyFont="1" applyBorder="1" applyAlignment="1">
      <alignment horizontal="center" vertical="top" wrapText="1"/>
    </xf>
    <xf numFmtId="166" fontId="23" fillId="0" borderId="31" xfId="0" applyNumberFormat="1" applyFont="1" applyBorder="1" applyAlignment="1">
      <alignment horizontal="left" vertical="top" wrapText="1"/>
    </xf>
    <xf numFmtId="166" fontId="23" fillId="0" borderId="32" xfId="0" applyNumberFormat="1" applyFont="1" applyBorder="1" applyAlignment="1">
      <alignment horizontal="center" vertical="top" wrapText="1"/>
    </xf>
    <xf numFmtId="0" fontId="0" fillId="0" borderId="0" xfId="0" applyAlignment="1">
      <alignment horizontal="center" vertical="top"/>
    </xf>
    <xf numFmtId="0" fontId="30" fillId="0" borderId="0" xfId="0" applyFont="1" applyAlignment="1">
      <alignment horizontal="center" vertical="center"/>
    </xf>
    <xf numFmtId="0" fontId="0" fillId="0" borderId="0" xfId="0" applyAlignment="1">
      <alignment vertical="top"/>
    </xf>
    <xf numFmtId="0" fontId="37" fillId="0" borderId="0" xfId="0" applyFont="1" applyAlignment="1">
      <alignment horizontal="center" vertical="center" wrapText="1"/>
    </xf>
    <xf numFmtId="0" fontId="22" fillId="0" borderId="18" xfId="4" applyFont="1" applyFill="1" applyBorder="1" applyAlignment="1">
      <alignment horizontal="center" vertical="center" wrapText="1"/>
    </xf>
    <xf numFmtId="0" fontId="23" fillId="0" borderId="68" xfId="0" applyFont="1" applyBorder="1" applyAlignment="1">
      <alignment horizontal="left" vertical="top"/>
    </xf>
    <xf numFmtId="0" fontId="23" fillId="0" borderId="69" xfId="0" applyFont="1" applyBorder="1" applyAlignment="1">
      <alignment horizontal="center" vertical="top"/>
    </xf>
    <xf numFmtId="0" fontId="13" fillId="0" borderId="69" xfId="0" applyFont="1" applyBorder="1" applyAlignment="1">
      <alignment horizontal="center" vertical="center" wrapText="1"/>
    </xf>
    <xf numFmtId="167" fontId="23" fillId="0" borderId="0" xfId="0" applyNumberFormat="1" applyFont="1" applyFill="1" applyBorder="1" applyAlignment="1">
      <alignment horizontal="center" vertical="top"/>
    </xf>
    <xf numFmtId="167" fontId="23" fillId="0" borderId="0" xfId="0" applyNumberFormat="1" applyFont="1" applyBorder="1" applyAlignment="1" applyProtection="1">
      <alignment horizontal="center" vertical="top" wrapText="1"/>
    </xf>
    <xf numFmtId="0" fontId="1" fillId="0" borderId="83" xfId="0" applyFont="1" applyBorder="1" applyAlignment="1">
      <alignment vertical="top"/>
    </xf>
    <xf numFmtId="167" fontId="23" fillId="0" borderId="84" xfId="0" applyNumberFormat="1" applyFont="1" applyBorder="1" applyAlignment="1">
      <alignment horizontal="center" vertical="top"/>
    </xf>
    <xf numFmtId="0" fontId="13" fillId="0" borderId="84" xfId="0" applyFont="1" applyBorder="1" applyAlignment="1">
      <alignment horizontal="center" vertical="center" wrapText="1"/>
    </xf>
    <xf numFmtId="9" fontId="23" fillId="0" borderId="78" xfId="0" applyNumberFormat="1" applyFont="1" applyBorder="1" applyAlignment="1">
      <alignment horizontal="center" vertical="center"/>
    </xf>
    <xf numFmtId="0" fontId="23" fillId="0" borderId="78" xfId="0" applyFont="1" applyBorder="1" applyAlignment="1">
      <alignment horizontal="center" vertical="center"/>
    </xf>
    <xf numFmtId="0" fontId="23" fillId="0" borderId="80" xfId="0" applyFont="1" applyBorder="1" applyAlignment="1">
      <alignment horizontal="center" vertical="center"/>
    </xf>
    <xf numFmtId="167" fontId="23" fillId="0" borderId="37" xfId="0" applyNumberFormat="1" applyFont="1" applyBorder="1" applyAlignment="1">
      <alignment horizontal="center" vertical="top" wrapText="1"/>
    </xf>
    <xf numFmtId="0" fontId="23" fillId="0" borderId="37" xfId="0" applyFont="1" applyBorder="1" applyAlignment="1">
      <alignment horizontal="center" vertical="top" wrapText="1"/>
    </xf>
    <xf numFmtId="0" fontId="13" fillId="0" borderId="92" xfId="0" applyFont="1" applyBorder="1" applyAlignment="1">
      <alignment horizontal="center" vertical="center" wrapText="1"/>
    </xf>
    <xf numFmtId="167" fontId="23" fillId="0" borderId="67" xfId="0" applyNumberFormat="1" applyFont="1" applyBorder="1" applyAlignment="1">
      <alignment horizontal="center" vertical="top" wrapText="1"/>
    </xf>
    <xf numFmtId="167" fontId="23" fillId="0" borderId="58" xfId="0" applyNumberFormat="1" applyFont="1" applyBorder="1" applyAlignment="1">
      <alignment horizontal="center" vertical="top" wrapText="1"/>
    </xf>
    <xf numFmtId="0" fontId="23" fillId="0" borderId="58" xfId="0" applyFont="1" applyBorder="1" applyAlignment="1">
      <alignment horizontal="center" vertical="top" wrapText="1"/>
    </xf>
    <xf numFmtId="0" fontId="13" fillId="0" borderId="94" xfId="0" applyFont="1" applyBorder="1" applyAlignment="1">
      <alignment horizontal="center" vertical="center" wrapText="1"/>
    </xf>
    <xf numFmtId="0" fontId="1" fillId="0" borderId="69" xfId="0" applyFont="1" applyBorder="1"/>
    <xf numFmtId="0" fontId="13" fillId="0" borderId="105" xfId="0" applyFont="1" applyBorder="1" applyAlignment="1">
      <alignment horizontal="center" vertical="center" wrapText="1"/>
    </xf>
    <xf numFmtId="0" fontId="23" fillId="0" borderId="0" xfId="0" applyFont="1" applyBorder="1" applyAlignment="1">
      <alignment vertical="top"/>
    </xf>
    <xf numFmtId="0" fontId="23" fillId="0" borderId="68" xfId="0" applyFont="1" applyBorder="1" applyAlignment="1">
      <alignment horizontal="left" vertical="top" wrapText="1"/>
    </xf>
    <xf numFmtId="0" fontId="23" fillId="0" borderId="108" xfId="0" applyFont="1" applyBorder="1"/>
    <xf numFmtId="0" fontId="13" fillId="0" borderId="108" xfId="0" applyFont="1" applyBorder="1" applyAlignment="1">
      <alignment horizontal="center" vertical="center" wrapText="1"/>
    </xf>
    <xf numFmtId="0" fontId="23" fillId="0" borderId="105" xfId="0" applyFont="1" applyBorder="1"/>
    <xf numFmtId="0" fontId="23" fillId="0" borderId="97" xfId="0" applyFont="1" applyBorder="1" applyAlignment="1">
      <alignment horizontal="center"/>
    </xf>
    <xf numFmtId="0" fontId="23" fillId="0" borderId="99" xfId="0" applyFont="1" applyBorder="1" applyAlignment="1">
      <alignment horizontal="center"/>
    </xf>
    <xf numFmtId="0" fontId="23" fillId="0" borderId="100" xfId="0" applyFont="1" applyBorder="1" applyAlignment="1">
      <alignment horizontal="center"/>
    </xf>
    <xf numFmtId="0" fontId="23" fillId="0" borderId="102" xfId="0" applyFont="1" applyBorder="1" applyAlignment="1">
      <alignment horizontal="center"/>
    </xf>
    <xf numFmtId="0" fontId="23" fillId="0" borderId="110" xfId="0" applyFont="1" applyBorder="1" applyAlignment="1">
      <alignment horizontal="center"/>
    </xf>
    <xf numFmtId="0" fontId="23" fillId="0" borderId="112" xfId="0" applyFont="1" applyBorder="1" applyAlignment="1">
      <alignment horizontal="center"/>
    </xf>
    <xf numFmtId="1" fontId="14" fillId="6" borderId="1" xfId="4" applyNumberFormat="1" applyFont="1" applyFill="1" applyBorder="1" applyAlignment="1">
      <alignment horizontal="center" vertical="center" wrapText="1"/>
    </xf>
    <xf numFmtId="0" fontId="4" fillId="0" borderId="0" xfId="4"/>
    <xf numFmtId="0" fontId="4" fillId="0" borderId="0" xfId="4" applyFont="1" applyAlignment="1">
      <alignment horizontal="right"/>
    </xf>
    <xf numFmtId="0" fontId="42" fillId="5" borderId="1" xfId="4" applyFont="1" applyFill="1" applyBorder="1" applyAlignment="1">
      <alignment horizontal="center" vertical="center" wrapText="1"/>
    </xf>
    <xf numFmtId="0" fontId="23" fillId="0" borderId="106" xfId="0" applyFont="1" applyBorder="1"/>
    <xf numFmtId="49" fontId="0" fillId="0" borderId="0" xfId="0" applyNumberFormat="1"/>
    <xf numFmtId="0" fontId="23" fillId="0" borderId="13" xfId="0" applyFont="1" applyBorder="1" applyAlignment="1">
      <alignment horizontal="left" vertical="top" wrapText="1"/>
    </xf>
    <xf numFmtId="0" fontId="0" fillId="0" borderId="12" xfId="0" applyBorder="1"/>
    <xf numFmtId="0" fontId="0" fillId="0" borderId="126" xfId="0" applyBorder="1"/>
    <xf numFmtId="0" fontId="0" fillId="0" borderId="13" xfId="0" applyBorder="1"/>
    <xf numFmtId="0" fontId="0" fillId="0" borderId="0" xfId="0" applyBorder="1" applyAlignment="1">
      <alignment horizontal="left" vertical="center" indent="1"/>
    </xf>
    <xf numFmtId="0" fontId="0" fillId="0" borderId="13" xfId="0" applyBorder="1" applyAlignment="1">
      <alignment horizontal="left" vertical="center" indent="1"/>
    </xf>
    <xf numFmtId="0" fontId="0" fillId="0" borderId="104" xfId="0" applyBorder="1"/>
    <xf numFmtId="0" fontId="0" fillId="0" borderId="8" xfId="0" applyBorder="1" applyAlignment="1">
      <alignment horizontal="left" vertical="center" indent="1"/>
    </xf>
    <xf numFmtId="0" fontId="0" fillId="0" borderId="106" xfId="0" applyBorder="1" applyAlignment="1">
      <alignment horizontal="left" vertical="center" indent="1"/>
    </xf>
    <xf numFmtId="1" fontId="26" fillId="10" borderId="74" xfId="9" applyBorder="1" applyProtection="1">
      <alignment horizontal="center" vertical="center"/>
    </xf>
    <xf numFmtId="0" fontId="13" fillId="15" borderId="120" xfId="15" applyBorder="1">
      <alignment horizontal="center" vertical="center"/>
    </xf>
    <xf numFmtId="0" fontId="0" fillId="13" borderId="74" xfId="0" applyFill="1" applyBorder="1"/>
    <xf numFmtId="167" fontId="44" fillId="11" borderId="21" xfId="10" applyFont="1" applyFill="1" applyBorder="1" applyAlignment="1">
      <alignment horizontal="left" vertical="center" wrapText="1"/>
    </xf>
    <xf numFmtId="167" fontId="27" fillId="16" borderId="74" xfId="10" applyFill="1" applyBorder="1">
      <alignment horizontal="left" vertical="top" wrapText="1"/>
    </xf>
    <xf numFmtId="0" fontId="21" fillId="0" borderId="126" xfId="12" applyFill="1" applyBorder="1" applyProtection="1">
      <alignment horizontal="left" vertical="top" wrapText="1"/>
    </xf>
    <xf numFmtId="0" fontId="0" fillId="0" borderId="126" xfId="0" applyBorder="1" applyAlignment="1">
      <alignment horizontal="left" vertical="center" wrapText="1" indent="1"/>
    </xf>
    <xf numFmtId="0" fontId="0" fillId="0" borderId="131" xfId="0" applyBorder="1" applyAlignment="1">
      <alignment horizontal="left" vertical="center" wrapText="1" indent="1"/>
    </xf>
    <xf numFmtId="0" fontId="0" fillId="0" borderId="12" xfId="0" applyFill="1" applyBorder="1" applyAlignment="1">
      <alignment horizontal="left" vertical="top" wrapText="1" indent="1"/>
    </xf>
    <xf numFmtId="0" fontId="0" fillId="0" borderId="0" xfId="0" applyFill="1" applyBorder="1" applyAlignment="1">
      <alignment horizontal="left" vertical="top" wrapText="1" indent="1"/>
    </xf>
    <xf numFmtId="0" fontId="0" fillId="0" borderId="13" xfId="0" applyFill="1" applyBorder="1" applyAlignment="1">
      <alignment horizontal="left" vertical="top" wrapText="1" indent="1"/>
    </xf>
    <xf numFmtId="0" fontId="0" fillId="0" borderId="12" xfId="0" applyBorder="1" applyAlignment="1">
      <alignment horizontal="left" vertical="top" wrapText="1" indent="1"/>
    </xf>
    <xf numFmtId="0" fontId="0" fillId="0" borderId="0" xfId="0" applyBorder="1" applyAlignment="1">
      <alignment horizontal="left" vertical="top" wrapText="1" indent="1"/>
    </xf>
    <xf numFmtId="0" fontId="0" fillId="0" borderId="13" xfId="0" applyBorder="1" applyAlignment="1">
      <alignment horizontal="left" vertical="top" wrapText="1" indent="1"/>
    </xf>
    <xf numFmtId="0" fontId="0" fillId="0" borderId="0" xfId="0" applyBorder="1"/>
    <xf numFmtId="0" fontId="23" fillId="0" borderId="0" xfId="0" applyFont="1" applyBorder="1" applyAlignment="1" applyProtection="1">
      <alignment horizontal="center" vertical="center"/>
    </xf>
    <xf numFmtId="0" fontId="1" fillId="0" borderId="0" xfId="0" applyFont="1" applyBorder="1"/>
    <xf numFmtId="0" fontId="3" fillId="0" borderId="0" xfId="0" applyFont="1"/>
    <xf numFmtId="0" fontId="23" fillId="0" borderId="0" xfId="0" applyFont="1"/>
    <xf numFmtId="0" fontId="21" fillId="0" borderId="0" xfId="4" applyFont="1"/>
    <xf numFmtId="0" fontId="22" fillId="0" borderId="0" xfId="4" applyFont="1" applyAlignment="1">
      <alignment horizontal="center" vertical="center"/>
    </xf>
    <xf numFmtId="166" fontId="23" fillId="0" borderId="31" xfId="0" applyNumberFormat="1" applyFont="1" applyBorder="1" applyAlignment="1">
      <alignment horizontal="left" vertical="top"/>
    </xf>
    <xf numFmtId="0" fontId="22" fillId="0" borderId="0" xfId="4" applyFont="1" applyAlignment="1">
      <alignment horizontal="center" vertical="top"/>
    </xf>
    <xf numFmtId="0" fontId="21" fillId="0" borderId="0" xfId="4" quotePrefix="1" applyNumberFormat="1" applyFont="1" applyFill="1" applyBorder="1" applyAlignment="1">
      <alignment horizontal="left" vertical="top"/>
    </xf>
    <xf numFmtId="0" fontId="21" fillId="0" borderId="0" xfId="4" applyFont="1" applyFill="1"/>
    <xf numFmtId="0" fontId="21" fillId="0" borderId="12" xfId="4" applyFont="1" applyFill="1" applyBorder="1"/>
    <xf numFmtId="167" fontId="21" fillId="0" borderId="0" xfId="4" applyNumberFormat="1" applyFont="1" applyFill="1" applyBorder="1" applyAlignment="1">
      <alignment horizontal="right" vertical="top"/>
    </xf>
    <xf numFmtId="0" fontId="21" fillId="0" borderId="0" xfId="4" applyFont="1" applyAlignment="1">
      <alignment wrapText="1"/>
    </xf>
    <xf numFmtId="49" fontId="21" fillId="0" borderId="12" xfId="4" applyNumberFormat="1" applyFont="1" applyBorder="1"/>
    <xf numFmtId="167" fontId="21" fillId="0" borderId="26" xfId="4" applyNumberFormat="1" applyFont="1" applyBorder="1" applyAlignment="1">
      <alignment horizontal="center" vertical="top"/>
    </xf>
    <xf numFmtId="167" fontId="21" fillId="0" borderId="26" xfId="4" applyNumberFormat="1" applyFont="1" applyBorder="1" applyAlignment="1">
      <alignment vertical="top"/>
    </xf>
    <xf numFmtId="0" fontId="22" fillId="0" borderId="26" xfId="4" applyNumberFormat="1" applyFont="1" applyBorder="1" applyAlignment="1">
      <alignment horizontal="center" vertical="center" wrapText="1"/>
    </xf>
    <xf numFmtId="167" fontId="21" fillId="0" borderId="0" xfId="4" applyNumberFormat="1" applyFont="1" applyBorder="1" applyAlignment="1">
      <alignment vertical="top"/>
    </xf>
    <xf numFmtId="0" fontId="21" fillId="0" borderId="142" xfId="4" quotePrefix="1" applyNumberFormat="1" applyFont="1" applyBorder="1" applyAlignment="1">
      <alignment horizontal="left" vertical="top"/>
    </xf>
    <xf numFmtId="0" fontId="21" fillId="0" borderId="34" xfId="4" quotePrefix="1" applyNumberFormat="1" applyFont="1" applyBorder="1" applyAlignment="1">
      <alignment horizontal="center" vertical="top"/>
    </xf>
    <xf numFmtId="49" fontId="21" fillId="0" borderId="0" xfId="4" applyNumberFormat="1" applyFont="1" applyBorder="1" applyAlignment="1">
      <alignment horizontal="center"/>
    </xf>
    <xf numFmtId="1" fontId="22" fillId="0" borderId="26" xfId="4" applyNumberFormat="1" applyFont="1" applyBorder="1" applyAlignment="1">
      <alignment horizontal="center" vertical="center" wrapText="1"/>
    </xf>
    <xf numFmtId="49" fontId="21" fillId="0" borderId="12" xfId="4" quotePrefix="1" applyNumberFormat="1" applyFont="1" applyBorder="1" applyAlignment="1">
      <alignment vertical="top"/>
    </xf>
    <xf numFmtId="49" fontId="21" fillId="0" borderId="0" xfId="4" quotePrefix="1" applyNumberFormat="1" applyFont="1" applyBorder="1" applyAlignment="1">
      <alignment horizontal="center" vertical="top"/>
    </xf>
    <xf numFmtId="49" fontId="21" fillId="0" borderId="0" xfId="4" quotePrefix="1" applyNumberFormat="1" applyFont="1" applyBorder="1" applyAlignment="1">
      <alignment vertical="top"/>
    </xf>
    <xf numFmtId="0" fontId="23" fillId="0" borderId="79" xfId="0" applyFont="1" applyBorder="1" applyAlignment="1">
      <alignment horizontal="center" vertical="center" wrapText="1"/>
    </xf>
    <xf numFmtId="49" fontId="21" fillId="0" borderId="34" xfId="4" quotePrefix="1" applyNumberFormat="1" applyFont="1" applyBorder="1" applyAlignment="1">
      <alignment horizontal="center" vertical="top"/>
    </xf>
    <xf numFmtId="49" fontId="21" fillId="0" borderId="34" xfId="4" quotePrefix="1" applyNumberFormat="1" applyFont="1" applyBorder="1" applyAlignment="1">
      <alignment vertical="top"/>
    </xf>
    <xf numFmtId="49" fontId="21" fillId="0" borderId="26" xfId="4" quotePrefix="1" applyNumberFormat="1" applyFont="1" applyBorder="1" applyAlignment="1">
      <alignment vertical="top"/>
    </xf>
    <xf numFmtId="167" fontId="21" fillId="0" borderId="12" xfId="4" quotePrefix="1" applyNumberFormat="1" applyFont="1" applyBorder="1" applyAlignment="1">
      <alignment vertical="top"/>
    </xf>
    <xf numFmtId="167" fontId="21" fillId="0" borderId="0" xfId="4" quotePrefix="1" applyNumberFormat="1" applyFont="1" applyBorder="1" applyAlignment="1">
      <alignment horizontal="center" vertical="top"/>
    </xf>
    <xf numFmtId="167" fontId="21" fillId="0" borderId="0" xfId="4" quotePrefix="1" applyNumberFormat="1" applyFont="1" applyBorder="1" applyAlignment="1">
      <alignment vertical="top"/>
    </xf>
    <xf numFmtId="0" fontId="21" fillId="0" borderId="0" xfId="4" applyNumberFormat="1" applyFont="1" applyBorder="1" applyAlignment="1">
      <alignment horizontal="left" vertical="top"/>
    </xf>
    <xf numFmtId="167" fontId="21" fillId="0" borderId="26" xfId="4" applyNumberFormat="1" applyFont="1" applyBorder="1" applyAlignment="1">
      <alignment horizontal="right" vertical="top"/>
    </xf>
    <xf numFmtId="167" fontId="21" fillId="0" borderId="0" xfId="4" applyNumberFormat="1" applyFont="1" applyBorder="1" applyAlignment="1">
      <alignment horizontal="right" vertical="top"/>
    </xf>
    <xf numFmtId="0" fontId="39" fillId="0" borderId="0" xfId="4" applyFont="1"/>
    <xf numFmtId="49" fontId="21" fillId="0" borderId="0" xfId="4" applyNumberFormat="1" applyFont="1" applyBorder="1"/>
    <xf numFmtId="49" fontId="21" fillId="0" borderId="0" xfId="4" applyNumberFormat="1" applyFont="1" applyAlignment="1">
      <alignment horizontal="center"/>
    </xf>
    <xf numFmtId="49" fontId="21" fillId="0" borderId="0" xfId="4" applyNumberFormat="1" applyFont="1"/>
    <xf numFmtId="49" fontId="22" fillId="0" borderId="0" xfId="4" applyNumberFormat="1" applyFont="1" applyAlignment="1">
      <alignment horizontal="center" vertical="center" wrapText="1"/>
    </xf>
    <xf numFmtId="0" fontId="21" fillId="0" borderId="0" xfId="4" applyFont="1" applyAlignment="1">
      <alignment horizontal="center" vertical="center" wrapText="1"/>
    </xf>
    <xf numFmtId="0" fontId="21" fillId="0" borderId="0" xfId="4" applyFont="1" applyAlignment="1">
      <alignment vertical="center"/>
    </xf>
    <xf numFmtId="0" fontId="22" fillId="0" borderId="0" xfId="0" applyFont="1" applyBorder="1" applyAlignment="1">
      <alignment vertical="top" wrapText="1"/>
    </xf>
    <xf numFmtId="0" fontId="21" fillId="0" borderId="0" xfId="0" applyFont="1" applyBorder="1" applyAlignment="1">
      <alignment horizontal="right" vertical="top" wrapText="1"/>
    </xf>
    <xf numFmtId="0" fontId="1" fillId="0" borderId="0" xfId="0" applyFont="1" applyBorder="1" applyAlignment="1">
      <alignment horizontal="right"/>
    </xf>
    <xf numFmtId="0" fontId="1" fillId="0" borderId="0" xfId="0" applyFont="1" applyBorder="1" applyAlignment="1">
      <alignment wrapText="1"/>
    </xf>
    <xf numFmtId="0" fontId="1" fillId="0" borderId="0" xfId="0" applyFont="1" applyBorder="1" applyAlignment="1">
      <alignment horizontal="right" wrapText="1"/>
    </xf>
    <xf numFmtId="0" fontId="13" fillId="15" borderId="182" xfId="15" applyBorder="1">
      <alignment horizontal="center" vertical="center"/>
    </xf>
    <xf numFmtId="0" fontId="0" fillId="0" borderId="34" xfId="0" applyBorder="1" applyProtection="1"/>
    <xf numFmtId="0" fontId="0" fillId="0" borderId="18" xfId="0" applyBorder="1" applyProtection="1"/>
    <xf numFmtId="0" fontId="23" fillId="0" borderId="160" xfId="0" applyFont="1" applyBorder="1" applyAlignment="1" applyProtection="1">
      <alignment vertical="top"/>
    </xf>
    <xf numFmtId="0" fontId="23" fillId="0" borderId="0" xfId="0" applyFont="1" applyBorder="1" applyAlignment="1" applyProtection="1">
      <alignment vertical="top"/>
    </xf>
    <xf numFmtId="167" fontId="23" fillId="0" borderId="26" xfId="0" applyNumberFormat="1" applyFont="1" applyBorder="1" applyAlignment="1" applyProtection="1">
      <alignment vertical="top"/>
    </xf>
    <xf numFmtId="167" fontId="23" fillId="0" borderId="0" xfId="0" applyNumberFormat="1" applyFont="1" applyBorder="1" applyAlignment="1" applyProtection="1">
      <alignment vertical="top"/>
    </xf>
    <xf numFmtId="49" fontId="54" fillId="0" borderId="18" xfId="16" applyBorder="1" applyProtection="1">
      <alignment horizontal="center" vertical="center" wrapText="1"/>
    </xf>
    <xf numFmtId="49" fontId="54" fillId="0" borderId="28" xfId="16" applyBorder="1" applyProtection="1">
      <alignment horizontal="center" vertical="center" wrapText="1"/>
    </xf>
    <xf numFmtId="0" fontId="3" fillId="0" borderId="0" xfId="0" applyFont="1" applyBorder="1" applyAlignment="1"/>
    <xf numFmtId="0" fontId="22" fillId="0" borderId="0" xfId="0" applyFont="1" applyBorder="1" applyAlignment="1"/>
    <xf numFmtId="0" fontId="1" fillId="0" borderId="0" xfId="0" applyFont="1" applyBorder="1" applyAlignment="1">
      <alignment horizontal="center"/>
    </xf>
    <xf numFmtId="0" fontId="23" fillId="0" borderId="31" xfId="17" applyFont="1" applyFill="1" applyBorder="1" applyAlignment="1" applyProtection="1">
      <alignment horizontal="left" vertical="top" wrapText="1"/>
    </xf>
    <xf numFmtId="0" fontId="23" fillId="0" borderId="32" xfId="17" applyFont="1" applyFill="1" applyBorder="1" applyAlignment="1" applyProtection="1">
      <alignment horizontal="center" vertical="top" wrapText="1"/>
    </xf>
    <xf numFmtId="0" fontId="23" fillId="0" borderId="32" xfId="17" applyFont="1" applyFill="1" applyBorder="1" applyAlignment="1" applyProtection="1">
      <alignment horizontal="left" vertical="top" wrapText="1"/>
    </xf>
    <xf numFmtId="0" fontId="30" fillId="0" borderId="32" xfId="17" applyFont="1" applyFill="1" applyBorder="1" applyAlignment="1" applyProtection="1">
      <alignment horizontal="center" vertical="center" wrapText="1"/>
    </xf>
    <xf numFmtId="0" fontId="22" fillId="0" borderId="0" xfId="0" applyFont="1" applyBorder="1" applyAlignment="1">
      <alignment horizontal="left" vertical="top" wrapText="1"/>
    </xf>
    <xf numFmtId="0" fontId="13" fillId="0" borderId="0" xfId="0" applyFont="1" applyBorder="1" applyAlignment="1">
      <alignment horizontal="center" vertical="center"/>
    </xf>
    <xf numFmtId="0" fontId="23" fillId="0" borderId="34" xfId="0" applyFont="1" applyBorder="1" applyAlignment="1">
      <alignment horizontal="left" vertical="top"/>
    </xf>
    <xf numFmtId="0" fontId="21" fillId="0" borderId="12" xfId="4" applyNumberFormat="1" applyFont="1" applyFill="1" applyBorder="1" applyAlignment="1">
      <alignment horizontal="left" vertical="top"/>
    </xf>
    <xf numFmtId="0" fontId="21" fillId="0" borderId="0" xfId="4" applyNumberFormat="1" applyFont="1" applyFill="1" applyBorder="1" applyAlignment="1">
      <alignment horizontal="center" vertical="top"/>
    </xf>
    <xf numFmtId="167" fontId="21" fillId="0" borderId="12" xfId="4" applyNumberFormat="1" applyFont="1" applyFill="1" applyBorder="1" applyAlignment="1">
      <alignment horizontal="right" vertical="top"/>
    </xf>
    <xf numFmtId="0" fontId="23" fillId="0" borderId="34" xfId="0" applyFont="1" applyBorder="1" applyAlignment="1">
      <alignment horizontal="center" vertical="center"/>
    </xf>
    <xf numFmtId="0" fontId="23" fillId="0" borderId="0" xfId="0" applyFont="1" applyAlignment="1">
      <alignment horizontal="left" vertical="top" wrapText="1"/>
    </xf>
    <xf numFmtId="167" fontId="23" fillId="0" borderId="18" xfId="0" applyNumberFormat="1" applyFont="1" applyBorder="1" applyAlignment="1">
      <alignment horizontal="left" vertical="top" wrapText="1"/>
    </xf>
    <xf numFmtId="0" fontId="0" fillId="0" borderId="0" xfId="0" applyFont="1" applyBorder="1"/>
    <xf numFmtId="0" fontId="23" fillId="0" borderId="39" xfId="0" applyFont="1" applyBorder="1" applyAlignment="1" applyProtection="1">
      <alignment horizontal="left" vertical="top"/>
    </xf>
    <xf numFmtId="0" fontId="23" fillId="0" borderId="34" xfId="0" applyFont="1" applyBorder="1" applyAlignment="1" applyProtection="1">
      <alignment horizontal="center" vertical="top"/>
    </xf>
    <xf numFmtId="167" fontId="23" fillId="0" borderId="18" xfId="0" applyNumberFormat="1" applyFont="1" applyBorder="1" applyAlignment="1" applyProtection="1">
      <alignment horizontal="center" vertical="top" wrapText="1"/>
    </xf>
    <xf numFmtId="0" fontId="23" fillId="0" borderId="18" xfId="0" applyFont="1" applyBorder="1" applyAlignment="1" applyProtection="1">
      <alignment horizontal="center" vertical="top" wrapText="1"/>
    </xf>
    <xf numFmtId="0" fontId="0" fillId="0" borderId="12" xfId="0" applyBorder="1" applyProtection="1"/>
    <xf numFmtId="0" fontId="0" fillId="0" borderId="0" xfId="0" applyFont="1" applyBorder="1" applyProtection="1"/>
    <xf numFmtId="0" fontId="23" fillId="0" borderId="39" xfId="0" applyFont="1" applyBorder="1" applyAlignment="1" applyProtection="1">
      <alignment horizontal="left" vertical="top" wrapText="1"/>
    </xf>
    <xf numFmtId="0" fontId="23" fillId="0" borderId="34" xfId="0" applyFont="1" applyBorder="1" applyAlignment="1" applyProtection="1">
      <alignment horizontal="center" vertical="top" wrapText="1"/>
    </xf>
    <xf numFmtId="0" fontId="32" fillId="0" borderId="34" xfId="0" applyFont="1" applyBorder="1" applyAlignment="1" applyProtection="1">
      <alignment horizontal="center" vertical="center" wrapText="1"/>
    </xf>
    <xf numFmtId="0" fontId="23" fillId="0" borderId="34" xfId="0" applyFont="1" applyBorder="1" applyAlignment="1" applyProtection="1">
      <alignment horizontal="center" vertical="center"/>
    </xf>
    <xf numFmtId="0" fontId="0" fillId="0" borderId="20" xfId="0" applyBorder="1"/>
    <xf numFmtId="0" fontId="23" fillId="0" borderId="18" xfId="0" applyFont="1" applyBorder="1" applyAlignment="1">
      <alignment horizontal="center" vertical="top" wrapText="1"/>
    </xf>
    <xf numFmtId="0" fontId="0" fillId="0" borderId="31" xfId="0" applyBorder="1"/>
    <xf numFmtId="0" fontId="0" fillId="0" borderId="32" xfId="0" applyFont="1" applyBorder="1"/>
    <xf numFmtId="0" fontId="0" fillId="0" borderId="32" xfId="0" applyBorder="1" applyProtection="1"/>
    <xf numFmtId="0" fontId="0" fillId="0" borderId="0" xfId="0" applyFont="1" applyAlignment="1">
      <alignment horizontal="center"/>
    </xf>
    <xf numFmtId="0" fontId="23" fillId="0" borderId="0" xfId="0" applyFont="1" applyAlignment="1">
      <alignment horizontal="center" vertical="top" wrapText="1"/>
    </xf>
    <xf numFmtId="0" fontId="30" fillId="0" borderId="0" xfId="0" applyFont="1" applyAlignment="1">
      <alignment horizontal="center" vertical="center" wrapText="1"/>
    </xf>
    <xf numFmtId="0" fontId="14" fillId="6" borderId="1" xfId="4" applyFont="1" applyFill="1" applyBorder="1" applyAlignment="1">
      <alignment horizontal="center" vertical="center" wrapText="1"/>
    </xf>
    <xf numFmtId="0" fontId="2" fillId="8" borderId="137" xfId="6" applyFont="1" applyBorder="1" applyAlignment="1">
      <alignment horizontal="center" vertical="center" wrapText="1"/>
    </xf>
    <xf numFmtId="166" fontId="21" fillId="0" borderId="31" xfId="4" quotePrefix="1" applyNumberFormat="1" applyFont="1" applyFill="1" applyBorder="1" applyAlignment="1">
      <alignment horizontal="left" vertical="top"/>
    </xf>
    <xf numFmtId="166" fontId="21" fillId="0" borderId="32" xfId="4" quotePrefix="1" applyNumberFormat="1" applyFont="1" applyFill="1" applyBorder="1" applyAlignment="1">
      <alignment horizontal="center" vertical="top"/>
    </xf>
    <xf numFmtId="0" fontId="21" fillId="0" borderId="32" xfId="4" applyNumberFormat="1" applyFont="1" applyFill="1" applyBorder="1" applyAlignment="1" applyProtection="1">
      <alignment vertical="top" wrapText="1"/>
    </xf>
    <xf numFmtId="0" fontId="23" fillId="0" borderId="18" xfId="0" applyFont="1" applyBorder="1" applyAlignment="1" applyProtection="1">
      <alignment horizontal="center" vertical="center" wrapText="1"/>
    </xf>
    <xf numFmtId="0" fontId="13" fillId="0" borderId="34" xfId="0" applyFont="1" applyBorder="1" applyAlignment="1" applyProtection="1">
      <alignment horizontal="center" vertical="center" wrapText="1"/>
    </xf>
    <xf numFmtId="0" fontId="0" fillId="0" borderId="12" xfId="0" applyFont="1" applyBorder="1" applyProtection="1"/>
    <xf numFmtId="49" fontId="54" fillId="0" borderId="0" xfId="16" applyBorder="1" applyProtection="1">
      <alignment horizontal="center" vertical="center" wrapText="1"/>
    </xf>
    <xf numFmtId="0" fontId="23" fillId="0" borderId="12" xfId="0" applyFont="1" applyBorder="1" applyAlignment="1" applyProtection="1">
      <alignment horizontal="right" vertical="top"/>
    </xf>
    <xf numFmtId="0" fontId="23" fillId="0" borderId="160" xfId="0" applyFont="1" applyBorder="1" applyAlignment="1" applyProtection="1">
      <alignment horizontal="left" vertical="top"/>
    </xf>
    <xf numFmtId="0" fontId="0" fillId="0" borderId="130" xfId="0" applyBorder="1" applyProtection="1"/>
    <xf numFmtId="167" fontId="23" fillId="0" borderId="34" xfId="0" applyNumberFormat="1" applyFont="1" applyBorder="1" applyAlignment="1" applyProtection="1">
      <alignment horizontal="center" vertical="top"/>
    </xf>
    <xf numFmtId="49" fontId="54" fillId="0" borderId="34" xfId="16" applyBorder="1" applyProtection="1">
      <alignment horizontal="center" vertical="center" wrapText="1"/>
    </xf>
    <xf numFmtId="1" fontId="26" fillId="10" borderId="172" xfId="9" applyBorder="1" applyProtection="1">
      <alignment horizontal="center" vertical="center"/>
      <protection locked="0"/>
    </xf>
    <xf numFmtId="0" fontId="0" fillId="0" borderId="12" xfId="0" applyFont="1" applyBorder="1"/>
    <xf numFmtId="166" fontId="23" fillId="0" borderId="32" xfId="0" applyNumberFormat="1" applyFont="1" applyBorder="1" applyAlignment="1">
      <alignment horizontal="center" vertical="top"/>
    </xf>
    <xf numFmtId="49" fontId="54" fillId="0" borderId="28" xfId="16" applyBorder="1">
      <alignment horizontal="center" vertical="center" wrapText="1"/>
    </xf>
    <xf numFmtId="0" fontId="0" fillId="0" borderId="0" xfId="0" applyFont="1" applyAlignment="1">
      <alignment horizontal="left" vertical="top"/>
    </xf>
    <xf numFmtId="0" fontId="23" fillId="0" borderId="0" xfId="0" applyFont="1" applyAlignment="1">
      <alignment horizontal="center" vertical="top"/>
    </xf>
    <xf numFmtId="166" fontId="23" fillId="0" borderId="12" xfId="0" applyNumberFormat="1" applyFont="1" applyBorder="1" applyAlignment="1">
      <alignment horizontal="left" vertical="top" wrapText="1"/>
    </xf>
    <xf numFmtId="0" fontId="0" fillId="0" borderId="104" xfId="0" applyFont="1" applyBorder="1"/>
    <xf numFmtId="167" fontId="23" fillId="0" borderId="198" xfId="0" applyNumberFormat="1" applyFont="1" applyBorder="1" applyAlignment="1">
      <alignment horizontal="center" vertical="top"/>
    </xf>
    <xf numFmtId="0" fontId="0" fillId="0" borderId="0" xfId="0" applyFont="1" applyAlignment="1">
      <alignment horizontal="center" vertical="top"/>
    </xf>
    <xf numFmtId="0" fontId="57" fillId="22" borderId="0" xfId="0" applyFont="1" applyFill="1" applyProtection="1">
      <protection hidden="1"/>
    </xf>
    <xf numFmtId="1" fontId="3" fillId="0" borderId="0" xfId="0" applyNumberFormat="1" applyFont="1" applyAlignment="1" applyProtection="1">
      <alignment horizontal="right" vertical="top"/>
      <protection hidden="1"/>
    </xf>
    <xf numFmtId="0" fontId="0" fillId="0" borderId="0" xfId="0" applyFont="1" applyAlignment="1" applyProtection="1">
      <alignment horizontal="left" vertical="top"/>
      <protection hidden="1"/>
    </xf>
    <xf numFmtId="0" fontId="22" fillId="0" borderId="0" xfId="0" applyFont="1" applyBorder="1" applyAlignment="1" applyProtection="1">
      <alignment horizontal="right"/>
    </xf>
    <xf numFmtId="0" fontId="13" fillId="0" borderId="61" xfId="0" applyFont="1" applyBorder="1" applyAlignment="1" applyProtection="1">
      <alignment horizontal="right" vertical="center"/>
    </xf>
    <xf numFmtId="0" fontId="22" fillId="0" borderId="0" xfId="0" applyFont="1" applyBorder="1" applyAlignment="1" applyProtection="1">
      <alignment horizontal="right" vertical="center"/>
    </xf>
    <xf numFmtId="0" fontId="13" fillId="0" borderId="0" xfId="0" applyFont="1" applyBorder="1" applyAlignment="1" applyProtection="1">
      <alignment horizontal="right" vertical="center"/>
    </xf>
    <xf numFmtId="0" fontId="7" fillId="0" borderId="0" xfId="0" applyFont="1" applyBorder="1" applyAlignment="1">
      <alignment horizontal="center"/>
    </xf>
    <xf numFmtId="0" fontId="21" fillId="0" borderId="0" xfId="0" applyFont="1" applyBorder="1" applyAlignment="1" applyProtection="1">
      <alignment horizontal="left" vertical="center" indent="1"/>
    </xf>
    <xf numFmtId="0" fontId="22" fillId="0" borderId="222" xfId="0" applyFont="1" applyFill="1" applyBorder="1" applyAlignment="1" applyProtection="1">
      <alignment horizontal="left" vertical="top" wrapText="1"/>
    </xf>
    <xf numFmtId="0" fontId="22" fillId="23" borderId="223" xfId="0" applyFont="1" applyFill="1" applyBorder="1" applyAlignment="1" applyProtection="1">
      <alignment horizontal="left" vertical="top" wrapText="1"/>
    </xf>
    <xf numFmtId="0" fontId="22" fillId="0" borderId="225" xfId="0" applyFont="1" applyBorder="1" applyAlignment="1" applyProtection="1">
      <alignment horizontal="left" vertical="top" wrapText="1" indent="4"/>
    </xf>
    <xf numFmtId="0" fontId="22" fillId="0" borderId="79" xfId="0" applyFont="1" applyBorder="1" applyAlignment="1" applyProtection="1">
      <alignment horizontal="center" vertical="center" wrapText="1"/>
    </xf>
    <xf numFmtId="1" fontId="21" fillId="0" borderId="228" xfId="0" applyNumberFormat="1" applyFont="1" applyBorder="1" applyAlignment="1" applyProtection="1">
      <alignment horizontal="center" vertical="center" wrapText="1"/>
    </xf>
    <xf numFmtId="0" fontId="22" fillId="0" borderId="231" xfId="0" applyFont="1" applyBorder="1" applyAlignment="1" applyProtection="1">
      <alignment horizontal="left" vertical="top" wrapText="1"/>
    </xf>
    <xf numFmtId="0" fontId="22" fillId="23" borderId="232" xfId="0" applyFont="1" applyFill="1" applyBorder="1" applyAlignment="1" applyProtection="1">
      <alignment horizontal="left" vertical="top" wrapText="1"/>
    </xf>
    <xf numFmtId="0" fontId="22" fillId="0" borderId="235" xfId="0" applyFont="1" applyBorder="1" applyAlignment="1" applyProtection="1">
      <alignment horizontal="left" vertical="top" wrapText="1"/>
    </xf>
    <xf numFmtId="1" fontId="21" fillId="0" borderId="236" xfId="0" applyNumberFormat="1" applyFont="1" applyBorder="1" applyAlignment="1" applyProtection="1">
      <alignment horizontal="center" vertical="center" wrapText="1"/>
    </xf>
    <xf numFmtId="0" fontId="22" fillId="0" borderId="222" xfId="0" applyFont="1" applyBorder="1" applyAlignment="1" applyProtection="1">
      <alignment vertical="top" wrapText="1"/>
    </xf>
    <xf numFmtId="0" fontId="22" fillId="23" borderId="223" xfId="0" applyFont="1" applyFill="1" applyBorder="1" applyAlignment="1" applyProtection="1">
      <alignment vertical="top" wrapText="1"/>
    </xf>
    <xf numFmtId="0" fontId="22" fillId="0" borderId="238" xfId="0" applyFont="1" applyBorder="1" applyAlignment="1" applyProtection="1">
      <alignment horizontal="left" vertical="top" wrapText="1"/>
    </xf>
    <xf numFmtId="0" fontId="22" fillId="0" borderId="225" xfId="0" applyFont="1" applyBorder="1" applyAlignment="1" applyProtection="1">
      <alignment horizontal="left" vertical="top" wrapText="1" indent="6"/>
    </xf>
    <xf numFmtId="0" fontId="22" fillId="0" borderId="231" xfId="0" applyFont="1" applyBorder="1" applyAlignment="1" applyProtection="1">
      <alignment vertical="center" wrapText="1"/>
    </xf>
    <xf numFmtId="0" fontId="22" fillId="23" borderId="232" xfId="0" applyFont="1" applyFill="1" applyBorder="1" applyAlignment="1" applyProtection="1">
      <alignment wrapText="1"/>
    </xf>
    <xf numFmtId="0" fontId="22" fillId="0" borderId="239" xfId="0" applyFont="1" applyBorder="1" applyAlignment="1" applyProtection="1">
      <alignment horizontal="left" vertical="top" wrapText="1" indent="4"/>
    </xf>
    <xf numFmtId="0" fontId="22" fillId="0" borderId="240" xfId="0" applyFont="1" applyBorder="1" applyAlignment="1" applyProtection="1">
      <alignment horizontal="center" vertical="center" wrapText="1"/>
    </xf>
    <xf numFmtId="1" fontId="21" fillId="0" borderId="240" xfId="0" applyNumberFormat="1" applyFont="1" applyBorder="1" applyAlignment="1" applyProtection="1">
      <alignment horizontal="center" vertical="center" wrapText="1"/>
    </xf>
    <xf numFmtId="0" fontId="22" fillId="23" borderId="232" xfId="0" applyFont="1" applyFill="1" applyBorder="1" applyAlignment="1" applyProtection="1"/>
    <xf numFmtId="0" fontId="22" fillId="0" borderId="242" xfId="0" applyFont="1" applyBorder="1" applyAlignment="1" applyProtection="1">
      <alignment horizontal="left" vertical="top" wrapText="1" indent="4"/>
    </xf>
    <xf numFmtId="0" fontId="22" fillId="0" borderId="228" xfId="0" applyFont="1" applyBorder="1" applyAlignment="1" applyProtection="1">
      <alignment horizontal="center" vertical="center"/>
    </xf>
    <xf numFmtId="0" fontId="22" fillId="0" borderId="225" xfId="0" applyFont="1" applyBorder="1" applyAlignment="1" applyProtection="1">
      <alignment horizontal="left" vertical="top" wrapText="1" indent="3"/>
    </xf>
    <xf numFmtId="0" fontId="22" fillId="0" borderId="239" xfId="0" applyFont="1" applyBorder="1" applyAlignment="1" applyProtection="1">
      <alignment horizontal="left" vertical="top" wrapText="1" indent="3"/>
    </xf>
    <xf numFmtId="0" fontId="22" fillId="0" borderId="240" xfId="0" applyFont="1" applyBorder="1" applyAlignment="1" applyProtection="1">
      <alignment horizontal="center" vertical="center"/>
    </xf>
    <xf numFmtId="0" fontId="22" fillId="0" borderId="243" xfId="0" applyFont="1" applyBorder="1" applyAlignment="1" applyProtection="1">
      <alignment horizontal="left" vertical="top" wrapText="1"/>
    </xf>
    <xf numFmtId="1" fontId="21" fillId="0" borderId="244" xfId="0" applyNumberFormat="1" applyFont="1" applyBorder="1" applyAlignment="1" applyProtection="1">
      <alignment horizontal="center" vertical="center" wrapText="1"/>
    </xf>
    <xf numFmtId="0" fontId="22" fillId="0" borderId="243" xfId="0" applyFont="1" applyBorder="1" applyAlignment="1" applyProtection="1">
      <alignment vertical="top" wrapText="1"/>
    </xf>
    <xf numFmtId="0" fontId="22" fillId="0" borderId="231" xfId="0" applyFont="1" applyBorder="1" applyAlignment="1" applyProtection="1">
      <alignment vertical="top" wrapText="1"/>
    </xf>
    <xf numFmtId="0" fontId="22" fillId="23" borderId="232" xfId="0" applyFont="1" applyFill="1" applyBorder="1" applyAlignment="1" applyProtection="1">
      <alignment vertical="top" wrapText="1"/>
    </xf>
    <xf numFmtId="0" fontId="22" fillId="0" borderId="248" xfId="0" applyFont="1" applyBorder="1" applyAlignment="1" applyProtection="1">
      <alignment horizontal="center" vertical="center"/>
    </xf>
    <xf numFmtId="1" fontId="21" fillId="0" borderId="248" xfId="0" applyNumberFormat="1" applyFont="1" applyBorder="1" applyAlignment="1" applyProtection="1">
      <alignment horizontal="center" vertical="center" wrapText="1"/>
    </xf>
    <xf numFmtId="0" fontId="22" fillId="0" borderId="175" xfId="0" applyFont="1" applyBorder="1" applyAlignment="1" applyProtection="1">
      <alignment horizontal="center" vertical="center"/>
    </xf>
    <xf numFmtId="0" fontId="22" fillId="0" borderId="249" xfId="0" applyFont="1" applyBorder="1" applyAlignment="1" applyProtection="1">
      <alignment horizontal="center" vertical="center"/>
    </xf>
    <xf numFmtId="1" fontId="21" fillId="0" borderId="223" xfId="0" applyNumberFormat="1" applyFont="1" applyBorder="1" applyAlignment="1" applyProtection="1">
      <alignment horizontal="center" vertical="center" wrapText="1"/>
    </xf>
    <xf numFmtId="0" fontId="22" fillId="0" borderId="222" xfId="0" applyFont="1" applyFill="1" applyBorder="1" applyAlignment="1" applyProtection="1">
      <alignment vertical="top" wrapText="1"/>
    </xf>
    <xf numFmtId="0" fontId="22" fillId="0" borderId="225" xfId="0" applyFont="1" applyBorder="1" applyAlignment="1" applyProtection="1">
      <alignment horizontal="left" vertical="center" indent="4"/>
    </xf>
    <xf numFmtId="167" fontId="21" fillId="11" borderId="239" xfId="10" applyFont="1" applyBorder="1" applyProtection="1">
      <alignment horizontal="left" vertical="top" wrapText="1"/>
    </xf>
    <xf numFmtId="167" fontId="21" fillId="24" borderId="240" xfId="10" applyFont="1" applyFill="1" applyBorder="1" applyProtection="1">
      <alignment horizontal="left" vertical="top" wrapText="1"/>
    </xf>
    <xf numFmtId="0" fontId="22" fillId="0" borderId="244" xfId="0" applyFont="1" applyBorder="1" applyAlignment="1" applyProtection="1">
      <alignment horizontal="center" vertical="center" wrapText="1"/>
    </xf>
    <xf numFmtId="0" fontId="21" fillId="23" borderId="232" xfId="0" applyFont="1" applyFill="1" applyBorder="1" applyAlignment="1" applyProtection="1">
      <alignment wrapText="1"/>
    </xf>
    <xf numFmtId="0" fontId="22" fillId="0" borderId="240" xfId="0" applyFont="1" applyFill="1" applyBorder="1" applyAlignment="1" applyProtection="1">
      <alignment horizontal="center" vertical="center" wrapText="1"/>
    </xf>
    <xf numFmtId="0" fontId="22" fillId="0" borderId="232" xfId="0" applyFont="1" applyBorder="1" applyAlignment="1" applyProtection="1">
      <alignment horizontal="center" vertical="center" wrapText="1"/>
    </xf>
    <xf numFmtId="0" fontId="21" fillId="0" borderId="232" xfId="0" applyFont="1" applyBorder="1" applyAlignment="1" applyProtection="1">
      <alignment horizontal="center" vertical="center" wrapText="1"/>
    </xf>
    <xf numFmtId="0" fontId="22" fillId="0" borderId="251" xfId="0" applyFont="1" applyBorder="1" applyAlignment="1" applyProtection="1">
      <alignment horizontal="left" vertical="top" wrapText="1"/>
    </xf>
    <xf numFmtId="1" fontId="21" fillId="0" borderId="252" xfId="0" applyNumberFormat="1" applyFont="1" applyBorder="1" applyAlignment="1" applyProtection="1">
      <alignment horizontal="center" vertical="center" wrapText="1"/>
    </xf>
    <xf numFmtId="0" fontId="22" fillId="0" borderId="253" xfId="0" applyFont="1" applyBorder="1" applyAlignment="1" applyProtection="1">
      <alignment vertical="top" wrapText="1"/>
    </xf>
    <xf numFmtId="0" fontId="22" fillId="0" borderId="231" xfId="0" applyFont="1" applyBorder="1" applyAlignment="1" applyProtection="1">
      <alignment vertical="top"/>
    </xf>
    <xf numFmtId="0" fontId="22" fillId="23" borderId="232" xfId="0" applyFont="1" applyFill="1" applyBorder="1" applyAlignment="1" applyProtection="1">
      <alignment vertical="top"/>
    </xf>
    <xf numFmtId="0" fontId="22" fillId="0" borderId="236" xfId="0" applyFont="1" applyFill="1" applyBorder="1" applyAlignment="1" applyProtection="1">
      <alignment horizontal="center" vertical="center" wrapText="1"/>
    </xf>
    <xf numFmtId="1" fontId="21" fillId="25" borderId="236" xfId="0" applyNumberFormat="1" applyFont="1" applyFill="1" applyBorder="1" applyAlignment="1" applyProtection="1">
      <alignment horizontal="center" vertical="center" wrapText="1"/>
    </xf>
    <xf numFmtId="0" fontId="22" fillId="0" borderId="225" xfId="0" applyFont="1" applyBorder="1" applyAlignment="1" applyProtection="1">
      <alignment vertical="top" wrapText="1"/>
    </xf>
    <xf numFmtId="0" fontId="22" fillId="0" borderId="239" xfId="0" applyFont="1" applyBorder="1" applyAlignment="1" applyProtection="1">
      <alignment horizontal="left" vertical="top" wrapText="1" indent="2"/>
    </xf>
    <xf numFmtId="0" fontId="22" fillId="23" borderId="244" xfId="0" applyFont="1" applyFill="1" applyBorder="1" applyAlignment="1" applyProtection="1">
      <alignment vertical="top" wrapText="1"/>
    </xf>
    <xf numFmtId="0" fontId="22" fillId="0" borderId="225" xfId="0" applyFont="1" applyBorder="1" applyAlignment="1" applyProtection="1">
      <alignment horizontal="left" vertical="top" indent="2"/>
    </xf>
    <xf numFmtId="0" fontId="22" fillId="0" borderId="231" xfId="0" applyFont="1" applyBorder="1" applyAlignment="1" applyProtection="1">
      <alignment horizontal="left" vertical="top" indent="2"/>
    </xf>
    <xf numFmtId="0" fontId="22" fillId="23" borderId="232" xfId="0" applyFont="1" applyFill="1" applyBorder="1" applyAlignment="1" applyProtection="1">
      <alignment horizontal="left" vertical="top" indent="2"/>
    </xf>
    <xf numFmtId="0" fontId="22" fillId="0" borderId="239" xfId="0" applyFont="1" applyBorder="1" applyAlignment="1" applyProtection="1">
      <alignment horizontal="left" vertical="top" wrapText="1" indent="6"/>
    </xf>
    <xf numFmtId="0" fontId="22" fillId="0" borderId="231" xfId="0" applyFont="1" applyBorder="1" applyAlignment="1" applyProtection="1">
      <alignment horizontal="left" vertical="top" wrapText="1" indent="2"/>
    </xf>
    <xf numFmtId="0" fontId="22" fillId="23" borderId="232" xfId="0" applyFont="1" applyFill="1" applyBorder="1" applyAlignment="1" applyProtection="1">
      <alignment horizontal="center" vertical="center" wrapText="1"/>
    </xf>
    <xf numFmtId="0" fontId="22" fillId="0" borderId="222" xfId="0" applyFont="1" applyBorder="1" applyAlignment="1" applyProtection="1"/>
    <xf numFmtId="0" fontId="22" fillId="23" borderId="223" xfId="0" applyFont="1" applyFill="1" applyBorder="1" applyAlignment="1" applyProtection="1"/>
    <xf numFmtId="0" fontId="22" fillId="0" borderId="225" xfId="0" applyFont="1" applyBorder="1" applyAlignment="1" applyProtection="1">
      <alignment horizontal="left" vertical="top" wrapText="1" indent="2"/>
    </xf>
    <xf numFmtId="0" fontId="22" fillId="0" borderId="231" xfId="0" applyFont="1" applyBorder="1" applyProtection="1"/>
    <xf numFmtId="0" fontId="22" fillId="23" borderId="232" xfId="0" applyFont="1" applyFill="1" applyBorder="1" applyProtection="1"/>
    <xf numFmtId="0" fontId="22" fillId="0" borderId="225" xfId="0" applyFont="1" applyBorder="1" applyAlignment="1" applyProtection="1">
      <alignment horizontal="left" vertical="center" wrapText="1" indent="4"/>
    </xf>
    <xf numFmtId="0" fontId="22" fillId="0" borderId="223" xfId="0" applyFont="1" applyFill="1" applyBorder="1" applyAlignment="1" applyProtection="1">
      <alignment horizontal="center" vertical="center" wrapText="1"/>
    </xf>
    <xf numFmtId="1" fontId="22" fillId="0" borderId="223" xfId="0" applyNumberFormat="1" applyFont="1" applyFill="1" applyBorder="1" applyAlignment="1" applyProtection="1">
      <alignment horizontal="center" vertical="center" wrapText="1"/>
    </xf>
    <xf numFmtId="0" fontId="22" fillId="0" borderId="239" xfId="0" applyFont="1" applyBorder="1" applyAlignment="1" applyProtection="1">
      <alignment horizontal="left" vertical="center" wrapText="1" indent="4"/>
    </xf>
    <xf numFmtId="1" fontId="16" fillId="0" borderId="240" xfId="0" applyNumberFormat="1" applyFont="1" applyBorder="1" applyAlignment="1" applyProtection="1">
      <alignment horizontal="center" vertical="center" wrapText="1"/>
    </xf>
    <xf numFmtId="0" fontId="22" fillId="0" borderId="222" xfId="0" applyFont="1" applyBorder="1" applyAlignment="1" applyProtection="1">
      <alignment wrapText="1"/>
    </xf>
    <xf numFmtId="0" fontId="22" fillId="23" borderId="223" xfId="0" applyFont="1" applyFill="1" applyBorder="1" applyAlignment="1" applyProtection="1">
      <alignment wrapText="1"/>
    </xf>
    <xf numFmtId="0" fontId="21" fillId="0" borderId="225" xfId="0" applyFont="1" applyBorder="1" applyAlignment="1" applyProtection="1">
      <alignment horizontal="left" vertical="top" wrapText="1" indent="4"/>
    </xf>
    <xf numFmtId="0" fontId="22" fillId="0" borderId="225" xfId="0" applyFont="1" applyBorder="1" applyAlignment="1" applyProtection="1">
      <alignment horizontal="left" wrapText="1" indent="4"/>
    </xf>
    <xf numFmtId="0" fontId="22" fillId="0" borderId="240" xfId="0" applyFont="1" applyBorder="1" applyAlignment="1" applyProtection="1">
      <alignment horizontal="center" vertical="center" wrapText="1" shrinkToFit="1"/>
    </xf>
    <xf numFmtId="1" fontId="21" fillId="0" borderId="240" xfId="0" applyNumberFormat="1" applyFont="1" applyBorder="1" applyAlignment="1" applyProtection="1">
      <alignment horizontal="center" vertical="center"/>
    </xf>
    <xf numFmtId="0" fontId="22" fillId="0" borderId="76" xfId="0" applyFont="1" applyBorder="1" applyAlignment="1" applyProtection="1">
      <alignment horizontal="center" vertical="center"/>
    </xf>
    <xf numFmtId="1" fontId="21" fillId="0" borderId="76" xfId="0" applyNumberFormat="1" applyFont="1" applyBorder="1" applyAlignment="1" applyProtection="1">
      <alignment horizontal="center" vertical="center" wrapText="1"/>
    </xf>
    <xf numFmtId="0" fontId="22" fillId="0" borderId="236" xfId="0" applyFont="1" applyBorder="1" applyAlignment="1" applyProtection="1">
      <alignment horizontal="center" vertical="center"/>
    </xf>
    <xf numFmtId="0" fontId="22" fillId="0" borderId="222" xfId="0" applyFont="1" applyBorder="1" applyAlignment="1" applyProtection="1">
      <alignment horizontal="left" vertical="top" wrapText="1"/>
    </xf>
    <xf numFmtId="0" fontId="22" fillId="0" borderId="225" xfId="0" applyFont="1" applyBorder="1" applyAlignment="1" applyProtection="1">
      <alignment horizontal="left" vertical="top" wrapText="1"/>
    </xf>
    <xf numFmtId="0" fontId="22" fillId="23" borderId="248" xfId="0" applyFont="1" applyFill="1" applyBorder="1" applyAlignment="1" applyProtection="1">
      <alignment vertical="top" wrapText="1"/>
    </xf>
    <xf numFmtId="0" fontId="22" fillId="0" borderId="223" xfId="0" applyFont="1" applyBorder="1" applyAlignment="1" applyProtection="1">
      <alignment horizontal="center" vertical="top" wrapText="1"/>
    </xf>
    <xf numFmtId="0" fontId="22" fillId="23" borderId="236" xfId="0" applyFont="1" applyFill="1" applyBorder="1" applyAlignment="1" applyProtection="1">
      <alignment vertical="top" wrapText="1"/>
    </xf>
    <xf numFmtId="0" fontId="22" fillId="0" borderId="232" xfId="0" applyFont="1" applyFill="1" applyBorder="1" applyAlignment="1" applyProtection="1">
      <alignment horizontal="center" vertical="top" wrapText="1"/>
    </xf>
    <xf numFmtId="0" fontId="21" fillId="0" borderId="232" xfId="0" applyNumberFormat="1" applyFont="1" applyFill="1" applyBorder="1" applyAlignment="1" applyProtection="1">
      <alignment horizontal="center" vertical="center" wrapText="1"/>
    </xf>
    <xf numFmtId="0" fontId="22" fillId="0" borderId="228" xfId="0" applyNumberFormat="1" applyFont="1" applyBorder="1" applyAlignment="1" applyProtection="1">
      <alignment horizontal="center" vertical="center" wrapText="1"/>
    </xf>
    <xf numFmtId="0" fontId="21" fillId="0" borderId="232" xfId="0" applyFont="1" applyFill="1" applyBorder="1" applyAlignment="1" applyProtection="1">
      <alignment horizontal="center" vertical="center" wrapText="1"/>
    </xf>
    <xf numFmtId="0" fontId="22" fillId="0" borderId="223" xfId="0" quotePrefix="1" applyFont="1" applyBorder="1" applyAlignment="1" applyProtection="1">
      <alignment horizontal="center" vertical="center" wrapText="1"/>
    </xf>
    <xf numFmtId="0" fontId="22" fillId="0" borderId="236" xfId="0" quotePrefix="1" applyFont="1" applyBorder="1" applyAlignment="1" applyProtection="1">
      <alignment horizontal="center" vertical="center" wrapText="1"/>
    </xf>
    <xf numFmtId="0" fontId="13" fillId="0" borderId="79" xfId="0" applyFont="1" applyBorder="1" applyAlignment="1" applyProtection="1">
      <alignment horizontal="center" vertical="center" wrapText="1"/>
    </xf>
    <xf numFmtId="0" fontId="0" fillId="0" borderId="0" xfId="0" applyFont="1" applyAlignment="1">
      <alignment horizontal="center" vertical="center"/>
    </xf>
    <xf numFmtId="1" fontId="0" fillId="0" borderId="0" xfId="0" applyNumberFormat="1" applyFont="1" applyAlignment="1">
      <alignment horizontal="center" vertical="center"/>
    </xf>
    <xf numFmtId="0" fontId="3" fillId="0" borderId="0" xfId="0" applyFont="1" applyAlignment="1">
      <alignment horizontal="left" vertical="top" wrapText="1" indent="10"/>
    </xf>
    <xf numFmtId="0" fontId="73" fillId="29" borderId="260" xfId="0" applyFont="1" applyFill="1" applyBorder="1" applyAlignment="1">
      <alignment horizontal="center" vertical="center" wrapText="1"/>
    </xf>
    <xf numFmtId="0" fontId="73" fillId="29" borderId="79" xfId="0" applyFont="1" applyFill="1" applyBorder="1" applyAlignment="1">
      <alignment horizontal="center" vertical="center" wrapText="1"/>
    </xf>
    <xf numFmtId="0" fontId="73" fillId="29" borderId="261" xfId="0" applyFont="1" applyFill="1" applyBorder="1" applyAlignment="1">
      <alignment horizontal="center" vertical="center" wrapText="1"/>
    </xf>
    <xf numFmtId="0" fontId="0" fillId="0" borderId="0" xfId="0" applyAlignment="1">
      <alignment wrapText="1"/>
    </xf>
    <xf numFmtId="0" fontId="0" fillId="0" borderId="260" xfId="0" applyBorder="1" applyAlignment="1">
      <alignment horizontal="right" wrapText="1"/>
    </xf>
    <xf numFmtId="0" fontId="0" fillId="0" borderId="79" xfId="0" applyBorder="1" applyAlignment="1">
      <alignment wrapText="1"/>
    </xf>
    <xf numFmtId="168" fontId="0" fillId="0" borderId="79" xfId="0" applyNumberFormat="1" applyBorder="1" applyAlignment="1">
      <alignment wrapText="1"/>
    </xf>
    <xf numFmtId="0" fontId="0" fillId="0" borderId="261" xfId="0" applyBorder="1" applyAlignment="1">
      <alignment horizontal="center" vertical="center" wrapText="1"/>
    </xf>
    <xf numFmtId="1" fontId="0" fillId="0" borderId="79" xfId="0" applyNumberFormat="1" applyBorder="1" applyAlignment="1">
      <alignment wrapText="1"/>
    </xf>
    <xf numFmtId="0" fontId="0" fillId="0" borderId="262" xfId="0" applyBorder="1" applyAlignment="1">
      <alignment horizontal="right" wrapText="1"/>
    </xf>
    <xf numFmtId="0" fontId="0" fillId="0" borderId="263" xfId="0" applyBorder="1" applyAlignment="1">
      <alignment wrapText="1"/>
    </xf>
    <xf numFmtId="1" fontId="0" fillId="0" borderId="263" xfId="0" applyNumberFormat="1" applyBorder="1" applyAlignment="1">
      <alignment wrapText="1"/>
    </xf>
    <xf numFmtId="168" fontId="0" fillId="0" borderId="263" xfId="0" applyNumberFormat="1" applyBorder="1" applyAlignment="1">
      <alignment wrapText="1"/>
    </xf>
    <xf numFmtId="0" fontId="0" fillId="0" borderId="264" xfId="0" applyBorder="1" applyAlignment="1">
      <alignment horizontal="center" vertical="center" wrapText="1"/>
    </xf>
    <xf numFmtId="0" fontId="3" fillId="0" borderId="265" xfId="0" applyFont="1" applyBorder="1" applyAlignment="1">
      <alignment horizontal="right" wrapText="1"/>
    </xf>
    <xf numFmtId="0" fontId="0" fillId="0" borderId="223" xfId="0" applyBorder="1" applyAlignment="1">
      <alignment wrapText="1"/>
    </xf>
    <xf numFmtId="168" fontId="0" fillId="0" borderId="223" xfId="0" applyNumberFormat="1" applyBorder="1" applyAlignment="1">
      <alignment wrapText="1"/>
    </xf>
    <xf numFmtId="0" fontId="0" fillId="0" borderId="266" xfId="0" applyBorder="1" applyAlignment="1">
      <alignment horizontal="center" vertical="center" wrapText="1"/>
    </xf>
    <xf numFmtId="0" fontId="3" fillId="0" borderId="267" xfId="0" applyFont="1" applyBorder="1" applyAlignment="1">
      <alignment horizontal="right" wrapText="1"/>
    </xf>
    <xf numFmtId="0" fontId="0" fillId="0" borderId="81" xfId="0" applyBorder="1" applyAlignment="1">
      <alignment wrapText="1"/>
    </xf>
    <xf numFmtId="0" fontId="0" fillId="30" borderId="79" xfId="0" applyFill="1" applyBorder="1" applyAlignment="1">
      <alignment wrapText="1"/>
    </xf>
    <xf numFmtId="168" fontId="0" fillId="0" borderId="81" xfId="0" applyNumberFormat="1" applyBorder="1" applyAlignment="1">
      <alignment wrapText="1"/>
    </xf>
    <xf numFmtId="0" fontId="0" fillId="0" borderId="268" xfId="0" applyBorder="1" applyAlignment="1">
      <alignment horizontal="center" vertical="center" wrapText="1"/>
    </xf>
    <xf numFmtId="0" fontId="3" fillId="0" borderId="260" xfId="0" applyFont="1" applyBorder="1" applyAlignment="1">
      <alignment horizontal="right" wrapText="1"/>
    </xf>
    <xf numFmtId="0" fontId="0" fillId="0" borderId="269" xfId="0" applyBorder="1" applyAlignment="1">
      <alignment wrapText="1"/>
    </xf>
    <xf numFmtId="0" fontId="0" fillId="30" borderId="164" xfId="0" applyFill="1" applyBorder="1" applyAlignment="1">
      <alignment wrapText="1"/>
    </xf>
    <xf numFmtId="168" fontId="0" fillId="0" borderId="32" xfId="0" applyNumberFormat="1" applyBorder="1" applyAlignment="1">
      <alignment wrapText="1"/>
    </xf>
    <xf numFmtId="0" fontId="3" fillId="0" borderId="270" xfId="0" applyFont="1" applyBorder="1" applyAlignment="1">
      <alignment horizontal="right" wrapText="1"/>
    </xf>
    <xf numFmtId="0" fontId="0" fillId="0" borderId="0" xfId="0" applyBorder="1" applyAlignment="1">
      <alignment wrapText="1"/>
    </xf>
    <xf numFmtId="168" fontId="0" fillId="0" borderId="0" xfId="0" applyNumberFormat="1" applyBorder="1" applyAlignment="1">
      <alignment wrapText="1"/>
    </xf>
    <xf numFmtId="0" fontId="0" fillId="0" borderId="271" xfId="0" applyBorder="1" applyAlignment="1">
      <alignment horizontal="center" vertical="center" wrapText="1"/>
    </xf>
    <xf numFmtId="0" fontId="0" fillId="0" borderId="270" xfId="0" applyBorder="1" applyAlignment="1">
      <alignment horizontal="left" wrapText="1"/>
    </xf>
    <xf numFmtId="0" fontId="0" fillId="0" borderId="271" xfId="0" applyFont="1" applyBorder="1" applyAlignment="1">
      <alignment horizontal="left" wrapText="1"/>
    </xf>
    <xf numFmtId="0" fontId="0" fillId="0" borderId="0" xfId="0" applyFont="1" applyBorder="1" applyAlignment="1">
      <alignment horizontal="left" wrapText="1"/>
    </xf>
    <xf numFmtId="0" fontId="0" fillId="0" borderId="270" xfId="0" applyBorder="1" applyAlignment="1">
      <alignment horizontal="left" wrapText="1" indent="2"/>
    </xf>
    <xf numFmtId="0" fontId="0" fillId="0" borderId="271" xfId="0" applyBorder="1" applyAlignment="1">
      <alignment horizontal="left" wrapText="1" indent="2"/>
    </xf>
    <xf numFmtId="0" fontId="0" fillId="0" borderId="272" xfId="0" applyBorder="1" applyAlignment="1">
      <alignment horizontal="left" wrapText="1" indent="2"/>
    </xf>
    <xf numFmtId="0" fontId="0" fillId="0" borderId="274" xfId="0" applyBorder="1" applyAlignment="1">
      <alignment horizontal="left" wrapText="1" indent="2"/>
    </xf>
    <xf numFmtId="0" fontId="5" fillId="23" borderId="278" xfId="0" applyFont="1" applyFill="1" applyBorder="1" applyAlignment="1">
      <alignment horizontal="center" vertical="center" wrapText="1"/>
    </xf>
    <xf numFmtId="0" fontId="5" fillId="23" borderId="79" xfId="0" applyFont="1" applyFill="1" applyBorder="1" applyAlignment="1">
      <alignment horizontal="center" vertical="center" wrapText="1"/>
    </xf>
    <xf numFmtId="0" fontId="5" fillId="23" borderId="279" xfId="0" applyFont="1" applyFill="1" applyBorder="1" applyAlignment="1">
      <alignment horizontal="center" vertical="center" wrapText="1"/>
    </xf>
    <xf numFmtId="0" fontId="0" fillId="0" borderId="278" xfId="0" applyBorder="1" applyAlignment="1">
      <alignment horizontal="right" wrapText="1"/>
    </xf>
    <xf numFmtId="0" fontId="0" fillId="0" borderId="279" xfId="0" applyBorder="1" applyAlignment="1">
      <alignment horizontal="center" vertical="center" wrapText="1"/>
    </xf>
    <xf numFmtId="0" fontId="0" fillId="0" borderId="280" xfId="0" applyBorder="1" applyAlignment="1">
      <alignment horizontal="right" wrapText="1"/>
    </xf>
    <xf numFmtId="0" fontId="0" fillId="0" borderId="281" xfId="0" applyBorder="1" applyAlignment="1">
      <alignment horizontal="center" vertical="center" wrapText="1"/>
    </xf>
    <xf numFmtId="0" fontId="3" fillId="0" borderId="282" xfId="0" applyFont="1" applyBorder="1" applyAlignment="1">
      <alignment horizontal="right" wrapText="1"/>
    </xf>
    <xf numFmtId="0" fontId="0" fillId="0" borderId="283" xfId="0" applyBorder="1" applyAlignment="1">
      <alignment horizontal="center" vertical="center" wrapText="1"/>
    </xf>
    <xf numFmtId="0" fontId="3" fillId="0" borderId="278" xfId="0" applyFont="1" applyBorder="1" applyAlignment="1">
      <alignment horizontal="right" wrapText="1"/>
    </xf>
    <xf numFmtId="0" fontId="0" fillId="0" borderId="248" xfId="0" applyBorder="1" applyAlignment="1">
      <alignment wrapText="1"/>
    </xf>
    <xf numFmtId="0" fontId="0" fillId="30" borderId="223" xfId="0" applyFill="1" applyBorder="1" applyAlignment="1">
      <alignment wrapText="1"/>
    </xf>
    <xf numFmtId="168" fontId="0" fillId="0" borderId="248" xfId="0" applyNumberFormat="1" applyBorder="1" applyAlignment="1">
      <alignment wrapText="1"/>
    </xf>
    <xf numFmtId="0" fontId="3" fillId="0" borderId="284" xfId="0" applyFont="1" applyBorder="1" applyAlignment="1">
      <alignment horizontal="right" wrapText="1"/>
    </xf>
    <xf numFmtId="0" fontId="0" fillId="0" borderId="285" xfId="0" applyBorder="1" applyAlignment="1">
      <alignment horizontal="center" vertical="center" wrapText="1"/>
    </xf>
    <xf numFmtId="0" fontId="0" fillId="0" borderId="284" xfId="0" applyBorder="1" applyAlignment="1">
      <alignment horizontal="left" wrapText="1"/>
    </xf>
    <xf numFmtId="0" fontId="0" fillId="0" borderId="285" xfId="0" applyBorder="1" applyAlignment="1">
      <alignment horizontal="left" wrapText="1"/>
    </xf>
    <xf numFmtId="0" fontId="0" fillId="0" borderId="285" xfId="0" applyFont="1" applyBorder="1" applyAlignment="1">
      <alignment horizontal="left" wrapText="1"/>
    </xf>
    <xf numFmtId="0" fontId="0" fillId="0" borderId="284" xfId="0" applyBorder="1" applyAlignment="1">
      <alignment horizontal="left" wrapText="1" indent="2"/>
    </xf>
    <xf numFmtId="0" fontId="0" fillId="0" borderId="286" xfId="0" applyBorder="1" applyAlignment="1">
      <alignment horizontal="left" wrapText="1" indent="2"/>
    </xf>
    <xf numFmtId="0" fontId="0" fillId="0" borderId="288" xfId="0" applyBorder="1" applyAlignment="1">
      <alignment horizontal="left" wrapText="1" indent="2"/>
    </xf>
    <xf numFmtId="0" fontId="3" fillId="13" borderId="292" xfId="0" applyFont="1" applyFill="1" applyBorder="1" applyAlignment="1">
      <alignment horizontal="center" vertical="center" wrapText="1"/>
    </xf>
    <xf numFmtId="0" fontId="3" fillId="13" borderId="79" xfId="0" applyFont="1" applyFill="1" applyBorder="1" applyAlignment="1">
      <alignment horizontal="center" vertical="center" wrapText="1"/>
    </xf>
    <xf numFmtId="0" fontId="3" fillId="13" borderId="293" xfId="0" applyFont="1" applyFill="1" applyBorder="1" applyAlignment="1">
      <alignment horizontal="center" vertical="center" wrapText="1"/>
    </xf>
    <xf numFmtId="0" fontId="0" fillId="0" borderId="292" xfId="0" applyBorder="1" applyAlignment="1">
      <alignment horizontal="right" wrapText="1"/>
    </xf>
    <xf numFmtId="0" fontId="0" fillId="0" borderId="293" xfId="0" applyBorder="1" applyAlignment="1">
      <alignment horizontal="center" vertical="center" wrapText="1"/>
    </xf>
    <xf numFmtId="0" fontId="0" fillId="0" borderId="294" xfId="0" applyBorder="1" applyAlignment="1">
      <alignment horizontal="right" wrapText="1"/>
    </xf>
    <xf numFmtId="0" fontId="0" fillId="0" borderId="295" xfId="0" applyBorder="1" applyAlignment="1">
      <alignment horizontal="center" vertical="center" wrapText="1"/>
    </xf>
    <xf numFmtId="0" fontId="3" fillId="0" borderId="296" xfId="0" applyFont="1" applyBorder="1" applyAlignment="1">
      <alignment horizontal="right" wrapText="1"/>
    </xf>
    <xf numFmtId="0" fontId="0" fillId="0" borderId="297" xfId="0" applyBorder="1" applyAlignment="1">
      <alignment horizontal="center" vertical="center" wrapText="1"/>
    </xf>
    <xf numFmtId="0" fontId="3" fillId="0" borderId="292" xfId="0" applyFont="1" applyBorder="1" applyAlignment="1">
      <alignment horizontal="right" wrapText="1"/>
    </xf>
    <xf numFmtId="0" fontId="3" fillId="0" borderId="298" xfId="0" applyFont="1" applyBorder="1" applyAlignment="1">
      <alignment horizontal="right" wrapText="1"/>
    </xf>
    <xf numFmtId="0" fontId="0" fillId="0" borderId="299" xfId="0" applyBorder="1" applyAlignment="1">
      <alignment horizontal="center" vertical="center" wrapText="1"/>
    </xf>
    <xf numFmtId="0" fontId="0" fillId="0" borderId="298" xfId="0" applyBorder="1" applyAlignment="1">
      <alignment horizontal="left" wrapText="1"/>
    </xf>
    <xf numFmtId="0" fontId="0" fillId="0" borderId="299" xfId="0" applyBorder="1" applyAlignment="1">
      <alignment horizontal="left" wrapText="1"/>
    </xf>
    <xf numFmtId="0" fontId="0" fillId="0" borderId="299" xfId="0" applyFont="1" applyBorder="1" applyAlignment="1">
      <alignment horizontal="left" wrapText="1"/>
    </xf>
    <xf numFmtId="0" fontId="0" fillId="0" borderId="298" xfId="0" applyBorder="1" applyAlignment="1">
      <alignment horizontal="left" wrapText="1" indent="2"/>
    </xf>
    <xf numFmtId="0" fontId="0" fillId="0" borderId="300" xfId="0" applyBorder="1" applyAlignment="1">
      <alignment horizontal="left" wrapText="1" indent="2"/>
    </xf>
    <xf numFmtId="0" fontId="0" fillId="0" borderId="302" xfId="0" applyBorder="1" applyAlignment="1">
      <alignment horizontal="left" wrapText="1" indent="2"/>
    </xf>
    <xf numFmtId="0" fontId="3" fillId="14" borderId="306" xfId="0" applyFont="1" applyFill="1" applyBorder="1" applyAlignment="1">
      <alignment horizontal="center" vertical="center" wrapText="1"/>
    </xf>
    <xf numFmtId="0" fontId="3" fillId="14" borderId="79" xfId="0" applyFont="1" applyFill="1" applyBorder="1" applyAlignment="1">
      <alignment horizontal="center" vertical="center" wrapText="1"/>
    </xf>
    <xf numFmtId="0" fontId="3" fillId="14" borderId="307" xfId="0" applyFont="1" applyFill="1" applyBorder="1" applyAlignment="1">
      <alignment horizontal="center" vertical="center" wrapText="1"/>
    </xf>
    <xf numFmtId="0" fontId="0" fillId="0" borderId="306" xfId="0" applyBorder="1" applyAlignment="1">
      <alignment horizontal="right" wrapText="1"/>
    </xf>
    <xf numFmtId="0" fontId="0" fillId="0" borderId="307" xfId="0" applyBorder="1" applyAlignment="1">
      <alignment horizontal="center" vertical="center" wrapText="1"/>
    </xf>
    <xf numFmtId="0" fontId="0" fillId="0" borderId="308" xfId="0" applyBorder="1" applyAlignment="1">
      <alignment horizontal="right" wrapText="1"/>
    </xf>
    <xf numFmtId="0" fontId="0" fillId="0" borderId="309" xfId="0" applyBorder="1" applyAlignment="1">
      <alignment horizontal="center" vertical="center" wrapText="1"/>
    </xf>
    <xf numFmtId="0" fontId="3" fillId="0" borderId="310" xfId="0" applyFont="1" applyBorder="1" applyAlignment="1">
      <alignment horizontal="right" wrapText="1"/>
    </xf>
    <xf numFmtId="168" fontId="0" fillId="0" borderId="311" xfId="0" applyNumberFormat="1" applyBorder="1" applyAlignment="1">
      <alignment wrapText="1"/>
    </xf>
    <xf numFmtId="0" fontId="0" fillId="0" borderId="312" xfId="0" applyBorder="1" applyAlignment="1">
      <alignment horizontal="center" vertical="center" wrapText="1"/>
    </xf>
    <xf numFmtId="0" fontId="3" fillId="0" borderId="306" xfId="0" applyFont="1" applyBorder="1" applyAlignment="1">
      <alignment horizontal="right" wrapText="1"/>
    </xf>
    <xf numFmtId="0" fontId="0" fillId="0" borderId="313" xfId="0" applyBorder="1" applyAlignment="1">
      <alignment wrapText="1"/>
    </xf>
    <xf numFmtId="0" fontId="0" fillId="0" borderId="314" xfId="0" applyBorder="1" applyAlignment="1">
      <alignment wrapText="1"/>
    </xf>
    <xf numFmtId="0" fontId="0" fillId="0" borderId="313" xfId="0" applyBorder="1" applyAlignment="1">
      <alignment horizontal="left" wrapText="1"/>
    </xf>
    <xf numFmtId="0" fontId="0" fillId="0" borderId="314" xfId="0" applyBorder="1" applyAlignment="1">
      <alignment horizontal="left" wrapText="1"/>
    </xf>
    <xf numFmtId="0" fontId="0" fillId="0" borderId="314" xfId="0" applyFont="1" applyBorder="1" applyAlignment="1">
      <alignment horizontal="left" wrapText="1"/>
    </xf>
    <xf numFmtId="0" fontId="0" fillId="0" borderId="313" xfId="0" applyBorder="1" applyAlignment="1">
      <alignment horizontal="left" wrapText="1" indent="2"/>
    </xf>
    <xf numFmtId="0" fontId="0" fillId="0" borderId="315" xfId="0" applyBorder="1" applyAlignment="1">
      <alignment horizontal="left" wrapText="1" indent="2"/>
    </xf>
    <xf numFmtId="0" fontId="0" fillId="0" borderId="317" xfId="0" applyBorder="1" applyAlignment="1">
      <alignment horizontal="left" wrapText="1" indent="2"/>
    </xf>
    <xf numFmtId="0" fontId="19" fillId="8" borderId="318" xfId="6" applyBorder="1">
      <alignment horizontal="center" vertical="center" wrapText="1"/>
    </xf>
    <xf numFmtId="0" fontId="0" fillId="0" borderId="321" xfId="0" applyBorder="1" applyAlignment="1">
      <alignment vertical="top" wrapText="1"/>
    </xf>
    <xf numFmtId="0" fontId="19" fillId="8" borderId="321" xfId="6" applyBorder="1">
      <alignment horizontal="center" vertical="center" wrapText="1"/>
    </xf>
    <xf numFmtId="0" fontId="0" fillId="0" borderId="323" xfId="0" applyBorder="1" applyAlignment="1">
      <alignment vertical="top" wrapText="1"/>
    </xf>
    <xf numFmtId="0" fontId="0" fillId="0" borderId="0" xfId="0" applyAlignment="1">
      <alignment vertical="top" wrapText="1"/>
    </xf>
    <xf numFmtId="0" fontId="77" fillId="0" borderId="0" xfId="0" applyFont="1"/>
    <xf numFmtId="0" fontId="3" fillId="0" borderId="0" xfId="0" applyFont="1" applyBorder="1" applyAlignment="1" applyProtection="1">
      <alignment horizontal="center" vertical="center" wrapText="1"/>
      <protection locked="0"/>
    </xf>
    <xf numFmtId="0" fontId="3" fillId="0" borderId="0" xfId="0" applyFont="1" applyBorder="1" applyAlignment="1">
      <alignment horizontal="center" vertical="center" wrapText="1"/>
    </xf>
    <xf numFmtId="0" fontId="0" fillId="0" borderId="0" xfId="0" applyFont="1" applyProtection="1">
      <protection locked="0"/>
    </xf>
    <xf numFmtId="0" fontId="23" fillId="0" borderId="13" xfId="0" applyFont="1" applyBorder="1"/>
    <xf numFmtId="0" fontId="17" fillId="0" borderId="13" xfId="5" applyFont="1" applyBorder="1"/>
    <xf numFmtId="0" fontId="23" fillId="0" borderId="0" xfId="0" applyFont="1" applyAlignment="1" applyProtection="1">
      <alignment horizontal="left" vertical="center"/>
      <protection locked="0"/>
    </xf>
    <xf numFmtId="0" fontId="23" fillId="0" borderId="0" xfId="0" applyFont="1" applyAlignment="1">
      <alignment horizontal="left" vertical="center"/>
    </xf>
    <xf numFmtId="49" fontId="79" fillId="17" borderId="79" xfId="0" applyNumberFormat="1" applyFont="1" applyFill="1" applyBorder="1" applyAlignment="1">
      <alignment horizontal="center" vertical="center" wrapText="1"/>
    </xf>
    <xf numFmtId="49" fontId="79" fillId="17" borderId="330" xfId="0" applyNumberFormat="1" applyFont="1" applyFill="1" applyBorder="1" applyAlignment="1">
      <alignment horizontal="center" vertical="center" wrapText="1"/>
    </xf>
    <xf numFmtId="0" fontId="79" fillId="17" borderId="329" xfId="0" quotePrefix="1" applyNumberFormat="1" applyFont="1" applyFill="1" applyBorder="1" applyAlignment="1">
      <alignment horizontal="center" vertical="center" wrapText="1"/>
    </xf>
    <xf numFmtId="49" fontId="30" fillId="22" borderId="79" xfId="0" applyNumberFormat="1" applyFont="1" applyFill="1" applyBorder="1" applyAlignment="1">
      <alignment horizontal="center" vertical="center" wrapText="1"/>
    </xf>
    <xf numFmtId="49" fontId="30" fillId="22" borderId="330" xfId="0" applyNumberFormat="1" applyFont="1" applyFill="1" applyBorder="1" applyAlignment="1">
      <alignment horizontal="center" vertical="center" wrapText="1"/>
    </xf>
    <xf numFmtId="49" fontId="79" fillId="17" borderId="329" xfId="0" applyNumberFormat="1" applyFont="1" applyFill="1" applyBorder="1" applyAlignment="1">
      <alignment horizontal="center" vertical="center" wrapText="1"/>
    </xf>
    <xf numFmtId="0" fontId="80" fillId="0" borderId="104" xfId="0" applyFont="1" applyBorder="1" applyAlignment="1">
      <alignment horizontal="center" vertical="center"/>
    </xf>
    <xf numFmtId="0" fontId="80" fillId="0" borderId="8" xfId="0" applyFont="1" applyBorder="1" applyAlignment="1">
      <alignment horizontal="center" vertical="center"/>
    </xf>
    <xf numFmtId="0" fontId="80" fillId="0" borderId="106" xfId="0" applyFont="1" applyBorder="1" applyAlignment="1">
      <alignment horizontal="center" vertical="center"/>
    </xf>
    <xf numFmtId="0" fontId="0" fillId="0" borderId="0" xfId="0" applyFont="1" applyAlignment="1">
      <alignment horizontal="left" vertical="top" wrapText="1"/>
    </xf>
    <xf numFmtId="0" fontId="4" fillId="0" borderId="0" xfId="4" applyProtection="1">
      <protection locked="0"/>
    </xf>
    <xf numFmtId="0" fontId="0" fillId="0" borderId="0" xfId="0" applyProtection="1">
      <protection locked="0"/>
    </xf>
    <xf numFmtId="0" fontId="4" fillId="3" borderId="12" xfId="4" applyFill="1" applyBorder="1"/>
    <xf numFmtId="0" fontId="4" fillId="3" borderId="0" xfId="4" applyFill="1" applyBorder="1"/>
    <xf numFmtId="0" fontId="4" fillId="3" borderId="13" xfId="4" applyFill="1" applyBorder="1"/>
    <xf numFmtId="0" fontId="17" fillId="34" borderId="333" xfId="5" applyFill="1" applyBorder="1" applyAlignment="1" applyProtection="1">
      <alignment horizontal="center" vertical="center"/>
      <protection locked="0"/>
    </xf>
    <xf numFmtId="0" fontId="82" fillId="3" borderId="12" xfId="4" applyFont="1" applyFill="1" applyBorder="1"/>
    <xf numFmtId="0" fontId="82" fillId="3" borderId="0" xfId="4" applyFont="1" applyFill="1" applyBorder="1"/>
    <xf numFmtId="0" fontId="82" fillId="3" borderId="13" xfId="4" applyFont="1" applyFill="1" applyBorder="1"/>
    <xf numFmtId="167" fontId="82" fillId="3" borderId="12" xfId="4" applyNumberFormat="1" applyFont="1" applyFill="1" applyBorder="1"/>
    <xf numFmtId="0" fontId="82" fillId="3" borderId="0" xfId="4" applyFont="1" applyFill="1" applyBorder="1" applyAlignment="1">
      <alignment vertical="center"/>
    </xf>
    <xf numFmtId="0" fontId="82" fillId="3" borderId="0" xfId="4" applyFont="1" applyFill="1" applyBorder="1" applyAlignment="1">
      <alignment horizontal="left" indent="1"/>
    </xf>
    <xf numFmtId="0" fontId="17" fillId="3" borderId="12" xfId="5" applyFill="1" applyBorder="1" applyAlignment="1">
      <alignment horizontal="center" vertical="center"/>
    </xf>
    <xf numFmtId="0" fontId="83" fillId="3" borderId="0" xfId="4" applyFont="1" applyFill="1" applyBorder="1"/>
    <xf numFmtId="0" fontId="3" fillId="0" borderId="0" xfId="0" applyFont="1" applyProtection="1">
      <protection locked="0"/>
    </xf>
    <xf numFmtId="0" fontId="8" fillId="17" borderId="327" xfId="0" applyFont="1" applyFill="1" applyBorder="1" applyAlignment="1">
      <alignment horizontal="center" vertical="center"/>
    </xf>
    <xf numFmtId="0" fontId="8" fillId="17" borderId="329" xfId="0" applyFont="1" applyFill="1" applyBorder="1" applyAlignment="1">
      <alignment horizontal="center" vertical="center" wrapText="1"/>
    </xf>
    <xf numFmtId="0" fontId="23" fillId="0" borderId="330" xfId="0" applyFont="1" applyBorder="1" applyAlignment="1">
      <alignment horizontal="center" vertical="center" wrapText="1"/>
    </xf>
    <xf numFmtId="0" fontId="8" fillId="17" borderId="329" xfId="0" applyFont="1" applyFill="1" applyBorder="1" applyAlignment="1">
      <alignment horizontal="center" vertical="center"/>
    </xf>
    <xf numFmtId="0" fontId="23" fillId="0" borderId="79" xfId="0" applyFont="1" applyBorder="1" applyAlignment="1">
      <alignment horizontal="center" vertical="center"/>
    </xf>
    <xf numFmtId="0" fontId="23" fillId="0" borderId="330" xfId="0" applyFont="1" applyBorder="1" applyAlignment="1">
      <alignment horizontal="center" vertical="center"/>
    </xf>
    <xf numFmtId="0" fontId="0" fillId="0" borderId="8" xfId="0" applyFont="1" applyBorder="1"/>
    <xf numFmtId="0" fontId="0" fillId="0" borderId="106" xfId="0" applyFont="1" applyBorder="1"/>
    <xf numFmtId="0" fontId="0" fillId="0" borderId="12" xfId="0" applyFont="1" applyBorder="1" applyAlignment="1">
      <alignment vertical="top" wrapText="1"/>
    </xf>
    <xf numFmtId="0" fontId="0" fillId="0" borderId="0" xfId="0" applyFont="1" applyBorder="1" applyAlignment="1">
      <alignment vertical="top" wrapText="1"/>
    </xf>
    <xf numFmtId="0" fontId="0" fillId="0" borderId="13" xfId="0" applyFont="1" applyBorder="1" applyAlignment="1">
      <alignment vertical="top" wrapText="1"/>
    </xf>
    <xf numFmtId="0" fontId="38" fillId="0" borderId="153" xfId="0" applyFont="1" applyBorder="1" applyAlignment="1">
      <alignment vertical="top" wrapText="1"/>
    </xf>
    <xf numFmtId="0" fontId="0" fillId="0" borderId="0" xfId="0" quotePrefix="1" applyFont="1" applyBorder="1" applyAlignment="1">
      <alignment horizontal="center" vertical="top" wrapText="1"/>
    </xf>
    <xf numFmtId="0" fontId="38" fillId="0" borderId="156" xfId="0" applyFont="1" applyBorder="1" applyAlignment="1">
      <alignment vertical="top" wrapText="1"/>
    </xf>
    <xf numFmtId="0" fontId="0" fillId="0" borderId="157" xfId="0" quotePrefix="1" applyFont="1" applyBorder="1" applyAlignment="1">
      <alignment horizontal="center" vertical="top" wrapText="1"/>
    </xf>
    <xf numFmtId="0" fontId="0" fillId="0" borderId="12" xfId="0" applyFont="1" applyBorder="1" applyAlignment="1">
      <alignment wrapText="1"/>
    </xf>
    <xf numFmtId="0" fontId="0" fillId="0" borderId="0" xfId="0" applyFont="1" applyBorder="1" applyAlignment="1">
      <alignment wrapText="1"/>
    </xf>
    <xf numFmtId="0" fontId="0" fillId="0" borderId="13" xfId="0" applyFont="1" applyBorder="1" applyAlignment="1">
      <alignment wrapText="1"/>
    </xf>
    <xf numFmtId="0" fontId="2" fillId="17" borderId="165" xfId="0" applyFont="1" applyFill="1" applyBorder="1" applyAlignment="1">
      <alignment horizontal="center" vertical="center" wrapText="1"/>
    </xf>
    <xf numFmtId="0" fontId="2" fillId="17" borderId="154" xfId="0" applyFont="1" applyFill="1" applyBorder="1" applyAlignment="1">
      <alignment horizontal="center" vertical="center" wrapText="1"/>
    </xf>
    <xf numFmtId="49" fontId="2" fillId="17" borderId="79" xfId="0" applyNumberFormat="1" applyFont="1" applyFill="1" applyBorder="1" applyAlignment="1">
      <alignment horizontal="center" vertical="center" wrapText="1"/>
    </xf>
    <xf numFmtId="49" fontId="2" fillId="17" borderId="155" xfId="0" applyNumberFormat="1" applyFont="1" applyFill="1" applyBorder="1" applyAlignment="1">
      <alignment horizontal="center" vertical="center" wrapText="1"/>
    </xf>
    <xf numFmtId="49" fontId="0" fillId="0" borderId="0" xfId="0" applyNumberFormat="1" applyFont="1" applyBorder="1" applyAlignment="1">
      <alignment wrapText="1"/>
    </xf>
    <xf numFmtId="49" fontId="0" fillId="0" borderId="13" xfId="0" applyNumberFormat="1" applyFont="1" applyBorder="1" applyAlignment="1">
      <alignment wrapText="1"/>
    </xf>
    <xf numFmtId="0" fontId="0" fillId="0" borderId="154" xfId="0" applyFont="1" applyBorder="1" applyAlignment="1">
      <alignment horizontal="center" vertical="center" wrapText="1"/>
    </xf>
    <xf numFmtId="0" fontId="0" fillId="0" borderId="79" xfId="0" applyFont="1" applyBorder="1" applyAlignment="1">
      <alignment horizontal="center" vertical="center" wrapText="1"/>
    </xf>
    <xf numFmtId="0" fontId="0" fillId="0" borderId="155" xfId="0" applyFont="1" applyBorder="1" applyAlignment="1">
      <alignment horizontal="center" vertical="center" wrapText="1"/>
    </xf>
    <xf numFmtId="0" fontId="0" fillId="0" borderId="168" xfId="0" applyFont="1" applyBorder="1" applyAlignment="1">
      <alignment horizontal="center" vertical="center" wrapText="1"/>
    </xf>
    <xf numFmtId="0" fontId="0" fillId="0" borderId="169" xfId="0" applyFont="1" applyBorder="1" applyAlignment="1">
      <alignment horizontal="center" vertical="center" wrapText="1"/>
    </xf>
    <xf numFmtId="0" fontId="0" fillId="0" borderId="170" xfId="0" applyFont="1" applyBorder="1" applyAlignment="1">
      <alignment horizontal="center" vertical="center" wrapText="1"/>
    </xf>
    <xf numFmtId="0" fontId="0" fillId="0" borderId="0" xfId="0" quotePrefix="1" applyFont="1" applyBorder="1" applyAlignment="1">
      <alignment vertical="top" wrapText="1"/>
    </xf>
    <xf numFmtId="0" fontId="1" fillId="0" borderId="0" xfId="0" applyFont="1" applyBorder="1"/>
    <xf numFmtId="0" fontId="22" fillId="0" borderId="69" xfId="4" applyNumberFormat="1" applyFont="1" applyBorder="1" applyAlignment="1">
      <alignment horizontal="center" vertical="center" wrapText="1"/>
    </xf>
    <xf numFmtId="0" fontId="48" fillId="0" borderId="0" xfId="4" applyNumberFormat="1" applyFont="1" applyBorder="1" applyAlignment="1">
      <alignment horizontal="center" vertical="center" wrapText="1"/>
    </xf>
    <xf numFmtId="0" fontId="3" fillId="0" borderId="0" xfId="0" applyFont="1"/>
    <xf numFmtId="0" fontId="68" fillId="0" borderId="0" xfId="0" applyFont="1" applyBorder="1" applyAlignment="1">
      <alignment horizontal="left" vertical="center" wrapText="1"/>
    </xf>
    <xf numFmtId="0" fontId="21" fillId="0" borderId="350" xfId="4" applyFont="1" applyFill="1" applyBorder="1" applyAlignment="1">
      <alignment horizontal="center"/>
    </xf>
    <xf numFmtId="0" fontId="21" fillId="0" borderId="352" xfId="4" applyFont="1" applyFill="1" applyBorder="1" applyAlignment="1">
      <alignment horizontal="center" vertical="top"/>
    </xf>
    <xf numFmtId="0" fontId="21" fillId="0" borderId="353" xfId="4" applyFont="1" applyFill="1" applyBorder="1" applyAlignment="1">
      <alignment horizontal="center"/>
    </xf>
    <xf numFmtId="0" fontId="21" fillId="0" borderId="354" xfId="4" applyFont="1" applyFill="1" applyBorder="1" applyAlignment="1">
      <alignment horizontal="center" vertical="top"/>
    </xf>
    <xf numFmtId="0" fontId="21" fillId="0" borderId="355" xfId="4" applyFont="1" applyFill="1" applyBorder="1" applyAlignment="1">
      <alignment horizontal="center"/>
    </xf>
    <xf numFmtId="0" fontId="21" fillId="0" borderId="356" xfId="4" applyFont="1" applyFill="1" applyBorder="1" applyAlignment="1">
      <alignment horizontal="center" vertical="top"/>
    </xf>
    <xf numFmtId="166" fontId="21" fillId="0" borderId="68" xfId="4" applyNumberFormat="1" applyFont="1" applyBorder="1" applyAlignment="1">
      <alignment horizontal="left" vertical="top"/>
    </xf>
    <xf numFmtId="166" fontId="21" fillId="0" borderId="69" xfId="4" applyNumberFormat="1" applyFont="1" applyBorder="1" applyAlignment="1">
      <alignment horizontal="center" vertical="top"/>
    </xf>
    <xf numFmtId="166" fontId="21" fillId="0" borderId="69" xfId="4" applyNumberFormat="1" applyFont="1" applyBorder="1" applyAlignment="1">
      <alignment horizontal="left" vertical="top"/>
    </xf>
    <xf numFmtId="0" fontId="21" fillId="0" borderId="69" xfId="4" applyFont="1" applyBorder="1" applyAlignment="1">
      <alignment horizontal="center" vertical="center" wrapText="1"/>
    </xf>
    <xf numFmtId="1" fontId="22" fillId="10" borderId="15" xfId="9" applyFont="1" applyBorder="1" applyProtection="1">
      <alignment horizontal="center" vertical="center"/>
      <protection locked="0"/>
    </xf>
    <xf numFmtId="1" fontId="22" fillId="10" borderId="16" xfId="9" applyFont="1" applyBorder="1" applyProtection="1">
      <alignment horizontal="center" vertical="center"/>
      <protection locked="0"/>
    </xf>
    <xf numFmtId="49" fontId="21" fillId="0" borderId="12" xfId="4" applyNumberFormat="1" applyFont="1" applyBorder="1" applyProtection="1"/>
    <xf numFmtId="0" fontId="21" fillId="0" borderId="75" xfId="4" applyFont="1" applyBorder="1" applyAlignment="1" applyProtection="1">
      <alignment horizontal="center"/>
    </xf>
    <xf numFmtId="0" fontId="21" fillId="0" borderId="77" xfId="4" applyFont="1" applyBorder="1" applyAlignment="1" applyProtection="1">
      <alignment horizontal="center"/>
    </xf>
    <xf numFmtId="0" fontId="21" fillId="0" borderId="362" xfId="4" applyFont="1" applyBorder="1" applyProtection="1"/>
    <xf numFmtId="0" fontId="21" fillId="0" borderId="0" xfId="4" applyFont="1" applyBorder="1" applyProtection="1"/>
    <xf numFmtId="0" fontId="21" fillId="0" borderId="362" xfId="4" applyNumberFormat="1" applyFont="1" applyBorder="1" applyAlignment="1" applyProtection="1">
      <alignment vertical="top" wrapText="1"/>
    </xf>
    <xf numFmtId="0" fontId="21" fillId="0" borderId="360" xfId="4" applyFont="1" applyBorder="1" applyAlignment="1" applyProtection="1">
      <alignment horizontal="center"/>
    </xf>
    <xf numFmtId="0" fontId="21" fillId="0" borderId="361" xfId="4" applyNumberFormat="1" applyFont="1" applyBorder="1" applyAlignment="1" applyProtection="1">
      <alignment horizontal="center" vertical="top" wrapText="1"/>
    </xf>
    <xf numFmtId="49" fontId="21" fillId="0" borderId="0" xfId="4" applyNumberFormat="1" applyFont="1" applyBorder="1" applyAlignment="1" applyProtection="1">
      <alignment horizontal="center"/>
    </xf>
    <xf numFmtId="0" fontId="21" fillId="0" borderId="363" xfId="4" applyFont="1" applyBorder="1" applyProtection="1"/>
    <xf numFmtId="0" fontId="21" fillId="0" borderId="69" xfId="4" quotePrefix="1" applyNumberFormat="1" applyFont="1" applyBorder="1" applyAlignment="1" applyProtection="1">
      <alignment horizontal="center" vertical="top"/>
    </xf>
    <xf numFmtId="166" fontId="23" fillId="0" borderId="31" xfId="0" applyNumberFormat="1" applyFont="1" applyBorder="1" applyAlignment="1" applyProtection="1">
      <alignment horizontal="left" vertical="top"/>
    </xf>
    <xf numFmtId="166" fontId="23" fillId="0" borderId="12" xfId="0" applyNumberFormat="1" applyFont="1" applyBorder="1" applyAlignment="1" applyProtection="1">
      <alignment horizontal="left" vertical="top"/>
    </xf>
    <xf numFmtId="0" fontId="21" fillId="0" borderId="67" xfId="4" quotePrefix="1" applyNumberFormat="1" applyFont="1" applyBorder="1" applyAlignment="1">
      <alignment horizontal="center" vertical="top"/>
    </xf>
    <xf numFmtId="0" fontId="0" fillId="0" borderId="26" xfId="0" applyBorder="1" applyProtection="1"/>
    <xf numFmtId="0" fontId="23" fillId="0" borderId="26" xfId="0" applyFont="1" applyBorder="1" applyAlignment="1" applyProtection="1">
      <alignment horizontal="center" vertical="top"/>
    </xf>
    <xf numFmtId="0" fontId="23" fillId="0" borderId="27" xfId="0" applyFont="1" applyBorder="1" applyAlignment="1" applyProtection="1">
      <alignment horizontal="center" vertical="top"/>
    </xf>
    <xf numFmtId="0" fontId="13" fillId="0" borderId="28" xfId="0" applyFont="1" applyBorder="1" applyAlignment="1" applyProtection="1">
      <alignment horizontal="center" vertical="center" wrapText="1"/>
    </xf>
    <xf numFmtId="0" fontId="22" fillId="0" borderId="368" xfId="4" applyNumberFormat="1" applyFont="1" applyBorder="1" applyAlignment="1">
      <alignment horizontal="center" vertical="center" wrapText="1"/>
    </xf>
    <xf numFmtId="0" fontId="21" fillId="0" borderId="342" xfId="4" quotePrefix="1" applyNumberFormat="1" applyFont="1" applyBorder="1" applyAlignment="1" applyProtection="1">
      <alignment horizontal="left" vertical="top"/>
    </xf>
    <xf numFmtId="0" fontId="21" fillId="0" borderId="67" xfId="4" quotePrefix="1" applyNumberFormat="1" applyFont="1" applyBorder="1" applyAlignment="1" applyProtection="1">
      <alignment horizontal="center" vertical="top"/>
    </xf>
    <xf numFmtId="0" fontId="21" fillId="0" borderId="67" xfId="4" quotePrefix="1" applyNumberFormat="1" applyFont="1" applyBorder="1" applyAlignment="1" applyProtection="1">
      <alignment horizontal="left" vertical="top"/>
    </xf>
    <xf numFmtId="49" fontId="21" fillId="0" borderId="12" xfId="4" quotePrefix="1" applyNumberFormat="1" applyFont="1" applyBorder="1" applyAlignment="1" applyProtection="1">
      <alignment vertical="top"/>
    </xf>
    <xf numFmtId="49" fontId="21" fillId="0" borderId="0" xfId="4" quotePrefix="1" applyNumberFormat="1" applyFont="1" applyBorder="1" applyAlignment="1" applyProtection="1">
      <alignment horizontal="center" vertical="top"/>
    </xf>
    <xf numFmtId="49" fontId="21" fillId="0" borderId="0" xfId="4" quotePrefix="1" applyNumberFormat="1" applyFont="1" applyBorder="1" applyAlignment="1" applyProtection="1">
      <alignment vertical="top"/>
    </xf>
    <xf numFmtId="0" fontId="21" fillId="0" borderId="97" xfId="4" quotePrefix="1" applyNumberFormat="1" applyFont="1" applyBorder="1" applyAlignment="1">
      <alignment horizontal="center" vertical="center"/>
    </xf>
    <xf numFmtId="0" fontId="21" fillId="0" borderId="100" xfId="4" quotePrefix="1" applyNumberFormat="1" applyFont="1" applyBorder="1" applyAlignment="1">
      <alignment horizontal="center" vertical="center"/>
    </xf>
    <xf numFmtId="0" fontId="21" fillId="0" borderId="369" xfId="4" quotePrefix="1" applyNumberFormat="1" applyFont="1" applyBorder="1" applyAlignment="1">
      <alignment horizontal="center" vertical="center"/>
    </xf>
    <xf numFmtId="0" fontId="21" fillId="0" borderId="99" xfId="4" applyFont="1" applyBorder="1" applyAlignment="1">
      <alignment horizontal="center" vertical="center" wrapText="1"/>
    </xf>
    <xf numFmtId="0" fontId="21" fillId="0" borderId="102" xfId="4" quotePrefix="1" applyFont="1" applyBorder="1" applyAlignment="1">
      <alignment horizontal="center" vertical="center" wrapText="1"/>
    </xf>
    <xf numFmtId="0" fontId="21" fillId="0" borderId="371" xfId="4" applyFont="1" applyBorder="1" applyAlignment="1">
      <alignment horizontal="center" vertical="center" wrapText="1"/>
    </xf>
    <xf numFmtId="167" fontId="23" fillId="0" borderId="59" xfId="0" applyNumberFormat="1" applyFont="1" applyBorder="1" applyAlignment="1">
      <alignment horizontal="center" vertical="top"/>
    </xf>
    <xf numFmtId="0" fontId="13" fillId="0" borderId="59" xfId="0" applyFont="1" applyBorder="1" applyAlignment="1">
      <alignment horizontal="center" vertical="center" wrapText="1"/>
    </xf>
    <xf numFmtId="0" fontId="23" fillId="0" borderId="97" xfId="0" applyFont="1" applyBorder="1" applyAlignment="1">
      <alignment horizontal="center" vertical="center" wrapText="1"/>
    </xf>
    <xf numFmtId="0" fontId="23" fillId="0" borderId="99" xfId="0" applyFont="1" applyBorder="1" applyAlignment="1">
      <alignment horizontal="center" vertical="center" wrapText="1"/>
    </xf>
    <xf numFmtId="0" fontId="23" fillId="0" borderId="369" xfId="0" applyFont="1" applyBorder="1" applyAlignment="1">
      <alignment horizontal="center" vertical="center" wrapText="1"/>
    </xf>
    <xf numFmtId="0" fontId="23" fillId="0" borderId="371" xfId="0" applyFont="1" applyBorder="1" applyAlignment="1">
      <alignment horizontal="center" vertical="center" wrapText="1"/>
    </xf>
    <xf numFmtId="167" fontId="23" fillId="0" borderId="58" xfId="0" applyNumberFormat="1" applyFont="1" applyBorder="1" applyAlignment="1">
      <alignment horizontal="center" vertical="top"/>
    </xf>
    <xf numFmtId="167" fontId="23" fillId="0" borderId="375" xfId="0" applyNumberFormat="1" applyFont="1" applyBorder="1" applyAlignment="1">
      <alignment horizontal="center" vertical="top"/>
    </xf>
    <xf numFmtId="167" fontId="23" fillId="0" borderId="376" xfId="0" applyNumberFormat="1" applyFont="1" applyBorder="1" applyAlignment="1">
      <alignment horizontal="center" vertical="top"/>
    </xf>
    <xf numFmtId="0" fontId="23" fillId="0" borderId="0" xfId="0" applyFont="1" applyFill="1" applyBorder="1" applyAlignment="1">
      <alignment horizontal="left" vertical="center"/>
    </xf>
    <xf numFmtId="167" fontId="21" fillId="0" borderId="97" xfId="4" applyNumberFormat="1" applyFont="1" applyBorder="1" applyAlignment="1">
      <alignment horizontal="center" vertical="top"/>
    </xf>
    <xf numFmtId="0" fontId="21" fillId="0" borderId="99" xfId="4" applyNumberFormat="1" applyFont="1" applyBorder="1" applyAlignment="1">
      <alignment vertical="top" wrapText="1"/>
    </xf>
    <xf numFmtId="167" fontId="21" fillId="0" borderId="100" xfId="4" applyNumberFormat="1" applyFont="1" applyBorder="1" applyAlignment="1">
      <alignment horizontal="center" vertical="top"/>
    </xf>
    <xf numFmtId="0" fontId="21" fillId="0" borderId="102" xfId="4" applyNumberFormat="1" applyFont="1" applyBorder="1" applyAlignment="1">
      <alignment vertical="top" wrapText="1"/>
    </xf>
    <xf numFmtId="167" fontId="21" fillId="0" borderId="369" xfId="4" applyNumberFormat="1" applyFont="1" applyBorder="1" applyAlignment="1">
      <alignment horizontal="center" vertical="top"/>
    </xf>
    <xf numFmtId="0" fontId="21" fillId="0" borderId="371" xfId="4" quotePrefix="1" applyNumberFormat="1" applyFont="1" applyBorder="1" applyAlignment="1">
      <alignment vertical="top" wrapText="1"/>
    </xf>
    <xf numFmtId="0" fontId="21" fillId="0" borderId="379" xfId="4" applyNumberFormat="1" applyFont="1" applyBorder="1" applyAlignment="1">
      <alignment vertical="top" wrapText="1"/>
    </xf>
    <xf numFmtId="0" fontId="21" fillId="0" borderId="56" xfId="4" applyNumberFormat="1" applyFont="1" applyBorder="1" applyAlignment="1">
      <alignment vertical="top" wrapText="1"/>
    </xf>
    <xf numFmtId="0" fontId="21" fillId="0" borderId="378" xfId="4" applyNumberFormat="1" applyFont="1" applyBorder="1" applyAlignment="1">
      <alignment vertical="top" wrapText="1"/>
    </xf>
    <xf numFmtId="0" fontId="21" fillId="0" borderId="377" xfId="4" quotePrefix="1" applyNumberFormat="1" applyFont="1" applyBorder="1" applyAlignment="1">
      <alignment vertical="top" wrapText="1"/>
    </xf>
    <xf numFmtId="0" fontId="21" fillId="0" borderId="58" xfId="4" quotePrefix="1" applyNumberFormat="1" applyFont="1" applyBorder="1" applyAlignment="1">
      <alignment vertical="top" wrapText="1"/>
    </xf>
    <xf numFmtId="0" fontId="23" fillId="0" borderId="59" xfId="0" applyFont="1" applyBorder="1" applyAlignment="1">
      <alignment horizontal="center" vertical="top"/>
    </xf>
    <xf numFmtId="167" fontId="21" fillId="0" borderId="67" xfId="4" applyNumberFormat="1" applyFont="1" applyBorder="1" applyAlignment="1">
      <alignment horizontal="center" vertical="top"/>
    </xf>
    <xf numFmtId="167" fontId="21" fillId="0" borderId="67" xfId="4" applyNumberFormat="1" applyFont="1" applyBorder="1" applyAlignment="1">
      <alignment vertical="top"/>
    </xf>
    <xf numFmtId="49" fontId="54" fillId="0" borderId="368" xfId="16" applyBorder="1">
      <alignment horizontal="center" vertical="center" wrapText="1"/>
    </xf>
    <xf numFmtId="0" fontId="22" fillId="0" borderId="95" xfId="4" applyNumberFormat="1" applyFont="1" applyBorder="1" applyAlignment="1">
      <alignment horizontal="center" vertical="center" wrapText="1"/>
    </xf>
    <xf numFmtId="49" fontId="21" fillId="0" borderId="380" xfId="4" applyNumberFormat="1" applyFont="1" applyBorder="1" applyAlignment="1">
      <alignment horizontal="left" vertical="top"/>
    </xf>
    <xf numFmtId="167" fontId="21" fillId="0" borderId="59" xfId="4" applyNumberFormat="1" applyFont="1" applyBorder="1" applyAlignment="1">
      <alignment horizontal="left" vertical="top"/>
    </xf>
    <xf numFmtId="49" fontId="21" fillId="0" borderId="342" xfId="4" applyNumberFormat="1" applyFont="1" applyBorder="1" applyAlignment="1">
      <alignment horizontal="left" vertical="top"/>
    </xf>
    <xf numFmtId="167" fontId="21" fillId="0" borderId="67" xfId="4" applyNumberFormat="1" applyFont="1" applyBorder="1" applyAlignment="1">
      <alignment horizontal="left" vertical="top"/>
    </xf>
    <xf numFmtId="0" fontId="8" fillId="17" borderId="382" xfId="4" applyNumberFormat="1" applyFont="1" applyFill="1" applyBorder="1" applyAlignment="1">
      <alignment horizontal="center" vertical="center" wrapText="1"/>
    </xf>
    <xf numFmtId="0" fontId="8" fillId="17" borderId="388" xfId="4" applyNumberFormat="1" applyFont="1" applyFill="1" applyBorder="1" applyAlignment="1">
      <alignment horizontal="center" vertical="center" wrapText="1"/>
    </xf>
    <xf numFmtId="49" fontId="21" fillId="0" borderId="342" xfId="4" quotePrefix="1" applyNumberFormat="1" applyFont="1" applyBorder="1" applyAlignment="1">
      <alignment vertical="top"/>
    </xf>
    <xf numFmtId="49" fontId="21" fillId="0" borderId="67" xfId="4" quotePrefix="1" applyNumberFormat="1" applyFont="1" applyBorder="1" applyAlignment="1">
      <alignment horizontal="center" vertical="top"/>
    </xf>
    <xf numFmtId="49" fontId="21" fillId="0" borderId="67" xfId="4" quotePrefix="1" applyNumberFormat="1" applyFont="1" applyBorder="1" applyAlignment="1">
      <alignment vertical="top"/>
    </xf>
    <xf numFmtId="0" fontId="21" fillId="0" borderId="342" xfId="4" applyNumberFormat="1" applyFont="1" applyBorder="1" applyAlignment="1">
      <alignment horizontal="left" vertical="top"/>
    </xf>
    <xf numFmtId="0" fontId="21" fillId="0" borderId="67" xfId="4" applyNumberFormat="1" applyFont="1" applyBorder="1" applyAlignment="1">
      <alignment horizontal="center" vertical="top"/>
    </xf>
    <xf numFmtId="0" fontId="21" fillId="0" borderId="67" xfId="4" applyNumberFormat="1" applyFont="1" applyBorder="1" applyAlignment="1">
      <alignment horizontal="left" vertical="top"/>
    </xf>
    <xf numFmtId="0" fontId="21" fillId="0" borderId="343" xfId="4" applyFont="1" applyBorder="1" applyAlignment="1" applyProtection="1">
      <alignment horizontal="left" vertical="top" wrapText="1"/>
      <protection locked="0"/>
    </xf>
    <xf numFmtId="49" fontId="21" fillId="0" borderId="104" xfId="4" applyNumberFormat="1" applyFont="1" applyBorder="1"/>
    <xf numFmtId="1" fontId="22" fillId="10" borderId="41" xfId="9" applyFont="1" applyBorder="1" applyProtection="1">
      <alignment horizontal="center" vertical="center"/>
      <protection locked="0"/>
    </xf>
    <xf numFmtId="0" fontId="22" fillId="0" borderId="34" xfId="12" applyFont="1" applyFill="1" applyBorder="1" applyProtection="1">
      <alignment horizontal="left" vertical="top" wrapText="1"/>
    </xf>
    <xf numFmtId="0" fontId="13" fillId="0" borderId="32" xfId="0" applyFont="1" applyBorder="1" applyAlignment="1">
      <alignment horizontal="left" vertical="top" wrapText="1"/>
    </xf>
    <xf numFmtId="0" fontId="3" fillId="0" borderId="69" xfId="0" applyFont="1" applyBorder="1"/>
    <xf numFmtId="0" fontId="3" fillId="0" borderId="0" xfId="0" applyFont="1" applyAlignment="1">
      <alignment horizontal="center" vertical="center"/>
    </xf>
    <xf numFmtId="0" fontId="13" fillId="10" borderId="114" xfId="0" applyFont="1" applyFill="1" applyBorder="1" applyAlignment="1" applyProtection="1">
      <alignment horizontal="center" vertical="center"/>
      <protection locked="0"/>
    </xf>
    <xf numFmtId="0" fontId="13" fillId="10" borderId="113" xfId="0" applyFont="1" applyFill="1" applyBorder="1" applyAlignment="1" applyProtection="1">
      <alignment horizontal="center" vertical="center"/>
      <protection locked="0"/>
    </xf>
    <xf numFmtId="0" fontId="21" fillId="6" borderId="1" xfId="4" applyFont="1" applyFill="1" applyBorder="1" applyAlignment="1">
      <alignment horizontal="center" vertical="center"/>
    </xf>
    <xf numFmtId="0" fontId="21" fillId="0" borderId="0" xfId="4" applyFont="1" applyAlignment="1">
      <alignment horizontal="left" vertical="top"/>
    </xf>
    <xf numFmtId="1" fontId="22" fillId="10" borderId="374" xfId="9" applyFont="1" applyBorder="1" applyProtection="1">
      <alignment horizontal="center" vertical="center"/>
      <protection locked="0"/>
    </xf>
    <xf numFmtId="0" fontId="13" fillId="0" borderId="18" xfId="0" applyFont="1" applyBorder="1" applyAlignment="1">
      <alignment horizontal="center" vertical="center" wrapText="1"/>
    </xf>
    <xf numFmtId="0" fontId="13" fillId="0" borderId="0" xfId="0" applyFont="1" applyBorder="1" applyAlignment="1">
      <alignment horizontal="center" vertical="center" wrapText="1"/>
    </xf>
    <xf numFmtId="0" fontId="13" fillId="0" borderId="26" xfId="0" applyFont="1" applyBorder="1" applyAlignment="1">
      <alignment horizontal="center" vertical="center" wrapText="1"/>
    </xf>
    <xf numFmtId="0" fontId="13" fillId="0" borderId="24" xfId="0" applyFont="1" applyBorder="1" applyAlignment="1">
      <alignment horizontal="center" vertical="center" wrapText="1"/>
    </xf>
    <xf numFmtId="0" fontId="13" fillId="0" borderId="67" xfId="0" applyFont="1" applyBorder="1" applyAlignment="1">
      <alignment horizontal="center" vertical="center" wrapText="1"/>
    </xf>
    <xf numFmtId="0" fontId="13" fillId="0" borderId="50" xfId="0" applyFont="1" applyBorder="1" applyAlignment="1">
      <alignment horizontal="center" vertical="center" wrapText="1"/>
    </xf>
    <xf numFmtId="0" fontId="13" fillId="15" borderId="347" xfId="15" applyFont="1" applyBorder="1" applyAlignment="1" applyProtection="1">
      <alignment horizontal="center" vertical="center"/>
    </xf>
    <xf numFmtId="0" fontId="1" fillId="0" borderId="0" xfId="0" applyFont="1" applyBorder="1"/>
    <xf numFmtId="0" fontId="0" fillId="0" borderId="0" xfId="0" applyBorder="1"/>
    <xf numFmtId="0" fontId="1" fillId="0" borderId="32" xfId="0" applyFont="1" applyBorder="1"/>
    <xf numFmtId="0" fontId="13" fillId="15" borderId="348" xfId="15" applyFont="1" applyBorder="1" applyAlignment="1" applyProtection="1">
      <alignment horizontal="center" vertical="center"/>
    </xf>
    <xf numFmtId="0" fontId="23" fillId="0" borderId="12" xfId="0" applyFont="1" applyBorder="1" applyAlignment="1">
      <alignment horizontal="left" vertical="top"/>
    </xf>
    <xf numFmtId="167" fontId="23" fillId="0" borderId="18" xfId="0" applyNumberFormat="1" applyFont="1" applyBorder="1" applyAlignment="1">
      <alignment horizontal="center" vertical="top"/>
    </xf>
    <xf numFmtId="167" fontId="23" fillId="0" borderId="0" xfId="0" applyNumberFormat="1" applyFont="1" applyBorder="1" applyAlignment="1">
      <alignment horizontal="center" vertical="top"/>
    </xf>
    <xf numFmtId="167" fontId="23" fillId="0" borderId="26" xfId="0" applyNumberFormat="1" applyFont="1" applyBorder="1" applyAlignment="1">
      <alignment horizontal="center" vertical="top"/>
    </xf>
    <xf numFmtId="0" fontId="23" fillId="0" borderId="0" xfId="0" applyFont="1" applyBorder="1" applyAlignment="1">
      <alignment vertical="top"/>
    </xf>
    <xf numFmtId="0" fontId="1" fillId="0" borderId="26" xfId="0" applyFont="1" applyBorder="1"/>
    <xf numFmtId="0" fontId="1" fillId="0" borderId="12" xfId="0" applyFont="1" applyBorder="1"/>
    <xf numFmtId="0" fontId="23" fillId="0" borderId="12" xfId="0" applyFont="1" applyBorder="1" applyAlignment="1">
      <alignment horizontal="left" vertical="top" wrapText="1"/>
    </xf>
    <xf numFmtId="167" fontId="23" fillId="0" borderId="18" xfId="0" applyNumberFormat="1" applyFont="1" applyBorder="1" applyAlignment="1" applyProtection="1">
      <alignment horizontal="center" vertical="top"/>
    </xf>
    <xf numFmtId="0" fontId="13" fillId="0" borderId="40" xfId="0" applyFont="1" applyBorder="1" applyAlignment="1" applyProtection="1">
      <alignment horizontal="center" vertical="center" wrapText="1"/>
    </xf>
    <xf numFmtId="0" fontId="21" fillId="0" borderId="0" xfId="4" applyFont="1" applyFill="1" applyBorder="1" applyAlignment="1">
      <alignment horizontal="left" vertical="top"/>
    </xf>
    <xf numFmtId="49" fontId="22" fillId="0" borderId="0" xfId="4" applyNumberFormat="1" applyFont="1" applyBorder="1" applyAlignment="1">
      <alignment horizontal="center" vertical="center" wrapText="1"/>
    </xf>
    <xf numFmtId="0" fontId="21" fillId="0" borderId="0" xfId="4" applyFont="1" applyBorder="1" applyAlignment="1">
      <alignment horizontal="center" vertical="center" wrapText="1"/>
    </xf>
    <xf numFmtId="49" fontId="54" fillId="0" borderId="50" xfId="16" applyBorder="1">
      <alignment horizontal="center" vertical="center" wrapText="1"/>
    </xf>
    <xf numFmtId="0" fontId="23" fillId="0" borderId="398" xfId="0" applyFont="1" applyBorder="1" applyAlignment="1">
      <alignment horizontal="left" vertical="top"/>
    </xf>
    <xf numFmtId="0" fontId="23" fillId="0" borderId="399" xfId="0" applyFont="1" applyBorder="1" applyAlignment="1">
      <alignment horizontal="left" vertical="top"/>
    </xf>
    <xf numFmtId="0" fontId="21" fillId="0" borderId="12" xfId="4" applyNumberFormat="1" applyFont="1" applyBorder="1" applyAlignment="1">
      <alignment horizontal="left" vertical="top"/>
    </xf>
    <xf numFmtId="0" fontId="21" fillId="0" borderId="13" xfId="4" applyFont="1" applyBorder="1" applyAlignment="1">
      <alignment horizontal="left" vertical="top"/>
    </xf>
    <xf numFmtId="0" fontId="23" fillId="0" borderId="0" xfId="0" applyFont="1" applyAlignment="1">
      <alignment wrapText="1"/>
    </xf>
    <xf numFmtId="0" fontId="15" fillId="0" borderId="13" xfId="4" applyFont="1" applyFill="1" applyBorder="1" applyAlignment="1" applyProtection="1">
      <alignment horizontal="center" vertical="center" wrapText="1"/>
      <protection locked="0"/>
    </xf>
    <xf numFmtId="0" fontId="15" fillId="0" borderId="208" xfId="4" applyFont="1" applyFill="1" applyBorder="1" applyAlignment="1" applyProtection="1">
      <alignment horizontal="center" vertical="center" wrapText="1"/>
      <protection locked="0"/>
    </xf>
    <xf numFmtId="0" fontId="15" fillId="0" borderId="118" xfId="12" applyFont="1" applyFill="1" applyBorder="1" applyAlignment="1" applyProtection="1">
      <alignment horizontal="center" vertical="center" wrapText="1"/>
    </xf>
    <xf numFmtId="0" fontId="30" fillId="0" borderId="402" xfId="0" applyFont="1" applyBorder="1" applyAlignment="1" applyProtection="1">
      <alignment horizontal="center" vertical="center" wrapText="1"/>
      <protection locked="0"/>
    </xf>
    <xf numFmtId="0" fontId="30" fillId="0" borderId="202" xfId="0" applyFont="1" applyBorder="1" applyAlignment="1">
      <alignment horizontal="center" vertical="center" wrapText="1"/>
    </xf>
    <xf numFmtId="0" fontId="30" fillId="0" borderId="87" xfId="0" applyFont="1" applyBorder="1" applyAlignment="1">
      <alignment horizontal="center" vertical="center"/>
    </xf>
    <xf numFmtId="49" fontId="23" fillId="0" borderId="109" xfId="0" applyNumberFormat="1" applyFont="1" applyBorder="1" applyAlignment="1" applyProtection="1">
      <alignment horizontal="center" vertical="center" wrapText="1"/>
      <protection locked="0"/>
    </xf>
    <xf numFmtId="49" fontId="23" fillId="0" borderId="107" xfId="0" applyNumberFormat="1" applyFont="1" applyBorder="1" applyAlignment="1" applyProtection="1">
      <alignment horizontal="center" vertical="center" wrapText="1"/>
      <protection locked="0"/>
    </xf>
    <xf numFmtId="0" fontId="23" fillId="0" borderId="34" xfId="0" applyFont="1" applyBorder="1" applyAlignment="1">
      <alignment horizontal="center" vertical="top" wrapText="1"/>
    </xf>
    <xf numFmtId="0" fontId="23" fillId="0" borderId="39" xfId="0" applyFont="1" applyBorder="1" applyAlignment="1">
      <alignment horizontal="left" vertical="top" wrapText="1"/>
    </xf>
    <xf numFmtId="0" fontId="1" fillId="0" borderId="0" xfId="0" applyFont="1" applyAlignment="1">
      <alignment horizontal="left" vertical="top"/>
    </xf>
    <xf numFmtId="0" fontId="23" fillId="0" borderId="12" xfId="0" applyFont="1" applyBorder="1" applyAlignment="1">
      <alignment horizontal="left" vertical="top" wrapText="1"/>
    </xf>
    <xf numFmtId="167" fontId="23" fillId="0" borderId="67" xfId="0" applyNumberFormat="1" applyFont="1" applyBorder="1" applyAlignment="1">
      <alignment horizontal="center" vertical="top" wrapText="1"/>
    </xf>
    <xf numFmtId="0" fontId="23" fillId="0" borderId="67" xfId="0" applyFont="1" applyBorder="1" applyAlignment="1">
      <alignment horizontal="center" vertical="top" wrapText="1"/>
    </xf>
    <xf numFmtId="0" fontId="23" fillId="0" borderId="58" xfId="0" applyFont="1" applyBorder="1" applyAlignment="1">
      <alignment horizontal="center" vertical="top" wrapText="1"/>
    </xf>
    <xf numFmtId="0" fontId="13" fillId="15" borderId="345" xfId="15" applyBorder="1" applyAlignment="1">
      <alignment horizontal="center" vertical="center"/>
    </xf>
    <xf numFmtId="0" fontId="13" fillId="15" borderId="364" xfId="15" applyBorder="1" applyAlignment="1">
      <alignment horizontal="center" vertical="center"/>
    </xf>
    <xf numFmtId="0" fontId="21" fillId="0" borderId="68" xfId="4" quotePrefix="1" applyNumberFormat="1" applyFont="1" applyBorder="1" applyAlignment="1">
      <alignment horizontal="left" vertical="top" wrapText="1"/>
    </xf>
    <xf numFmtId="0" fontId="21" fillId="0" borderId="69" xfId="4" quotePrefix="1" applyNumberFormat="1" applyFont="1" applyBorder="1" applyAlignment="1">
      <alignment horizontal="center" vertical="top" wrapText="1"/>
    </xf>
    <xf numFmtId="0" fontId="21" fillId="0" borderId="69" xfId="4" quotePrefix="1" applyNumberFormat="1" applyFont="1" applyBorder="1" applyAlignment="1">
      <alignment horizontal="left" vertical="top" wrapText="1"/>
    </xf>
    <xf numFmtId="49" fontId="21" fillId="0" borderId="83" xfId="4" applyNumberFormat="1" applyFont="1" applyBorder="1"/>
    <xf numFmtId="167" fontId="21" fillId="0" borderId="84" xfId="4" applyNumberFormat="1" applyFont="1" applyBorder="1" applyAlignment="1">
      <alignment horizontal="center" vertical="top"/>
    </xf>
    <xf numFmtId="167" fontId="21" fillId="0" borderId="84" xfId="4" applyNumberFormat="1" applyFont="1" applyBorder="1" applyAlignment="1">
      <alignment vertical="top"/>
    </xf>
    <xf numFmtId="0" fontId="22" fillId="0" borderId="84" xfId="4" applyNumberFormat="1" applyFont="1" applyBorder="1" applyAlignment="1">
      <alignment horizontal="center" vertical="center" wrapText="1"/>
    </xf>
    <xf numFmtId="49" fontId="21" fillId="0" borderId="87" xfId="4" applyNumberFormat="1" applyFont="1" applyBorder="1" applyAlignment="1" applyProtection="1">
      <alignment vertical="top" wrapText="1"/>
    </xf>
    <xf numFmtId="0" fontId="23" fillId="0" borderId="70" xfId="0" applyFont="1" applyBorder="1" applyAlignment="1" applyProtection="1">
      <alignment vertical="top"/>
    </xf>
    <xf numFmtId="0" fontId="23" fillId="0" borderId="13" xfId="0" applyFont="1" applyBorder="1" applyAlignment="1" applyProtection="1">
      <alignment vertical="top"/>
      <protection locked="0"/>
    </xf>
    <xf numFmtId="49" fontId="22" fillId="0" borderId="24" xfId="4" applyNumberFormat="1" applyFont="1" applyBorder="1" applyAlignment="1">
      <alignment horizontal="center" vertical="center" wrapText="1"/>
    </xf>
    <xf numFmtId="1" fontId="22" fillId="0" borderId="24" xfId="4" applyNumberFormat="1" applyFont="1" applyBorder="1" applyAlignment="1">
      <alignment horizontal="center" vertical="center" wrapText="1"/>
    </xf>
    <xf numFmtId="1" fontId="22" fillId="0" borderId="416" xfId="4" applyNumberFormat="1" applyFont="1" applyBorder="1" applyAlignment="1">
      <alignment horizontal="center" vertical="center" wrapText="1"/>
    </xf>
    <xf numFmtId="1" fontId="26" fillId="10" borderId="15" xfId="9" applyBorder="1" applyAlignment="1" applyProtection="1">
      <alignment horizontal="center" vertical="center" wrapText="1"/>
      <protection locked="0"/>
    </xf>
    <xf numFmtId="0" fontId="0" fillId="0" borderId="12" xfId="0" applyFont="1" applyBorder="1" applyAlignment="1">
      <alignment horizontal="left" vertical="top"/>
    </xf>
    <xf numFmtId="0" fontId="23" fillId="0" borderId="343" xfId="0" applyFont="1" applyBorder="1" applyAlignment="1" applyProtection="1">
      <alignment vertical="top"/>
    </xf>
    <xf numFmtId="0" fontId="23" fillId="0" borderId="342" xfId="0" applyFont="1" applyBorder="1" applyAlignment="1" applyProtection="1">
      <alignment horizontal="left" vertical="top"/>
    </xf>
    <xf numFmtId="0" fontId="23" fillId="0" borderId="67" xfId="0" applyFont="1" applyBorder="1" applyAlignment="1" applyProtection="1">
      <alignment horizontal="center" vertical="top"/>
    </xf>
    <xf numFmtId="0" fontId="21" fillId="0" borderId="13" xfId="4" applyFont="1" applyBorder="1" applyAlignment="1" applyProtection="1">
      <alignment horizontal="left" vertical="top"/>
    </xf>
    <xf numFmtId="1" fontId="22" fillId="0" borderId="67" xfId="4" applyNumberFormat="1" applyFont="1" applyBorder="1" applyAlignment="1" applyProtection="1">
      <alignment horizontal="center" vertical="center" wrapText="1"/>
    </xf>
    <xf numFmtId="0" fontId="21" fillId="0" borderId="0" xfId="4" applyFont="1" applyBorder="1" applyAlignment="1" applyProtection="1">
      <alignment horizontal="center" vertical="center" wrapText="1"/>
    </xf>
    <xf numFmtId="49" fontId="54" fillId="0" borderId="415" xfId="16" applyBorder="1">
      <alignment horizontal="center" vertical="center" wrapText="1"/>
    </xf>
    <xf numFmtId="49" fontId="22" fillId="0" borderId="67" xfId="4" applyNumberFormat="1" applyFont="1" applyBorder="1" applyAlignment="1" applyProtection="1">
      <alignment horizontal="center" vertical="center" wrapText="1"/>
    </xf>
    <xf numFmtId="0" fontId="21" fillId="0" borderId="67" xfId="4" applyFont="1" applyBorder="1" applyAlignment="1" applyProtection="1">
      <alignment horizontal="center" vertical="center" wrapText="1"/>
    </xf>
    <xf numFmtId="166" fontId="21" fillId="0" borderId="12" xfId="4" applyNumberFormat="1" applyFont="1" applyBorder="1" applyAlignment="1" applyProtection="1">
      <alignment horizontal="left" vertical="top"/>
    </xf>
    <xf numFmtId="0" fontId="21" fillId="0" borderId="0" xfId="4" applyNumberFormat="1" applyFont="1" applyBorder="1" applyAlignment="1" applyProtection="1">
      <alignment horizontal="center" vertical="top"/>
    </xf>
    <xf numFmtId="0" fontId="21" fillId="0" borderId="0" xfId="4" applyNumberFormat="1" applyFont="1" applyBorder="1" applyAlignment="1" applyProtection="1">
      <alignment horizontal="left" vertical="top"/>
    </xf>
    <xf numFmtId="0" fontId="23" fillId="0" borderId="13" xfId="0" applyFont="1" applyBorder="1" applyAlignment="1" applyProtection="1">
      <alignment vertical="top" wrapText="1"/>
    </xf>
    <xf numFmtId="0" fontId="14" fillId="0" borderId="0" xfId="4" applyNumberFormat="1" applyFont="1" applyBorder="1" applyAlignment="1">
      <alignment horizontal="center" vertical="center" wrapText="1"/>
    </xf>
    <xf numFmtId="166" fontId="21" fillId="0" borderId="342" xfId="4" applyNumberFormat="1" applyFont="1" applyBorder="1" applyAlignment="1" applyProtection="1">
      <alignment horizontal="left" vertical="top"/>
      <protection locked="0"/>
    </xf>
    <xf numFmtId="166" fontId="21" fillId="0" borderId="67" xfId="4" applyNumberFormat="1" applyFont="1" applyBorder="1" applyAlignment="1" applyProtection="1">
      <alignment horizontal="center" vertical="top"/>
      <protection locked="0"/>
    </xf>
    <xf numFmtId="166" fontId="21" fillId="0" borderId="67" xfId="4" applyNumberFormat="1" applyFont="1" applyBorder="1" applyAlignment="1" applyProtection="1">
      <alignment horizontal="left" vertical="top"/>
      <protection locked="0"/>
    </xf>
    <xf numFmtId="0" fontId="22" fillId="0" borderId="67" xfId="4" applyNumberFormat="1" applyFont="1" applyBorder="1" applyAlignment="1" applyProtection="1">
      <alignment horizontal="center" vertical="center" wrapText="1"/>
      <protection locked="0"/>
    </xf>
    <xf numFmtId="0" fontId="21" fillId="0" borderId="67" xfId="4" applyFont="1" applyBorder="1" applyAlignment="1" applyProtection="1">
      <alignment horizontal="center" vertical="center" wrapText="1"/>
      <protection locked="0"/>
    </xf>
    <xf numFmtId="0" fontId="13" fillId="15" borderId="393" xfId="15" applyBorder="1" applyProtection="1">
      <alignment horizontal="center" vertical="center"/>
    </xf>
    <xf numFmtId="0" fontId="21" fillId="0" borderId="343" xfId="4" applyFont="1" applyBorder="1" applyAlignment="1" applyProtection="1">
      <alignment horizontal="left" vertical="top" wrapText="1"/>
    </xf>
    <xf numFmtId="0" fontId="14" fillId="0" borderId="67" xfId="4" applyNumberFormat="1" applyFont="1" applyBorder="1" applyAlignment="1">
      <alignment horizontal="center" vertical="center" wrapText="1"/>
    </xf>
    <xf numFmtId="49" fontId="23" fillId="0" borderId="372" xfId="0" applyNumberFormat="1" applyFont="1" applyBorder="1" applyAlignment="1" applyProtection="1">
      <alignment horizontal="center" vertical="center"/>
      <protection locked="0"/>
    </xf>
    <xf numFmtId="49" fontId="23" fillId="0" borderId="419" xfId="0" applyNumberFormat="1" applyFont="1" applyBorder="1" applyAlignment="1" applyProtection="1">
      <alignment horizontal="center" vertical="center"/>
      <protection locked="0"/>
    </xf>
    <xf numFmtId="49" fontId="23" fillId="0" borderId="396" xfId="0" applyNumberFormat="1" applyFont="1" applyBorder="1" applyAlignment="1" applyProtection="1">
      <alignment horizontal="center" vertical="center"/>
      <protection locked="0"/>
    </xf>
    <xf numFmtId="0" fontId="23" fillId="0" borderId="13" xfId="0" applyFont="1" applyBorder="1" applyAlignment="1" applyProtection="1">
      <alignment horizontal="center" vertical="center"/>
      <protection locked="0"/>
    </xf>
    <xf numFmtId="49" fontId="23" fillId="0" borderId="13" xfId="0" applyNumberFormat="1" applyFont="1" applyBorder="1" applyAlignment="1" applyProtection="1">
      <alignment horizontal="center" vertical="center"/>
      <protection locked="0"/>
    </xf>
    <xf numFmtId="49" fontId="0" fillId="0" borderId="372" xfId="0" applyNumberFormat="1" applyBorder="1" applyAlignment="1" applyProtection="1">
      <alignment horizontal="center" vertical="center"/>
      <protection locked="0"/>
    </xf>
    <xf numFmtId="0" fontId="15" fillId="0" borderId="420" xfId="4" applyFont="1" applyBorder="1" applyAlignment="1" applyProtection="1">
      <alignment horizontal="center" vertical="center" wrapText="1"/>
      <protection locked="0"/>
    </xf>
    <xf numFmtId="0" fontId="15" fillId="0" borderId="140" xfId="4" applyFont="1" applyBorder="1" applyAlignment="1" applyProtection="1">
      <alignment horizontal="center" vertical="center" wrapText="1"/>
      <protection locked="0"/>
    </xf>
    <xf numFmtId="0" fontId="15" fillId="0" borderId="372" xfId="4" applyFont="1" applyBorder="1" applyAlignment="1" applyProtection="1">
      <alignment horizontal="center" vertical="center" wrapText="1"/>
      <protection locked="0"/>
    </xf>
    <xf numFmtId="0" fontId="15" fillId="0" borderId="109" xfId="4" applyFont="1" applyBorder="1" applyAlignment="1" applyProtection="1">
      <alignment horizontal="center" vertical="center" wrapText="1"/>
      <protection locked="0"/>
    </xf>
    <xf numFmtId="49" fontId="15" fillId="0" borderId="343" xfId="4" applyNumberFormat="1" applyFont="1" applyBorder="1" applyAlignment="1" applyProtection="1">
      <alignment horizontal="center" vertical="center" wrapText="1"/>
      <protection locked="0"/>
    </xf>
    <xf numFmtId="49" fontId="23" fillId="0" borderId="423" xfId="0" applyNumberFormat="1" applyFont="1" applyBorder="1" applyAlignment="1" applyProtection="1">
      <alignment horizontal="center" vertical="center"/>
      <protection locked="0"/>
    </xf>
    <xf numFmtId="0" fontId="23" fillId="0" borderId="0" xfId="0" applyFont="1" applyBorder="1" applyAlignment="1">
      <alignment horizontal="left" vertical="center" wrapText="1"/>
    </xf>
    <xf numFmtId="0" fontId="23" fillId="0" borderId="0" xfId="0" applyFont="1" applyBorder="1"/>
    <xf numFmtId="0" fontId="0" fillId="0" borderId="0" xfId="0" applyBorder="1"/>
    <xf numFmtId="0" fontId="23" fillId="0" borderId="0" xfId="0" applyFont="1" applyBorder="1" applyAlignment="1">
      <alignment horizontal="left" vertical="top" wrapText="1"/>
    </xf>
    <xf numFmtId="0" fontId="13" fillId="0" borderId="0" xfId="0" applyFont="1" applyBorder="1" applyAlignment="1">
      <alignment horizontal="left" vertical="top" wrapText="1"/>
    </xf>
    <xf numFmtId="1" fontId="26" fillId="10" borderId="16" xfId="9" applyBorder="1">
      <alignment horizontal="center" vertical="center"/>
      <protection locked="0"/>
    </xf>
    <xf numFmtId="0" fontId="23" fillId="0" borderId="0" xfId="0" applyFont="1" applyFill="1" applyBorder="1" applyAlignment="1">
      <alignment horizontal="left" vertical="center" wrapText="1"/>
    </xf>
    <xf numFmtId="0" fontId="0" fillId="0" borderId="0" xfId="0" applyBorder="1" applyProtection="1"/>
    <xf numFmtId="1" fontId="22" fillId="10" borderId="16" xfId="9" applyFont="1" applyBorder="1">
      <alignment horizontal="center" vertical="center"/>
      <protection locked="0"/>
    </xf>
    <xf numFmtId="0" fontId="0" fillId="0" borderId="0" xfId="0" applyFont="1" applyBorder="1"/>
    <xf numFmtId="0" fontId="22" fillId="10" borderId="15" xfId="9" applyNumberFormat="1" applyFont="1" applyBorder="1">
      <alignment horizontal="center" vertical="center"/>
      <protection locked="0"/>
    </xf>
    <xf numFmtId="1" fontId="26" fillId="10" borderId="114" xfId="9" applyBorder="1" applyAlignment="1" applyProtection="1">
      <alignment horizontal="center" vertical="center" wrapText="1"/>
      <protection locked="0"/>
    </xf>
    <xf numFmtId="0" fontId="23" fillId="0" borderId="0" xfId="0" applyFont="1" applyBorder="1" applyAlignment="1">
      <alignment horizontal="left" vertical="center" wrapText="1"/>
    </xf>
    <xf numFmtId="0" fontId="0" fillId="0" borderId="0" xfId="0" applyFont="1" applyBorder="1"/>
    <xf numFmtId="0" fontId="23" fillId="0" borderId="27" xfId="0" applyFont="1" applyBorder="1" applyAlignment="1" applyProtection="1">
      <alignment horizontal="left" vertical="center" wrapText="1" indent="1"/>
    </xf>
    <xf numFmtId="0" fontId="23" fillId="0" borderId="218" xfId="0" applyFont="1" applyBorder="1" applyAlignment="1" applyProtection="1">
      <alignment horizontal="left" vertical="center" wrapText="1" indent="1"/>
    </xf>
    <xf numFmtId="0" fontId="23" fillId="0" borderId="79" xfId="0" applyFont="1" applyBorder="1"/>
    <xf numFmtId="167" fontId="23" fillId="0" borderId="75" xfId="0" applyNumberFormat="1" applyFont="1" applyBorder="1" applyAlignment="1">
      <alignment horizontal="center" vertical="top"/>
    </xf>
    <xf numFmtId="167" fontId="23" fillId="0" borderId="78" xfId="0" applyNumberFormat="1" applyFont="1" applyBorder="1" applyAlignment="1">
      <alignment horizontal="center" vertical="top"/>
    </xf>
    <xf numFmtId="167" fontId="23" fillId="0" borderId="80" xfId="0" applyNumberFormat="1" applyFont="1" applyBorder="1" applyAlignment="1">
      <alignment horizontal="center" vertical="top"/>
    </xf>
    <xf numFmtId="0" fontId="23" fillId="0" borderId="77" xfId="0" applyFont="1" applyBorder="1" applyAlignment="1">
      <alignment horizontal="center" vertical="top"/>
    </xf>
    <xf numFmtId="0" fontId="23" fillId="0" borderId="82" xfId="0" applyFont="1" applyBorder="1" applyAlignment="1">
      <alignment horizontal="center" vertical="top"/>
    </xf>
    <xf numFmtId="0" fontId="68" fillId="0" borderId="0" xfId="0" applyFont="1"/>
    <xf numFmtId="0" fontId="13" fillId="0" borderId="0" xfId="0" applyFont="1"/>
    <xf numFmtId="0" fontId="68" fillId="0" borderId="0" xfId="0" applyFont="1" applyBorder="1" applyAlignment="1">
      <alignment horizontal="left" vertical="top" wrapText="1"/>
    </xf>
    <xf numFmtId="0" fontId="68" fillId="0" borderId="0" xfId="0" applyFont="1" applyAlignment="1">
      <alignment horizontal="left" vertical="top"/>
    </xf>
    <xf numFmtId="0" fontId="13" fillId="0" borderId="0" xfId="0" applyFont="1" applyAlignment="1">
      <alignment horizontal="left" vertical="top"/>
    </xf>
    <xf numFmtId="0" fontId="23" fillId="0" borderId="0" xfId="0" applyFont="1" applyAlignment="1">
      <alignment horizontal="left" vertical="top"/>
    </xf>
    <xf numFmtId="0" fontId="0" fillId="0" borderId="67" xfId="0" applyBorder="1"/>
    <xf numFmtId="0" fontId="23" fillId="0" borderId="67" xfId="0" applyFont="1" applyBorder="1"/>
    <xf numFmtId="1" fontId="26" fillId="10" borderId="434" xfId="9" applyBorder="1" applyAlignment="1">
      <alignment horizontal="center" vertical="center" wrapText="1"/>
      <protection locked="0"/>
    </xf>
    <xf numFmtId="0" fontId="0" fillId="0" borderId="32" xfId="0" applyFont="1" applyBorder="1" applyProtection="1"/>
    <xf numFmtId="0" fontId="13" fillId="15" borderId="435" xfId="15" applyBorder="1">
      <alignment horizontal="center" vertical="center"/>
    </xf>
    <xf numFmtId="0" fontId="13" fillId="0" borderId="0" xfId="0" applyFont="1"/>
    <xf numFmtId="0" fontId="56" fillId="0" borderId="0" xfId="0" applyFont="1"/>
    <xf numFmtId="9" fontId="23" fillId="0" borderId="0" xfId="0" applyNumberFormat="1" applyFont="1"/>
    <xf numFmtId="1" fontId="23" fillId="0" borderId="0" xfId="0" applyNumberFormat="1" applyFont="1"/>
    <xf numFmtId="1" fontId="22" fillId="10" borderId="185" xfId="9" applyFont="1" applyBorder="1" applyProtection="1">
      <alignment horizontal="center" vertical="center"/>
      <protection locked="0"/>
    </xf>
    <xf numFmtId="1" fontId="26" fillId="10" borderId="185" xfId="9" applyBorder="1" applyProtection="1">
      <alignment horizontal="center" vertical="center"/>
      <protection locked="0"/>
    </xf>
    <xf numFmtId="0" fontId="23" fillId="9" borderId="163" xfId="8" applyBorder="1" applyProtection="1">
      <alignment horizontal="left" vertical="top" wrapText="1"/>
    </xf>
    <xf numFmtId="0" fontId="0" fillId="0" borderId="31" xfId="0" applyBorder="1" applyProtection="1"/>
    <xf numFmtId="1" fontId="22" fillId="10" borderId="425" xfId="9" applyFont="1" applyBorder="1" applyProtection="1">
      <alignment horizontal="center" vertical="center"/>
      <protection locked="0"/>
    </xf>
    <xf numFmtId="167" fontId="23" fillId="0" borderId="75" xfId="0" applyNumberFormat="1" applyFont="1" applyBorder="1" applyAlignment="1">
      <alignment horizontal="center" vertical="top" wrapText="1"/>
    </xf>
    <xf numFmtId="167" fontId="23" fillId="0" borderId="97" xfId="0" applyNumberFormat="1" applyFont="1" applyBorder="1" applyAlignment="1">
      <alignment horizontal="center" vertical="top" wrapText="1"/>
    </xf>
    <xf numFmtId="0" fontId="23" fillId="0" borderId="99" xfId="0" applyFont="1" applyBorder="1" applyAlignment="1">
      <alignment horizontal="left" vertical="top" wrapText="1"/>
    </xf>
    <xf numFmtId="167" fontId="23" fillId="0" borderId="369" xfId="0" applyNumberFormat="1" applyFont="1" applyBorder="1" applyAlignment="1">
      <alignment horizontal="center" vertical="top" wrapText="1"/>
    </xf>
    <xf numFmtId="167" fontId="23" fillId="0" borderId="110" xfId="0" applyNumberFormat="1" applyFont="1" applyBorder="1" applyAlignment="1">
      <alignment horizontal="center" vertical="top" wrapText="1"/>
    </xf>
    <xf numFmtId="0" fontId="23" fillId="0" borderId="112" xfId="0" applyFont="1" applyBorder="1" applyAlignment="1">
      <alignment horizontal="left" vertical="top" wrapText="1"/>
    </xf>
    <xf numFmtId="0" fontId="23" fillId="0" borderId="108" xfId="0" applyFont="1" applyBorder="1" applyAlignment="1">
      <alignment horizontal="left" vertical="top" wrapText="1"/>
    </xf>
    <xf numFmtId="167" fontId="23" fillId="0" borderId="108" xfId="0" applyNumberFormat="1" applyFont="1" applyBorder="1" applyAlignment="1">
      <alignment horizontal="center" vertical="top" wrapText="1"/>
    </xf>
    <xf numFmtId="0" fontId="23" fillId="0" borderId="108" xfId="0" applyFont="1" applyBorder="1" applyAlignment="1" applyProtection="1">
      <alignment horizontal="left" vertical="top" wrapText="1"/>
    </xf>
    <xf numFmtId="167" fontId="23" fillId="0" borderId="108" xfId="0" applyNumberFormat="1" applyFont="1" applyBorder="1" applyAlignment="1" applyProtection="1">
      <alignment horizontal="center" vertical="top" wrapText="1"/>
    </xf>
    <xf numFmtId="0" fontId="13" fillId="0" borderId="108" xfId="0" applyFont="1" applyBorder="1" applyAlignment="1" applyProtection="1">
      <alignment horizontal="center" vertical="center" wrapText="1"/>
    </xf>
    <xf numFmtId="1" fontId="26" fillId="10" borderId="114" xfId="9" applyBorder="1" applyProtection="1">
      <alignment horizontal="center" vertical="center"/>
      <protection locked="0"/>
    </xf>
    <xf numFmtId="0" fontId="23" fillId="0" borderId="12" xfId="0" applyFont="1" applyBorder="1"/>
    <xf numFmtId="0" fontId="23" fillId="0" borderId="398" xfId="0" applyFont="1" applyBorder="1" applyAlignment="1" applyProtection="1">
      <alignment horizontal="left" vertical="top" wrapText="1"/>
    </xf>
    <xf numFmtId="49" fontId="30" fillId="0" borderId="109" xfId="0" applyNumberFormat="1" applyFont="1" applyBorder="1" applyAlignment="1" applyProtection="1">
      <alignment horizontal="center" vertical="center" wrapText="1"/>
      <protection locked="0"/>
    </xf>
    <xf numFmtId="0" fontId="23" fillId="0" borderId="398" xfId="0" applyFont="1" applyBorder="1" applyAlignment="1">
      <alignment horizontal="left" vertical="top" wrapText="1"/>
    </xf>
    <xf numFmtId="167" fontId="23" fillId="0" borderId="75" xfId="0" applyNumberFormat="1" applyFont="1" applyBorder="1" applyAlignment="1">
      <alignment horizontal="left" vertical="top" wrapText="1"/>
    </xf>
    <xf numFmtId="167" fontId="23" fillId="0" borderId="78" xfId="0" applyNumberFormat="1" applyFont="1" applyBorder="1" applyAlignment="1">
      <alignment horizontal="left" vertical="top" wrapText="1"/>
    </xf>
    <xf numFmtId="0" fontId="13" fillId="0" borderId="439" xfId="0" applyFont="1" applyBorder="1" applyAlignment="1">
      <alignment horizontal="center" vertical="center" wrapText="1"/>
    </xf>
    <xf numFmtId="0" fontId="23" fillId="0" borderId="78" xfId="0" applyFont="1" applyBorder="1" applyAlignment="1">
      <alignment horizontal="right" vertical="top" wrapText="1"/>
    </xf>
    <xf numFmtId="49" fontId="23" fillId="0" borderId="78" xfId="0" applyNumberFormat="1" applyFont="1" applyBorder="1" applyAlignment="1">
      <alignment horizontal="right" vertical="top" wrapText="1"/>
    </xf>
    <xf numFmtId="0" fontId="23" fillId="0" borderId="77" xfId="0" applyFont="1" applyBorder="1" applyAlignment="1">
      <alignment horizontal="center" vertical="top" wrapText="1"/>
    </xf>
    <xf numFmtId="0" fontId="23" fillId="0" borderId="431" xfId="0" applyFont="1" applyBorder="1" applyAlignment="1">
      <alignment horizontal="right" vertical="top" wrapText="1"/>
    </xf>
    <xf numFmtId="0" fontId="23" fillId="0" borderId="432" xfId="0" applyFont="1" applyBorder="1" applyAlignment="1">
      <alignment horizontal="center" vertical="top" wrapText="1"/>
    </xf>
    <xf numFmtId="49" fontId="23" fillId="0" borderId="0" xfId="0" applyNumberFormat="1" applyFont="1"/>
    <xf numFmtId="49" fontId="0" fillId="0" borderId="0" xfId="0" applyNumberFormat="1" applyFont="1"/>
    <xf numFmtId="0" fontId="13" fillId="0" borderId="79" xfId="0" applyFont="1" applyBorder="1" applyAlignment="1">
      <alignment horizontal="center" vertical="center" wrapText="1"/>
    </xf>
    <xf numFmtId="0" fontId="23" fillId="0" borderId="79" xfId="0" applyNumberFormat="1" applyFont="1" applyBorder="1" applyAlignment="1">
      <alignment horizontal="center" vertical="center"/>
    </xf>
    <xf numFmtId="0" fontId="0" fillId="0" borderId="79" xfId="0" applyNumberFormat="1" applyBorder="1" applyAlignment="1">
      <alignment horizontal="center" vertical="center"/>
    </xf>
    <xf numFmtId="0" fontId="0" fillId="0" borderId="79" xfId="0" applyNumberFormat="1" applyFont="1" applyBorder="1" applyAlignment="1">
      <alignment horizontal="center" vertical="center"/>
    </xf>
    <xf numFmtId="0" fontId="3" fillId="0" borderId="0" xfId="0" applyFont="1" applyAlignment="1">
      <alignment horizontal="center" vertical="center" wrapText="1"/>
    </xf>
    <xf numFmtId="0" fontId="3" fillId="0" borderId="79" xfId="0" applyFont="1" applyBorder="1" applyAlignment="1">
      <alignment horizontal="center" vertical="center" wrapText="1"/>
    </xf>
    <xf numFmtId="0" fontId="3" fillId="0" borderId="79" xfId="0" applyFont="1" applyBorder="1" applyAlignment="1" applyProtection="1">
      <alignment horizontal="center" vertical="center" wrapText="1"/>
      <protection locked="0"/>
    </xf>
    <xf numFmtId="0" fontId="0" fillId="0" borderId="79" xfId="0" applyBorder="1"/>
    <xf numFmtId="0" fontId="0" fillId="0" borderId="79" xfId="0" applyFont="1" applyBorder="1"/>
    <xf numFmtId="0" fontId="0" fillId="0" borderId="79" xfId="0" applyFont="1" applyBorder="1" applyProtection="1">
      <protection locked="0"/>
    </xf>
    <xf numFmtId="0" fontId="0" fillId="0" borderId="0" xfId="0" applyFont="1" applyBorder="1" applyProtection="1">
      <protection locked="0"/>
    </xf>
    <xf numFmtId="0" fontId="0" fillId="0" borderId="441" xfId="0" applyFont="1" applyBorder="1"/>
    <xf numFmtId="0" fontId="23" fillId="0" borderId="0" xfId="0" applyFont="1" applyBorder="1" applyProtection="1">
      <protection locked="0"/>
    </xf>
    <xf numFmtId="0" fontId="23" fillId="0" borderId="441" xfId="0" applyFont="1" applyBorder="1"/>
    <xf numFmtId="0" fontId="23" fillId="0" borderId="389" xfId="0" applyFont="1" applyBorder="1" applyAlignment="1">
      <alignment horizontal="left" vertical="top" wrapText="1"/>
    </xf>
    <xf numFmtId="0" fontId="13" fillId="0" borderId="389" xfId="0" applyFont="1" applyBorder="1" applyAlignment="1">
      <alignment horizontal="center" vertical="center" wrapText="1"/>
    </xf>
    <xf numFmtId="0" fontId="23" fillId="0" borderId="389" xfId="0" applyFont="1" applyBorder="1" applyAlignment="1">
      <alignment horizontal="center" vertical="center" wrapText="1"/>
    </xf>
    <xf numFmtId="49" fontId="23" fillId="0" borderId="389" xfId="0" applyNumberFormat="1" applyFont="1" applyBorder="1" applyAlignment="1">
      <alignment horizontal="center" vertical="center" wrapText="1"/>
    </xf>
    <xf numFmtId="49" fontId="23" fillId="0" borderId="0" xfId="0" applyNumberFormat="1" applyFont="1" applyBorder="1" applyProtection="1">
      <protection locked="0"/>
    </xf>
    <xf numFmtId="49" fontId="23" fillId="0" borderId="0" xfId="0" applyNumberFormat="1" applyFont="1" applyBorder="1"/>
    <xf numFmtId="49" fontId="23" fillId="0" borderId="441" xfId="0" applyNumberFormat="1" applyFont="1" applyBorder="1"/>
    <xf numFmtId="49" fontId="0" fillId="0" borderId="389" xfId="0" applyNumberFormat="1" applyFont="1" applyBorder="1" applyAlignment="1">
      <alignment horizontal="center" vertical="center" wrapText="1"/>
    </xf>
    <xf numFmtId="49" fontId="0" fillId="0" borderId="0" xfId="0" applyNumberFormat="1" applyFont="1" applyBorder="1" applyProtection="1">
      <protection locked="0"/>
    </xf>
    <xf numFmtId="49" fontId="0" fillId="0" borderId="0" xfId="0" applyNumberFormat="1" applyFont="1" applyBorder="1"/>
    <xf numFmtId="49" fontId="0" fillId="0" borderId="441" xfId="0" applyNumberFormat="1" applyFont="1" applyBorder="1"/>
    <xf numFmtId="0" fontId="0" fillId="0" borderId="389" xfId="0" applyNumberFormat="1" applyFont="1" applyBorder="1" applyAlignment="1">
      <alignment horizontal="center" vertical="center" wrapText="1"/>
    </xf>
    <xf numFmtId="12" fontId="0" fillId="0" borderId="389" xfId="0" applyNumberFormat="1" applyFont="1" applyBorder="1" applyAlignment="1">
      <alignment horizontal="center" vertical="center" wrapText="1"/>
    </xf>
    <xf numFmtId="0" fontId="0" fillId="0" borderId="440" xfId="0" applyFont="1" applyBorder="1" applyAlignment="1">
      <alignment horizontal="left" vertical="top" wrapText="1"/>
    </xf>
    <xf numFmtId="0" fontId="3" fillId="0" borderId="389" xfId="0" applyFont="1" applyBorder="1" applyAlignment="1">
      <alignment horizontal="center" vertical="center" wrapText="1"/>
    </xf>
    <xf numFmtId="0" fontId="3" fillId="0" borderId="422" xfId="0" applyFont="1" applyBorder="1" applyAlignment="1">
      <alignment horizontal="center" vertical="center" wrapText="1"/>
    </xf>
    <xf numFmtId="0" fontId="0" fillId="0" borderId="389" xfId="0" applyFont="1" applyBorder="1" applyAlignment="1">
      <alignment horizontal="center" vertical="center" wrapText="1"/>
    </xf>
    <xf numFmtId="0" fontId="0" fillId="0" borderId="422" xfId="0" applyFont="1" applyBorder="1"/>
    <xf numFmtId="0" fontId="0" fillId="0" borderId="390" xfId="0" applyFont="1" applyBorder="1" applyAlignment="1">
      <alignment horizontal="center" vertical="center" wrapText="1"/>
    </xf>
    <xf numFmtId="0" fontId="0" fillId="0" borderId="391" xfId="0" applyBorder="1"/>
    <xf numFmtId="0" fontId="0" fillId="0" borderId="391" xfId="0" applyFont="1" applyBorder="1"/>
    <xf numFmtId="0" fontId="23" fillId="0" borderId="391" xfId="0" applyFont="1" applyBorder="1"/>
    <xf numFmtId="0" fontId="0" fillId="0" borderId="391" xfId="0" applyFont="1" applyBorder="1" applyProtection="1">
      <protection locked="0"/>
    </xf>
    <xf numFmtId="0" fontId="0" fillId="0" borderId="392" xfId="0" applyFont="1" applyBorder="1"/>
    <xf numFmtId="0" fontId="13" fillId="0" borderId="446" xfId="0" applyFont="1" applyBorder="1" applyAlignment="1">
      <alignment horizontal="center" wrapText="1"/>
    </xf>
    <xf numFmtId="0" fontId="13" fillId="0" borderId="446" xfId="0" applyFont="1" applyBorder="1" applyAlignment="1">
      <alignment horizontal="center" vertical="center" wrapText="1"/>
    </xf>
    <xf numFmtId="0" fontId="23" fillId="0" borderId="446" xfId="0" applyFont="1" applyBorder="1" applyAlignment="1">
      <alignment horizontal="center" vertical="center"/>
    </xf>
    <xf numFmtId="0" fontId="23" fillId="0" borderId="446" xfId="0" applyNumberFormat="1" applyFont="1" applyBorder="1" applyAlignment="1">
      <alignment horizontal="center" vertical="center"/>
    </xf>
    <xf numFmtId="0" fontId="0" fillId="0" borderId="447" xfId="0" applyNumberFormat="1" applyBorder="1" applyAlignment="1">
      <alignment horizontal="center" vertical="center"/>
    </xf>
    <xf numFmtId="0" fontId="0" fillId="0" borderId="447" xfId="0" applyNumberFormat="1" applyFont="1" applyBorder="1" applyAlignment="1">
      <alignment horizontal="center" vertical="center"/>
    </xf>
    <xf numFmtId="0" fontId="23" fillId="0" borderId="448" xfId="0" applyNumberFormat="1" applyFont="1" applyBorder="1" applyAlignment="1">
      <alignment horizontal="center" vertical="center"/>
    </xf>
    <xf numFmtId="0" fontId="0" fillId="0" borderId="450" xfId="0" applyNumberFormat="1" applyFont="1" applyBorder="1" applyAlignment="1">
      <alignment horizontal="center" vertical="center" wrapText="1"/>
    </xf>
    <xf numFmtId="166" fontId="13" fillId="0" borderId="95" xfId="0" applyNumberFormat="1" applyFont="1" applyBorder="1" applyAlignment="1" applyProtection="1">
      <alignment horizontal="center" vertical="center" wrapText="1"/>
    </xf>
    <xf numFmtId="166" fontId="22" fillId="0" borderId="95" xfId="12" applyNumberFormat="1" applyFont="1" applyFill="1" applyBorder="1" applyAlignment="1" applyProtection="1">
      <alignment horizontal="center" vertical="center" wrapText="1"/>
    </xf>
    <xf numFmtId="0" fontId="13" fillId="0" borderId="95" xfId="0" applyFont="1" applyBorder="1" applyAlignment="1" applyProtection="1">
      <alignment horizontal="center" vertical="center" wrapText="1"/>
    </xf>
    <xf numFmtId="0" fontId="13" fillId="0" borderId="59" xfId="0" applyFont="1" applyBorder="1" applyAlignment="1" applyProtection="1">
      <alignment horizontal="center" vertical="center" wrapText="1"/>
    </xf>
    <xf numFmtId="0" fontId="13" fillId="0" borderId="58" xfId="0" applyFont="1" applyBorder="1" applyAlignment="1">
      <alignment horizontal="center" vertical="center" wrapText="1"/>
    </xf>
    <xf numFmtId="1" fontId="22" fillId="13" borderId="203" xfId="19" applyBorder="1">
      <alignment horizontal="center" vertical="center"/>
      <protection locked="0"/>
    </xf>
    <xf numFmtId="1" fontId="22" fillId="13" borderId="459" xfId="19" applyBorder="1">
      <alignment horizontal="center" vertical="center"/>
      <protection locked="0"/>
    </xf>
    <xf numFmtId="167" fontId="23" fillId="0" borderId="67" xfId="0" applyNumberFormat="1" applyFont="1" applyBorder="1" applyAlignment="1" applyProtection="1">
      <alignment horizontal="center" vertical="top"/>
    </xf>
    <xf numFmtId="1" fontId="22" fillId="10" borderId="456" xfId="9" applyFont="1" applyBorder="1" applyProtection="1">
      <alignment horizontal="center" vertical="center"/>
      <protection locked="0"/>
    </xf>
    <xf numFmtId="1" fontId="26" fillId="10" borderId="425" xfId="9" applyBorder="1" applyProtection="1">
      <alignment horizontal="center" vertical="center"/>
      <protection locked="0"/>
    </xf>
    <xf numFmtId="1" fontId="26" fillId="10" borderId="456" xfId="9" applyBorder="1" applyProtection="1">
      <alignment horizontal="center" vertical="center"/>
      <protection locked="0"/>
    </xf>
    <xf numFmtId="1" fontId="22" fillId="13" borderId="459" xfId="19" applyBorder="1" applyProtection="1">
      <alignment horizontal="center" vertical="center"/>
      <protection locked="0"/>
    </xf>
    <xf numFmtId="1" fontId="22" fillId="10" borderId="194" xfId="9" applyFont="1" applyBorder="1" applyProtection="1">
      <alignment horizontal="center" vertical="center"/>
      <protection locked="0"/>
    </xf>
    <xf numFmtId="1" fontId="22" fillId="13" borderId="203" xfId="19" applyBorder="1" applyProtection="1">
      <alignment horizontal="center" vertical="center"/>
      <protection locked="0"/>
    </xf>
    <xf numFmtId="166" fontId="23" fillId="0" borderId="0" xfId="0" applyNumberFormat="1" applyFont="1" applyBorder="1" applyAlignment="1">
      <alignment horizontal="center" vertical="top"/>
    </xf>
    <xf numFmtId="49" fontId="54" fillId="0" borderId="26" xfId="16" applyBorder="1" applyProtection="1">
      <alignment horizontal="center" vertical="center" wrapText="1"/>
    </xf>
    <xf numFmtId="167" fontId="23" fillId="0" borderId="27" xfId="0" applyNumberFormat="1" applyFont="1" applyBorder="1" applyAlignment="1" applyProtection="1">
      <alignment horizontal="center" vertical="top"/>
    </xf>
    <xf numFmtId="0" fontId="13" fillId="0" borderId="27" xfId="0" applyFont="1" applyBorder="1" applyAlignment="1" applyProtection="1">
      <alignment horizontal="center" vertical="center" wrapText="1"/>
    </xf>
    <xf numFmtId="166" fontId="22" fillId="0" borderId="28" xfId="12" applyNumberFormat="1" applyFont="1" applyFill="1" applyBorder="1" applyAlignment="1" applyProtection="1">
      <alignment horizontal="center" vertical="center" wrapText="1"/>
    </xf>
    <xf numFmtId="167" fontId="23" fillId="0" borderId="37" xfId="0" applyNumberFormat="1" applyFont="1" applyBorder="1" applyAlignment="1" applyProtection="1">
      <alignment horizontal="center" vertical="top"/>
    </xf>
    <xf numFmtId="0" fontId="13" fillId="0" borderId="92" xfId="0" applyFont="1" applyBorder="1" applyAlignment="1" applyProtection="1">
      <alignment horizontal="center" vertical="center" wrapText="1"/>
    </xf>
    <xf numFmtId="1" fontId="22" fillId="13" borderId="463" xfId="19" applyBorder="1">
      <alignment horizontal="center" vertical="center"/>
      <protection locked="0"/>
    </xf>
    <xf numFmtId="0" fontId="13" fillId="0" borderId="37" xfId="0" applyFont="1" applyBorder="1" applyAlignment="1">
      <alignment horizontal="center" vertical="center" wrapText="1"/>
    </xf>
    <xf numFmtId="49" fontId="54" fillId="0" borderId="58" xfId="16" applyBorder="1">
      <alignment horizontal="center" vertical="center" wrapText="1"/>
    </xf>
    <xf numFmtId="0" fontId="13" fillId="0" borderId="395" xfId="0" applyFont="1" applyBorder="1" applyAlignment="1">
      <alignment horizontal="center" vertical="center" wrapText="1"/>
    </xf>
    <xf numFmtId="1" fontId="22" fillId="13" borderId="464" xfId="19" applyBorder="1" applyProtection="1">
      <alignment horizontal="center" vertical="center"/>
      <protection locked="0"/>
    </xf>
    <xf numFmtId="1" fontId="22" fillId="13" borderId="466" xfId="19" applyBorder="1" applyProtection="1">
      <alignment horizontal="center" vertical="center"/>
      <protection locked="0"/>
    </xf>
    <xf numFmtId="1" fontId="22" fillId="13" borderId="467" xfId="19" applyBorder="1" applyProtection="1">
      <alignment horizontal="center" vertical="center"/>
      <protection locked="0"/>
    </xf>
    <xf numFmtId="0" fontId="90" fillId="0" borderId="28" xfId="16" applyNumberFormat="1" applyFont="1" applyBorder="1">
      <alignment horizontal="center" vertical="center" wrapText="1"/>
    </xf>
    <xf numFmtId="0" fontId="23" fillId="9" borderId="372" xfId="8" applyBorder="1">
      <alignment horizontal="left" vertical="top" wrapText="1"/>
    </xf>
    <xf numFmtId="0" fontId="23" fillId="9" borderId="465" xfId="8" applyBorder="1">
      <alignment horizontal="left" vertical="top" wrapText="1"/>
    </xf>
    <xf numFmtId="0" fontId="23" fillId="9" borderId="373" xfId="8" applyBorder="1">
      <alignment horizontal="left" vertical="top" wrapText="1"/>
    </xf>
    <xf numFmtId="0" fontId="23" fillId="9" borderId="472" xfId="8" applyBorder="1">
      <alignment horizontal="left" vertical="top" wrapText="1"/>
    </xf>
    <xf numFmtId="0" fontId="23" fillId="9" borderId="468" xfId="8" applyBorder="1">
      <alignment horizontal="left" vertical="top" wrapText="1"/>
    </xf>
    <xf numFmtId="0" fontId="13" fillId="0" borderId="0" xfId="0" applyFont="1" applyBorder="1" applyAlignment="1">
      <alignment horizontal="left" vertical="center" wrapText="1"/>
    </xf>
    <xf numFmtId="0" fontId="56" fillId="0" borderId="0" xfId="0" applyFont="1" applyBorder="1" applyAlignment="1">
      <alignment horizontal="left" vertical="center" wrapText="1"/>
    </xf>
    <xf numFmtId="0" fontId="23" fillId="0" borderId="0" xfId="0" applyFont="1" applyAlignment="1">
      <alignment horizontal="right"/>
    </xf>
    <xf numFmtId="0" fontId="22" fillId="35" borderId="232" xfId="0" applyFont="1" applyFill="1" applyBorder="1" applyAlignment="1" applyProtection="1">
      <alignment horizontal="center" vertical="center"/>
    </xf>
    <xf numFmtId="1" fontId="21" fillId="35" borderId="232" xfId="0" applyNumberFormat="1" applyFont="1" applyFill="1" applyBorder="1" applyAlignment="1" applyProtection="1">
      <alignment horizontal="center" vertical="center" wrapText="1"/>
    </xf>
    <xf numFmtId="0" fontId="22" fillId="35" borderId="236" xfId="0" applyFont="1" applyFill="1" applyBorder="1" applyAlignment="1" applyProtection="1">
      <alignment horizontal="center" vertical="center"/>
    </xf>
    <xf numFmtId="1" fontId="21" fillId="35" borderId="236" xfId="0" applyNumberFormat="1" applyFont="1" applyFill="1" applyBorder="1" applyAlignment="1" applyProtection="1">
      <alignment horizontal="center" vertical="center" wrapText="1"/>
    </xf>
    <xf numFmtId="0" fontId="22" fillId="35" borderId="232" xfId="0" applyFont="1" applyFill="1" applyBorder="1" applyAlignment="1" applyProtection="1">
      <alignment horizontal="center" vertical="center" wrapText="1"/>
    </xf>
    <xf numFmtId="0" fontId="22" fillId="0" borderId="228" xfId="0" applyFont="1" applyFill="1" applyBorder="1" applyAlignment="1" applyProtection="1">
      <alignment horizontal="center" vertical="center" wrapText="1"/>
    </xf>
    <xf numFmtId="1" fontId="21" fillId="0" borderId="228" xfId="0" applyNumberFormat="1" applyFont="1" applyFill="1" applyBorder="1" applyAlignment="1" applyProtection="1">
      <alignment horizontal="center" vertical="center" wrapText="1"/>
    </xf>
    <xf numFmtId="0" fontId="0" fillId="35" borderId="232" xfId="0" applyFont="1" applyFill="1" applyBorder="1" applyAlignment="1">
      <alignment horizontal="center" vertical="center"/>
    </xf>
    <xf numFmtId="1" fontId="0" fillId="35" borderId="232" xfId="0" applyNumberFormat="1" applyFont="1" applyFill="1" applyBorder="1" applyAlignment="1">
      <alignment horizontal="center" vertical="center"/>
    </xf>
    <xf numFmtId="0" fontId="13" fillId="0" borderId="228" xfId="0" applyFont="1" applyBorder="1" applyAlignment="1">
      <alignment horizontal="center" vertical="center"/>
    </xf>
    <xf numFmtId="1" fontId="0" fillId="0" borderId="228" xfId="0" applyNumberFormat="1" applyFont="1" applyBorder="1" applyAlignment="1">
      <alignment horizontal="center" vertical="center"/>
    </xf>
    <xf numFmtId="0" fontId="13" fillId="0" borderId="232" xfId="0" applyFont="1" applyBorder="1" applyAlignment="1">
      <alignment horizontal="center" vertical="center"/>
    </xf>
    <xf numFmtId="1" fontId="23" fillId="0" borderId="232" xfId="0" applyNumberFormat="1" applyFont="1" applyBorder="1" applyAlignment="1">
      <alignment horizontal="center" vertical="center"/>
    </xf>
    <xf numFmtId="0" fontId="13" fillId="0" borderId="252" xfId="0" applyFont="1" applyBorder="1" applyAlignment="1">
      <alignment horizontal="center" vertical="center"/>
    </xf>
    <xf numFmtId="1" fontId="23" fillId="0" borderId="252" xfId="0" applyNumberFormat="1" applyFont="1" applyBorder="1" applyAlignment="1">
      <alignment horizontal="center" vertical="center"/>
    </xf>
    <xf numFmtId="0" fontId="23" fillId="0" borderId="0" xfId="0" applyFont="1" applyBorder="1" applyAlignment="1">
      <alignment horizontal="left" vertical="center" wrapText="1"/>
    </xf>
    <xf numFmtId="0" fontId="30" fillId="0" borderId="208" xfId="0" applyFont="1" applyBorder="1" applyAlignment="1" applyProtection="1">
      <alignment horizontal="center" vertical="center" wrapText="1"/>
      <protection locked="0"/>
    </xf>
    <xf numFmtId="0" fontId="23" fillId="0" borderId="32" xfId="0" applyFont="1" applyBorder="1" applyAlignment="1">
      <alignment horizontal="left" vertical="top" wrapText="1"/>
    </xf>
    <xf numFmtId="0" fontId="13" fillId="0" borderId="0" xfId="0" applyFont="1" applyBorder="1" applyAlignment="1">
      <alignment horizontal="center" vertical="center" wrapText="1"/>
    </xf>
    <xf numFmtId="0" fontId="30" fillId="0" borderId="13" xfId="0" applyFont="1" applyBorder="1" applyAlignment="1" applyProtection="1">
      <alignment horizontal="center" vertical="center" wrapText="1"/>
      <protection locked="0"/>
    </xf>
    <xf numFmtId="167" fontId="23" fillId="0" borderId="18" xfId="0" applyNumberFormat="1" applyFont="1" applyBorder="1" applyAlignment="1">
      <alignment horizontal="center" vertical="top"/>
    </xf>
    <xf numFmtId="0" fontId="13" fillId="0" borderId="69" xfId="0" applyFont="1" applyBorder="1" applyAlignment="1">
      <alignment horizontal="center" vertical="center" wrapText="1"/>
    </xf>
    <xf numFmtId="0" fontId="23" fillId="0" borderId="12" xfId="0" applyFont="1" applyBorder="1" applyAlignment="1">
      <alignment horizontal="left" vertical="top"/>
    </xf>
    <xf numFmtId="0" fontId="23" fillId="0" borderId="0" xfId="0" applyFont="1" applyBorder="1" applyAlignment="1">
      <alignment horizontal="center" vertical="top"/>
    </xf>
    <xf numFmtId="0" fontId="2" fillId="8" borderId="136" xfId="6" applyFont="1" applyBorder="1">
      <alignment horizontal="center" vertical="center" wrapText="1"/>
    </xf>
    <xf numFmtId="0" fontId="23" fillId="0" borderId="68" xfId="0" applyFont="1" applyBorder="1" applyAlignment="1">
      <alignment horizontal="left" vertical="top"/>
    </xf>
    <xf numFmtId="0" fontId="13" fillId="15" borderId="364" xfId="15" applyBorder="1">
      <alignment horizontal="center" vertical="center"/>
    </xf>
    <xf numFmtId="0" fontId="23" fillId="0" borderId="12" xfId="0" applyFont="1" applyBorder="1" applyAlignment="1" applyProtection="1">
      <alignment horizontal="left" vertical="top"/>
    </xf>
    <xf numFmtId="167" fontId="23" fillId="0" borderId="0" xfId="0" applyNumberFormat="1" applyFont="1" applyBorder="1" applyAlignment="1">
      <alignment horizontal="center" vertical="top"/>
    </xf>
    <xf numFmtId="0" fontId="23" fillId="0" borderId="0" xfId="0" applyFont="1" applyBorder="1" applyAlignment="1" applyProtection="1">
      <alignment horizontal="center" vertical="center" wrapText="1"/>
    </xf>
    <xf numFmtId="167" fontId="23" fillId="0" borderId="67" xfId="0" applyNumberFormat="1" applyFont="1" applyBorder="1" applyAlignment="1">
      <alignment horizontal="center" vertical="top"/>
    </xf>
    <xf numFmtId="49" fontId="54" fillId="0" borderId="0" xfId="16" applyBorder="1">
      <alignment horizontal="center" vertical="center" wrapText="1"/>
    </xf>
    <xf numFmtId="0" fontId="1" fillId="0" borderId="0" xfId="0" applyFont="1" applyBorder="1"/>
    <xf numFmtId="0" fontId="23" fillId="9" borderId="14" xfId="8" applyBorder="1">
      <alignment horizontal="left" vertical="top" wrapText="1"/>
    </xf>
    <xf numFmtId="0" fontId="23" fillId="9" borderId="38" xfId="8" applyBorder="1">
      <alignment horizontal="left" vertical="top" wrapText="1"/>
    </xf>
    <xf numFmtId="0" fontId="13" fillId="15" borderId="120" xfId="15" applyBorder="1" applyProtection="1">
      <alignment horizontal="center" vertical="center"/>
    </xf>
    <xf numFmtId="0" fontId="13" fillId="15" borderId="364" xfId="15" applyBorder="1" applyProtection="1">
      <alignment horizontal="center" vertical="center"/>
    </xf>
    <xf numFmtId="0" fontId="13" fillId="0" borderId="18" xfId="0" applyFont="1" applyBorder="1" applyAlignment="1" applyProtection="1">
      <alignment horizontal="center" vertical="center" wrapText="1"/>
    </xf>
    <xf numFmtId="0" fontId="13" fillId="0" borderId="0" xfId="0" applyFont="1" applyBorder="1" applyAlignment="1" applyProtection="1">
      <alignment horizontal="center" vertical="center" wrapText="1"/>
    </xf>
    <xf numFmtId="0" fontId="23" fillId="0" borderId="32" xfId="0" applyFont="1" applyBorder="1" applyAlignment="1" applyProtection="1">
      <alignment horizontal="left" vertical="top" wrapText="1"/>
    </xf>
    <xf numFmtId="0" fontId="23" fillId="0" borderId="34" xfId="0" applyFont="1" applyBorder="1" applyAlignment="1" applyProtection="1">
      <alignment horizontal="center" vertical="center" wrapText="1"/>
    </xf>
    <xf numFmtId="0" fontId="23" fillId="0" borderId="0" xfId="0" applyFont="1" applyBorder="1" applyAlignment="1">
      <alignment horizontal="center" vertical="center" wrapText="1"/>
    </xf>
    <xf numFmtId="167" fontId="23" fillId="0" borderId="0" xfId="0" applyNumberFormat="1" applyFont="1" applyBorder="1" applyAlignment="1" applyProtection="1">
      <alignment horizontal="center" vertical="top"/>
    </xf>
    <xf numFmtId="167" fontId="23" fillId="0" borderId="18" xfId="0" applyNumberFormat="1" applyFont="1" applyBorder="1" applyAlignment="1" applyProtection="1">
      <alignment horizontal="center" vertical="top"/>
    </xf>
    <xf numFmtId="0" fontId="23" fillId="0" borderId="18" xfId="0" applyFont="1" applyBorder="1" applyAlignment="1" applyProtection="1">
      <alignment horizontal="center" vertical="top"/>
    </xf>
    <xf numFmtId="0" fontId="23" fillId="0" borderId="0" xfId="0" applyFont="1" applyBorder="1" applyAlignment="1" applyProtection="1">
      <alignment horizontal="center" vertical="top"/>
    </xf>
    <xf numFmtId="0" fontId="0" fillId="0" borderId="34" xfId="0" applyBorder="1"/>
    <xf numFmtId="0" fontId="23" fillId="0" borderId="69" xfId="0" applyFont="1" applyBorder="1" applyAlignment="1">
      <alignment horizontal="center" vertical="top"/>
    </xf>
    <xf numFmtId="0" fontId="13" fillId="0" borderId="0" xfId="0" applyFont="1"/>
    <xf numFmtId="0" fontId="23" fillId="0" borderId="0" xfId="0" applyFont="1" applyBorder="1" applyAlignment="1">
      <alignment horizontal="left" vertical="center" wrapText="1"/>
    </xf>
    <xf numFmtId="0" fontId="0" fillId="0" borderId="0" xfId="0" applyBorder="1"/>
    <xf numFmtId="0" fontId="0" fillId="0" borderId="8" xfId="0" applyBorder="1"/>
    <xf numFmtId="0" fontId="1" fillId="0" borderId="0" xfId="0" applyFont="1" applyBorder="1"/>
    <xf numFmtId="0" fontId="0" fillId="0" borderId="0" xfId="0" applyFont="1" applyBorder="1"/>
    <xf numFmtId="0" fontId="0" fillId="0" borderId="8" xfId="0" applyFont="1" applyBorder="1"/>
    <xf numFmtId="0" fontId="13" fillId="0" borderId="0" xfId="0" applyFont="1"/>
    <xf numFmtId="167" fontId="23" fillId="0" borderId="18" xfId="0" applyNumberFormat="1" applyFont="1" applyFill="1" applyBorder="1" applyAlignment="1">
      <alignment horizontal="center" vertical="top"/>
    </xf>
    <xf numFmtId="0" fontId="23" fillId="0" borderId="0" xfId="0" applyFont="1" applyFill="1" applyBorder="1" applyAlignment="1">
      <alignment horizontal="center" vertical="top"/>
    </xf>
    <xf numFmtId="49" fontId="54" fillId="0" borderId="67" xfId="16" applyBorder="1" applyProtection="1">
      <alignment horizontal="center" vertical="center" wrapText="1"/>
    </xf>
    <xf numFmtId="0" fontId="23" fillId="0" borderId="58" xfId="0" applyFont="1" applyBorder="1" applyAlignment="1" applyProtection="1">
      <alignment horizontal="center" vertical="top"/>
    </xf>
    <xf numFmtId="0" fontId="13" fillId="0" borderId="58" xfId="0" applyFont="1" applyFill="1" applyBorder="1" applyAlignment="1" applyProtection="1">
      <alignment horizontal="center" vertical="center" wrapText="1"/>
    </xf>
    <xf numFmtId="0" fontId="13" fillId="15" borderId="464" xfId="15" applyBorder="1">
      <alignment horizontal="center" vertical="center"/>
    </xf>
    <xf numFmtId="0" fontId="0" fillId="0" borderId="58" xfId="0" applyFont="1" applyBorder="1" applyAlignment="1" applyProtection="1">
      <alignment horizontal="center" vertical="top"/>
    </xf>
    <xf numFmtId="0" fontId="22" fillId="0" borderId="58" xfId="12" applyNumberFormat="1" applyFont="1" applyFill="1" applyBorder="1" applyAlignment="1" applyProtection="1">
      <alignment horizontal="center" vertical="center" wrapText="1"/>
    </xf>
    <xf numFmtId="167" fontId="23" fillId="0" borderId="58" xfId="0" applyNumberFormat="1" applyFont="1" applyBorder="1" applyAlignment="1" applyProtection="1">
      <alignment horizontal="center" vertical="top"/>
    </xf>
    <xf numFmtId="0" fontId="23" fillId="0" borderId="31" xfId="0" applyFont="1" applyBorder="1" applyAlignment="1" applyProtection="1">
      <alignment horizontal="right" vertical="top"/>
    </xf>
    <xf numFmtId="0" fontId="23" fillId="0" borderId="32" xfId="0" applyFont="1" applyBorder="1" applyAlignment="1" applyProtection="1">
      <alignment horizontal="center" vertical="top"/>
    </xf>
    <xf numFmtId="0" fontId="13" fillId="0" borderId="58" xfId="0" applyFont="1" applyBorder="1" applyAlignment="1" applyProtection="1">
      <alignment horizontal="center" vertical="center" wrapText="1"/>
    </xf>
    <xf numFmtId="0" fontId="13" fillId="0" borderId="26" xfId="0" applyFont="1" applyBorder="1" applyAlignment="1" applyProtection="1">
      <alignment horizontal="center" vertical="center"/>
    </xf>
    <xf numFmtId="1" fontId="22" fillId="10" borderId="52" xfId="9" applyFont="1" applyBorder="1" applyProtection="1">
      <alignment horizontal="center" vertical="center"/>
      <protection locked="0"/>
    </xf>
    <xf numFmtId="0" fontId="23" fillId="0" borderId="69" xfId="0" applyFont="1" applyBorder="1" applyAlignment="1">
      <alignment horizontal="center" vertical="center" wrapText="1"/>
    </xf>
    <xf numFmtId="0" fontId="68" fillId="0" borderId="0" xfId="0" quotePrefix="1" applyFont="1"/>
    <xf numFmtId="0" fontId="21" fillId="0" borderId="146" xfId="0" quotePrefix="1" applyFont="1" applyBorder="1" applyAlignment="1" applyProtection="1">
      <alignment horizontal="center" vertical="center" wrapText="1"/>
      <protection locked="0"/>
    </xf>
    <xf numFmtId="0" fontId="23" fillId="0" borderId="12" xfId="0" applyFont="1" applyFill="1" applyBorder="1" applyAlignment="1">
      <alignment horizontal="left" vertical="top"/>
    </xf>
    <xf numFmtId="0" fontId="53" fillId="0" borderId="12" xfId="0" applyFont="1" applyFill="1" applyBorder="1" applyAlignment="1">
      <alignment vertical="top"/>
    </xf>
    <xf numFmtId="0" fontId="26" fillId="0" borderId="0" xfId="16" applyNumberFormat="1" applyFont="1" applyBorder="1">
      <alignment horizontal="center" vertical="center" wrapText="1"/>
    </xf>
    <xf numFmtId="0" fontId="23" fillId="0" borderId="141" xfId="0" quotePrefix="1" applyFont="1" applyBorder="1" applyAlignment="1" applyProtection="1">
      <alignment horizontal="center" vertical="center" wrapText="1"/>
      <protection locked="0"/>
    </xf>
    <xf numFmtId="0" fontId="23" fillId="9" borderId="490" xfId="8" applyBorder="1">
      <alignment horizontal="left" vertical="top" wrapText="1"/>
    </xf>
    <xf numFmtId="0" fontId="23" fillId="0" borderId="14" xfId="0" quotePrefix="1" applyFont="1" applyBorder="1" applyAlignment="1" applyProtection="1">
      <alignment horizontal="center" vertical="center" wrapText="1"/>
      <protection locked="0"/>
    </xf>
    <xf numFmtId="0" fontId="23" fillId="0" borderId="163" xfId="0" quotePrefix="1" applyFont="1" applyBorder="1" applyAlignment="1" applyProtection="1">
      <alignment horizontal="center" vertical="center" wrapText="1"/>
      <protection locked="0"/>
    </xf>
    <xf numFmtId="0" fontId="23" fillId="0" borderId="35" xfId="0" quotePrefix="1" applyFont="1" applyBorder="1" applyAlignment="1" applyProtection="1">
      <alignment horizontal="center" vertical="center" wrapText="1"/>
      <protection locked="0"/>
    </xf>
    <xf numFmtId="0" fontId="23" fillId="0" borderId="209" xfId="0" applyFont="1" applyBorder="1" applyAlignment="1" applyProtection="1">
      <alignment horizontal="left" vertical="top"/>
    </xf>
    <xf numFmtId="0" fontId="23" fillId="0" borderId="210" xfId="0" applyFont="1" applyBorder="1" applyAlignment="1" applyProtection="1">
      <alignment horizontal="center" vertical="top"/>
    </xf>
    <xf numFmtId="0" fontId="13" fillId="0" borderId="210" xfId="0" applyFont="1" applyBorder="1" applyAlignment="1" applyProtection="1">
      <alignment horizontal="center" vertical="center" wrapText="1"/>
    </xf>
    <xf numFmtId="0" fontId="23" fillId="9" borderId="70" xfId="8" applyBorder="1" applyProtection="1">
      <alignment horizontal="left" vertical="top" wrapText="1"/>
    </xf>
    <xf numFmtId="0" fontId="23" fillId="9" borderId="14" xfId="8" applyBorder="1" applyProtection="1">
      <alignment horizontal="left" vertical="top" wrapText="1"/>
    </xf>
    <xf numFmtId="1" fontId="22" fillId="10" borderId="15" xfId="9" applyFont="1" applyBorder="1" applyAlignment="1" applyProtection="1">
      <alignment horizontal="center" vertical="center" wrapText="1"/>
      <protection locked="0"/>
    </xf>
    <xf numFmtId="0" fontId="54" fillId="0" borderId="24" xfId="16" applyNumberFormat="1" applyBorder="1" applyProtection="1">
      <alignment horizontal="center" vertical="center" wrapText="1"/>
    </xf>
    <xf numFmtId="166" fontId="23" fillId="0" borderId="32" xfId="0" applyNumberFormat="1" applyFont="1" applyBorder="1" applyAlignment="1" applyProtection="1">
      <alignment horizontal="center" vertical="top"/>
    </xf>
    <xf numFmtId="0" fontId="23" fillId="9" borderId="38" xfId="8" applyBorder="1" applyProtection="1">
      <alignment horizontal="left" vertical="top" wrapText="1"/>
    </xf>
    <xf numFmtId="0" fontId="23" fillId="9" borderId="35" xfId="8" applyBorder="1" applyProtection="1">
      <alignment horizontal="left" vertical="top" wrapText="1"/>
    </xf>
    <xf numFmtId="0" fontId="23" fillId="0" borderId="39" xfId="0" applyFont="1" applyFill="1" applyBorder="1" applyAlignment="1" applyProtection="1">
      <alignment horizontal="left" vertical="top"/>
    </xf>
    <xf numFmtId="0" fontId="23" fillId="0" borderId="34" xfId="0" applyFont="1" applyFill="1" applyBorder="1" applyAlignment="1" applyProtection="1">
      <alignment horizontal="center" vertical="top"/>
    </xf>
    <xf numFmtId="49" fontId="54" fillId="0" borderId="415" xfId="16" applyBorder="1" applyProtection="1">
      <alignment horizontal="center" vertical="center" wrapText="1"/>
    </xf>
    <xf numFmtId="1" fontId="26" fillId="10" borderId="52" xfId="9" applyBorder="1" applyProtection="1">
      <alignment horizontal="center" vertical="center"/>
      <protection locked="0"/>
    </xf>
    <xf numFmtId="1" fontId="22" fillId="10" borderId="414" xfId="9" applyFont="1" applyBorder="1" applyAlignment="1" applyProtection="1">
      <alignment horizontal="center" vertical="center" wrapText="1"/>
      <protection locked="0"/>
    </xf>
    <xf numFmtId="0" fontId="23" fillId="0" borderId="118" xfId="0" quotePrefix="1" applyFont="1" applyBorder="1" applyAlignment="1" applyProtection="1">
      <alignment horizontal="center" vertical="center"/>
      <protection locked="0"/>
    </xf>
    <xf numFmtId="0" fontId="0" fillId="0" borderId="188" xfId="0" applyBorder="1" applyProtection="1"/>
    <xf numFmtId="0" fontId="23" fillId="9" borderId="138" xfId="8" applyBorder="1" applyProtection="1">
      <alignment horizontal="left" vertical="top" wrapText="1"/>
    </xf>
    <xf numFmtId="0" fontId="23" fillId="0" borderId="12" xfId="0" applyFont="1" applyFill="1" applyBorder="1" applyAlignment="1" applyProtection="1">
      <alignment horizontal="right" vertical="top"/>
    </xf>
    <xf numFmtId="0" fontId="23" fillId="0" borderId="0" xfId="0" applyFont="1" applyFill="1" applyBorder="1" applyAlignment="1" applyProtection="1">
      <alignment horizontal="center" vertical="top"/>
    </xf>
    <xf numFmtId="0" fontId="0" fillId="0" borderId="12" xfId="0" applyFont="1" applyFill="1" applyBorder="1" applyProtection="1"/>
    <xf numFmtId="167" fontId="23" fillId="0" borderId="0" xfId="0" applyNumberFormat="1" applyFont="1" applyFill="1" applyBorder="1" applyAlignment="1" applyProtection="1">
      <alignment horizontal="center" vertical="top"/>
    </xf>
    <xf numFmtId="167" fontId="23" fillId="0" borderId="27" xfId="0" applyNumberFormat="1" applyFont="1" applyFill="1" applyBorder="1" applyAlignment="1" applyProtection="1">
      <alignment horizontal="center" vertical="top"/>
    </xf>
    <xf numFmtId="167" fontId="23" fillId="0" borderId="18" xfId="0" applyNumberFormat="1" applyFont="1" applyFill="1" applyBorder="1" applyAlignment="1" applyProtection="1">
      <alignment horizontal="center" vertical="top"/>
    </xf>
    <xf numFmtId="0" fontId="13" fillId="15" borderId="207" xfId="15" applyBorder="1" applyProtection="1">
      <alignment horizontal="center" vertical="center"/>
    </xf>
    <xf numFmtId="0" fontId="23" fillId="0" borderId="193" xfId="0" applyFont="1" applyBorder="1" applyAlignment="1" applyProtection="1">
      <alignment horizontal="left" vertical="top"/>
    </xf>
    <xf numFmtId="0" fontId="13" fillId="0" borderId="359" xfId="0" applyFont="1" applyBorder="1" applyAlignment="1" applyProtection="1">
      <alignment horizontal="center" vertical="center" wrapText="1"/>
    </xf>
    <xf numFmtId="1" fontId="22" fillId="10" borderId="425" xfId="9" applyFont="1" applyBorder="1" applyAlignment="1" applyProtection="1">
      <alignment horizontal="center" vertical="center" wrapText="1"/>
      <protection locked="0"/>
    </xf>
    <xf numFmtId="0" fontId="23" fillId="0" borderId="142" xfId="0" applyFont="1" applyBorder="1" applyAlignment="1" applyProtection="1">
      <alignment vertical="top"/>
    </xf>
    <xf numFmtId="0" fontId="23" fillId="0" borderId="143" xfId="0" applyFont="1" applyBorder="1" applyAlignment="1" applyProtection="1">
      <alignment vertical="top"/>
    </xf>
    <xf numFmtId="2" fontId="23" fillId="0" borderId="39" xfId="0" applyNumberFormat="1" applyFont="1" applyBorder="1" applyAlignment="1" applyProtection="1">
      <alignment horizontal="left" vertical="top"/>
    </xf>
    <xf numFmtId="2" fontId="23" fillId="0" borderId="68" xfId="0" applyNumberFormat="1" applyFont="1" applyBorder="1" applyAlignment="1" applyProtection="1">
      <alignment horizontal="left" vertical="top"/>
    </xf>
    <xf numFmtId="0" fontId="23" fillId="0" borderId="69" xfId="0" applyFont="1" applyBorder="1" applyAlignment="1" applyProtection="1">
      <alignment horizontal="center" vertical="top"/>
    </xf>
    <xf numFmtId="0" fontId="13" fillId="0" borderId="69" xfId="0" applyFont="1" applyBorder="1" applyAlignment="1" applyProtection="1">
      <alignment horizontal="center" vertical="center" wrapText="1"/>
    </xf>
    <xf numFmtId="0" fontId="23" fillId="0" borderId="69" xfId="0" applyFont="1" applyBorder="1" applyAlignment="1" applyProtection="1">
      <alignment horizontal="center" vertical="center" wrapText="1"/>
    </xf>
    <xf numFmtId="0" fontId="0" fillId="0" borderId="31" xfId="0" applyFont="1" applyBorder="1" applyProtection="1"/>
    <xf numFmtId="1" fontId="22" fillId="13" borderId="74" xfId="19" applyBorder="1" applyProtection="1">
      <alignment horizontal="center" vertical="center"/>
      <protection locked="0"/>
    </xf>
    <xf numFmtId="166" fontId="23" fillId="0" borderId="39" xfId="0" applyNumberFormat="1" applyFont="1" applyBorder="1" applyAlignment="1" applyProtection="1">
      <alignment horizontal="left" vertical="top"/>
    </xf>
    <xf numFmtId="2" fontId="23" fillId="0" borderId="34" xfId="0" applyNumberFormat="1" applyFont="1" applyBorder="1" applyAlignment="1" applyProtection="1">
      <alignment horizontal="center" vertical="top"/>
    </xf>
    <xf numFmtId="0" fontId="13" fillId="15" borderId="481" xfId="15" applyBorder="1" applyProtection="1">
      <alignment horizontal="center" vertical="center"/>
    </xf>
    <xf numFmtId="0" fontId="21" fillId="0" borderId="476" xfId="0" applyFont="1" applyBorder="1" applyAlignment="1" applyProtection="1">
      <alignment horizontal="left" vertical="top" wrapText="1"/>
    </xf>
    <xf numFmtId="0" fontId="0" fillId="0" borderId="498" xfId="0" quotePrefix="1" applyBorder="1" applyAlignment="1" applyProtection="1">
      <alignment horizontal="center" vertical="center" wrapText="1"/>
      <protection locked="0"/>
    </xf>
    <xf numFmtId="0" fontId="13" fillId="15" borderId="182" xfId="15" applyBorder="1" applyProtection="1">
      <alignment horizontal="center" vertical="center"/>
    </xf>
    <xf numFmtId="0" fontId="13" fillId="15" borderId="203" xfId="15" applyBorder="1" applyProtection="1">
      <alignment horizontal="center" vertical="center"/>
    </xf>
    <xf numFmtId="166" fontId="21" fillId="0" borderId="31" xfId="4" quotePrefix="1" applyNumberFormat="1" applyFont="1" applyFill="1" applyBorder="1" applyAlignment="1" applyProtection="1">
      <alignment horizontal="left" vertical="top"/>
    </xf>
    <xf numFmtId="166" fontId="21" fillId="0" borderId="32" xfId="4" quotePrefix="1" applyNumberFormat="1" applyFont="1" applyFill="1" applyBorder="1" applyAlignment="1" applyProtection="1">
      <alignment horizontal="center" vertical="top"/>
    </xf>
    <xf numFmtId="0" fontId="23" fillId="9" borderId="202" xfId="8" applyBorder="1" applyProtection="1">
      <alignment horizontal="left" vertical="top" wrapText="1"/>
    </xf>
    <xf numFmtId="0" fontId="23" fillId="0" borderId="0" xfId="0" applyFont="1" applyBorder="1" applyAlignment="1">
      <alignment horizontal="left" vertical="center" wrapText="1"/>
    </xf>
    <xf numFmtId="0" fontId="1" fillId="0" borderId="0" xfId="0" applyFont="1" applyBorder="1"/>
    <xf numFmtId="0" fontId="22" fillId="6" borderId="1" xfId="4" applyNumberFormat="1" applyFont="1" applyFill="1" applyBorder="1" applyAlignment="1">
      <alignment horizontal="center" vertical="center" wrapText="1"/>
    </xf>
    <xf numFmtId="0" fontId="22" fillId="6" borderId="1" xfId="4" applyFont="1" applyFill="1" applyBorder="1" applyAlignment="1">
      <alignment horizontal="center" vertical="center" wrapText="1"/>
    </xf>
    <xf numFmtId="1" fontId="22" fillId="6" borderId="1" xfId="4" applyNumberFormat="1" applyFont="1" applyFill="1" applyBorder="1" applyAlignment="1">
      <alignment horizontal="center" vertical="center" wrapText="1"/>
    </xf>
    <xf numFmtId="1" fontId="22" fillId="6" borderId="1" xfId="4" applyNumberFormat="1" applyFont="1" applyFill="1" applyBorder="1" applyAlignment="1">
      <alignment horizontal="center" vertical="center"/>
    </xf>
    <xf numFmtId="1" fontId="26" fillId="10" borderId="499" xfId="9" applyBorder="1" applyAlignment="1" applyProtection="1">
      <alignment horizontal="center" vertical="center" wrapText="1"/>
      <protection locked="0"/>
    </xf>
    <xf numFmtId="1" fontId="22" fillId="10" borderId="456" xfId="9" applyFont="1" applyBorder="1">
      <alignment horizontal="center" vertical="center"/>
      <protection locked="0"/>
    </xf>
    <xf numFmtId="0" fontId="3" fillId="0" borderId="77" xfId="0" applyFont="1" applyBorder="1"/>
    <xf numFmtId="0" fontId="2" fillId="36" borderId="505" xfId="0" applyFont="1" applyFill="1" applyBorder="1" applyAlignment="1">
      <alignment horizontal="left" vertical="top" wrapText="1"/>
    </xf>
    <xf numFmtId="0" fontId="0" fillId="0" borderId="509" xfId="0" applyFont="1" applyBorder="1" applyAlignment="1">
      <alignment horizontal="left" vertical="top" wrapText="1"/>
    </xf>
    <xf numFmtId="0" fontId="0" fillId="37" borderId="509" xfId="0" applyFont="1" applyFill="1" applyBorder="1" applyAlignment="1">
      <alignment horizontal="left" vertical="top" wrapText="1"/>
    </xf>
    <xf numFmtId="0" fontId="17" fillId="0" borderId="0" xfId="5" applyFont="1" applyFill="1" applyBorder="1" applyAlignment="1" applyProtection="1">
      <alignment horizontal="center" vertical="center" wrapText="1"/>
      <protection locked="0"/>
    </xf>
    <xf numFmtId="0" fontId="0" fillId="0" borderId="488" xfId="0" applyBorder="1"/>
    <xf numFmtId="0" fontId="0" fillId="0" borderId="82" xfId="0" applyBorder="1"/>
    <xf numFmtId="0" fontId="0" fillId="0" borderId="12" xfId="0" applyFont="1" applyBorder="1" applyAlignment="1">
      <alignment horizontal="left" vertical="top" wrapText="1"/>
    </xf>
    <xf numFmtId="0" fontId="0" fillId="0" borderId="104" xfId="0" applyFont="1" applyBorder="1" applyAlignment="1">
      <alignment horizontal="left" vertical="top" wrapText="1"/>
    </xf>
    <xf numFmtId="0" fontId="17" fillId="34" borderId="326" xfId="5" applyFill="1" applyBorder="1" applyAlignment="1" applyProtection="1">
      <alignment horizontal="center" vertical="center" wrapText="1"/>
      <protection locked="0"/>
    </xf>
    <xf numFmtId="0" fontId="68" fillId="0" borderId="12" xfId="0" applyFont="1" applyBorder="1" applyAlignment="1">
      <alignment horizontal="left" vertical="top"/>
    </xf>
    <xf numFmtId="0" fontId="30" fillId="0" borderId="208" xfId="0" applyFont="1" applyBorder="1" applyAlignment="1" applyProtection="1">
      <alignment horizontal="center" vertical="center"/>
      <protection locked="0"/>
    </xf>
    <xf numFmtId="0" fontId="23" fillId="0" borderId="0" xfId="0" applyFont="1" applyBorder="1" applyAlignment="1">
      <alignment horizontal="left" vertical="center" wrapText="1"/>
    </xf>
    <xf numFmtId="0" fontId="1" fillId="0" borderId="0" xfId="0" applyFont="1" applyBorder="1"/>
    <xf numFmtId="0" fontId="104" fillId="0" borderId="0" xfId="0" applyFont="1"/>
    <xf numFmtId="0" fontId="30" fillId="0" borderId="525" xfId="0" applyFont="1" applyBorder="1" applyAlignment="1" applyProtection="1">
      <alignment horizontal="center" vertical="center" wrapText="1"/>
      <protection locked="0"/>
    </xf>
    <xf numFmtId="0" fontId="30" fillId="0" borderId="476" xfId="0" applyFont="1" applyBorder="1" applyAlignment="1" applyProtection="1">
      <alignment horizontal="center" vertical="center" wrapText="1"/>
      <protection locked="0"/>
    </xf>
    <xf numFmtId="0" fontId="1" fillId="0" borderId="0" xfId="0" applyFont="1" applyBorder="1" applyAlignment="1">
      <alignment horizontal="center" vertical="center"/>
    </xf>
    <xf numFmtId="0" fontId="1" fillId="0" borderId="0" xfId="0" applyFont="1" applyAlignment="1">
      <alignment horizontal="center" vertical="center"/>
    </xf>
    <xf numFmtId="0" fontId="23" fillId="0" borderId="0" xfId="0" applyFont="1" applyBorder="1" applyAlignment="1">
      <alignment horizontal="left" vertical="center" wrapText="1"/>
    </xf>
    <xf numFmtId="0" fontId="30" fillId="0" borderId="208" xfId="0" applyFont="1" applyBorder="1" applyAlignment="1" applyProtection="1">
      <alignment horizontal="center" vertical="center" wrapText="1"/>
      <protection locked="0"/>
    </xf>
    <xf numFmtId="0" fontId="30" fillId="0" borderId="140" xfId="0" applyFont="1" applyBorder="1" applyAlignment="1" applyProtection="1">
      <alignment horizontal="center" vertical="center" wrapText="1"/>
      <protection locked="0"/>
    </xf>
    <xf numFmtId="0" fontId="30" fillId="0" borderId="13" xfId="0" applyFont="1" applyBorder="1" applyAlignment="1" applyProtection="1">
      <alignment horizontal="center" vertical="center" wrapText="1"/>
      <protection locked="0"/>
    </xf>
    <xf numFmtId="0" fontId="23" fillId="0" borderId="18" xfId="0" applyFont="1" applyBorder="1" applyAlignment="1" applyProtection="1">
      <alignment vertical="top"/>
    </xf>
    <xf numFmtId="0" fontId="30" fillId="0" borderId="343" xfId="0" applyFont="1" applyBorder="1" applyAlignment="1" applyProtection="1">
      <alignment horizontal="center" vertical="center" wrapText="1"/>
      <protection locked="0"/>
    </xf>
    <xf numFmtId="1" fontId="26" fillId="10" borderId="51" xfId="9" applyBorder="1" applyProtection="1">
      <alignment horizontal="center" vertical="center"/>
      <protection locked="0"/>
    </xf>
    <xf numFmtId="1" fontId="26" fillId="10" borderId="15" xfId="9" applyBorder="1" applyProtection="1">
      <alignment horizontal="center" vertical="center"/>
      <protection locked="0"/>
    </xf>
    <xf numFmtId="0" fontId="23" fillId="0" borderId="12" xfId="0" applyFont="1" applyBorder="1" applyAlignment="1" applyProtection="1">
      <alignment horizontal="left" vertical="top"/>
    </xf>
    <xf numFmtId="0" fontId="23" fillId="0" borderId="0" xfId="0" applyFont="1" applyBorder="1" applyAlignment="1" applyProtection="1">
      <alignment horizontal="left" vertical="top"/>
    </xf>
    <xf numFmtId="1" fontId="26" fillId="10" borderId="15" xfId="9">
      <alignment horizontal="center" vertical="center"/>
      <protection locked="0"/>
    </xf>
    <xf numFmtId="49" fontId="54" fillId="0" borderId="50" xfId="16" applyBorder="1" applyProtection="1">
      <alignment horizontal="center" vertical="center" wrapText="1"/>
    </xf>
    <xf numFmtId="0" fontId="23" fillId="0" borderId="27" xfId="0" applyFont="1" applyBorder="1" applyAlignment="1" applyProtection="1">
      <alignment vertical="top"/>
    </xf>
    <xf numFmtId="0" fontId="30" fillId="0" borderId="141" xfId="0" applyFont="1" applyBorder="1" applyAlignment="1" applyProtection="1">
      <alignment horizontal="center" vertical="center" wrapText="1"/>
      <protection locked="0"/>
    </xf>
    <xf numFmtId="0" fontId="1" fillId="0" borderId="0" xfId="0" applyFont="1" applyBorder="1"/>
    <xf numFmtId="0" fontId="23" fillId="0" borderId="32" xfId="17" applyFont="1" applyFill="1" applyBorder="1" applyAlignment="1" applyProtection="1">
      <alignment vertical="top" wrapText="1"/>
    </xf>
    <xf numFmtId="0" fontId="21" fillId="0" borderId="0" xfId="0" applyFont="1" applyBorder="1" applyAlignment="1" applyProtection="1">
      <alignment horizontal="left" vertical="top" wrapText="1"/>
    </xf>
    <xf numFmtId="167" fontId="21" fillId="0" borderId="18" xfId="12" applyNumberFormat="1" applyFill="1" applyBorder="1" applyProtection="1">
      <alignment horizontal="left" vertical="top" wrapText="1"/>
    </xf>
    <xf numFmtId="1" fontId="26" fillId="10" borderId="434" xfId="9" applyBorder="1" applyProtection="1">
      <alignment horizontal="center" vertical="center"/>
      <protection locked="0"/>
    </xf>
    <xf numFmtId="0" fontId="21" fillId="0" borderId="14" xfId="0" quotePrefix="1" applyFont="1" applyBorder="1" applyAlignment="1" applyProtection="1">
      <alignment horizontal="center" vertical="center" wrapText="1"/>
      <protection locked="0"/>
    </xf>
    <xf numFmtId="0" fontId="23" fillId="0" borderId="0" xfId="0" applyFont="1" applyBorder="1" applyAlignment="1" applyProtection="1">
      <alignment horizontal="center" vertical="top" wrapText="1"/>
    </xf>
    <xf numFmtId="1" fontId="26" fillId="10" borderId="374" xfId="9" applyBorder="1" applyProtection="1">
      <alignment horizontal="center" vertical="center"/>
      <protection locked="0"/>
    </xf>
    <xf numFmtId="0" fontId="23" fillId="0" borderId="0" xfId="0" applyFont="1" applyBorder="1" applyAlignment="1" applyProtection="1">
      <alignment horizontal="center" vertical="top"/>
    </xf>
    <xf numFmtId="1" fontId="26" fillId="10" borderId="16" xfId="9" applyBorder="1" applyProtection="1">
      <alignment horizontal="center" vertical="center"/>
      <protection locked="0"/>
    </xf>
    <xf numFmtId="1" fontId="26" fillId="10" borderId="194" xfId="9" applyBorder="1" applyProtection="1">
      <alignment horizontal="center" vertical="center"/>
      <protection locked="0"/>
    </xf>
    <xf numFmtId="167" fontId="23" fillId="0" borderId="0" xfId="0" applyNumberFormat="1" applyFont="1" applyBorder="1" applyAlignment="1" applyProtection="1">
      <alignment horizontal="center" vertical="top"/>
    </xf>
    <xf numFmtId="0" fontId="23" fillId="0" borderId="67" xfId="0" applyFont="1" applyBorder="1" applyAlignment="1" applyProtection="1">
      <alignment horizontal="center" vertical="top"/>
    </xf>
    <xf numFmtId="0" fontId="23" fillId="0" borderId="58" xfId="0" applyFont="1" applyBorder="1" applyAlignment="1" applyProtection="1">
      <alignment horizontal="center" vertical="top"/>
    </xf>
    <xf numFmtId="0" fontId="23" fillId="9" borderId="14" xfId="8" applyBorder="1" applyProtection="1">
      <alignment horizontal="left" vertical="top" wrapText="1"/>
    </xf>
    <xf numFmtId="167" fontId="23" fillId="0" borderId="26" xfId="0" applyNumberFormat="1" applyFont="1" applyFill="1" applyBorder="1" applyAlignment="1" applyProtection="1">
      <alignment horizontal="center" vertical="top"/>
    </xf>
    <xf numFmtId="167" fontId="23" fillId="0" borderId="18" xfId="0" applyNumberFormat="1" applyFont="1" applyBorder="1" applyAlignment="1" applyProtection="1">
      <alignment horizontal="center" vertical="top"/>
    </xf>
    <xf numFmtId="167" fontId="23" fillId="0" borderId="26" xfId="0" applyNumberFormat="1" applyFont="1" applyBorder="1" applyAlignment="1" applyProtection="1">
      <alignment horizontal="center" vertical="top"/>
    </xf>
    <xf numFmtId="167" fontId="23" fillId="0" borderId="0" xfId="0" applyNumberFormat="1" applyFont="1" applyFill="1" applyBorder="1" applyAlignment="1" applyProtection="1">
      <alignment horizontal="center" vertical="top"/>
    </xf>
    <xf numFmtId="0" fontId="21" fillId="0" borderId="476" xfId="0" quotePrefix="1" applyFont="1" applyBorder="1" applyAlignment="1" applyProtection="1">
      <alignment horizontal="center" vertical="center" wrapText="1"/>
      <protection locked="0"/>
    </xf>
    <xf numFmtId="1" fontId="26" fillId="10" borderId="187" xfId="9" applyBorder="1" applyProtection="1">
      <alignment horizontal="center" vertical="center"/>
      <protection locked="0"/>
    </xf>
    <xf numFmtId="0" fontId="21" fillId="0" borderId="163" xfId="0" quotePrefix="1" applyFont="1" applyBorder="1" applyAlignment="1" applyProtection="1">
      <alignment horizontal="center" vertical="center" wrapText="1"/>
      <protection locked="0"/>
    </xf>
    <xf numFmtId="0" fontId="0" fillId="0" borderId="34" xfId="0" applyBorder="1" applyProtection="1"/>
    <xf numFmtId="0" fontId="23" fillId="9" borderId="13" xfId="8" applyBorder="1">
      <alignment horizontal="left" vertical="top" wrapText="1"/>
    </xf>
    <xf numFmtId="0" fontId="13" fillId="0" borderId="0" xfId="0" applyFont="1"/>
    <xf numFmtId="0" fontId="106" fillId="0" borderId="0" xfId="0" applyFont="1"/>
    <xf numFmtId="0" fontId="23" fillId="0" borderId="12" xfId="17" applyFont="1" applyFill="1" applyBorder="1" applyAlignment="1" applyProtection="1">
      <alignment horizontal="left" vertical="top" wrapText="1"/>
    </xf>
    <xf numFmtId="0" fontId="23" fillId="0" borderId="0" xfId="17" applyFont="1" applyFill="1" applyBorder="1" applyAlignment="1" applyProtection="1">
      <alignment horizontal="center" vertical="top" wrapText="1"/>
    </xf>
    <xf numFmtId="0" fontId="23" fillId="0" borderId="0" xfId="17" applyFont="1" applyFill="1" applyBorder="1" applyAlignment="1" applyProtection="1">
      <alignment horizontal="left" vertical="top" wrapText="1"/>
    </xf>
    <xf numFmtId="0" fontId="23" fillId="0" borderId="0" xfId="17" applyFont="1" applyFill="1" applyBorder="1" applyAlignment="1" applyProtection="1">
      <alignment vertical="top" wrapText="1"/>
    </xf>
    <xf numFmtId="0" fontId="30" fillId="0" borderId="0" xfId="17" applyFont="1" applyFill="1" applyBorder="1" applyAlignment="1" applyProtection="1">
      <alignment horizontal="center" vertical="center" wrapText="1"/>
    </xf>
    <xf numFmtId="0" fontId="23" fillId="0" borderId="0" xfId="0" applyFont="1"/>
    <xf numFmtId="0" fontId="0" fillId="0" borderId="0" xfId="0" applyBorder="1"/>
    <xf numFmtId="0" fontId="1" fillId="0" borderId="0" xfId="0" applyFont="1" applyBorder="1" applyAlignment="1">
      <alignment vertical="center"/>
    </xf>
    <xf numFmtId="0" fontId="1" fillId="0" borderId="0" xfId="0" applyFont="1" applyAlignment="1">
      <alignment vertical="center"/>
    </xf>
    <xf numFmtId="0" fontId="21" fillId="0" borderId="14" xfId="0" applyFont="1" applyBorder="1" applyAlignment="1" applyProtection="1">
      <alignment horizontal="left" vertical="top" wrapText="1"/>
    </xf>
    <xf numFmtId="0" fontId="22" fillId="0" borderId="40" xfId="0" applyFont="1" applyBorder="1" applyAlignment="1" applyProtection="1">
      <alignment vertical="top" wrapText="1"/>
    </xf>
    <xf numFmtId="0" fontId="21" fillId="0" borderId="163" xfId="0" applyFont="1" applyBorder="1" applyAlignment="1" applyProtection="1">
      <alignment horizontal="left" vertical="top" wrapText="1"/>
    </xf>
    <xf numFmtId="0" fontId="23" fillId="0" borderId="176" xfId="0" applyFont="1" applyBorder="1" applyAlignment="1" applyProtection="1">
      <alignment vertical="top"/>
    </xf>
    <xf numFmtId="0" fontId="23" fillId="0" borderId="177" xfId="0" applyFont="1" applyBorder="1" applyAlignment="1" applyProtection="1">
      <alignment horizontal="center" vertical="top"/>
    </xf>
    <xf numFmtId="0" fontId="23" fillId="0" borderId="177" xfId="0" applyFont="1" applyBorder="1" applyAlignment="1" applyProtection="1">
      <alignment vertical="top"/>
    </xf>
    <xf numFmtId="0" fontId="22" fillId="0" borderId="0" xfId="0" applyFont="1" applyBorder="1" applyAlignment="1" applyProtection="1">
      <alignment horizontal="center" vertical="center" wrapText="1"/>
    </xf>
    <xf numFmtId="0" fontId="22" fillId="0" borderId="32" xfId="0" applyFont="1" applyBorder="1" applyAlignment="1" applyProtection="1">
      <alignment vertical="center" wrapText="1"/>
    </xf>
    <xf numFmtId="0" fontId="23" fillId="0" borderId="142" xfId="0" applyFont="1" applyBorder="1" applyAlignment="1" applyProtection="1">
      <alignment horizontal="left" vertical="top" wrapText="1"/>
    </xf>
    <xf numFmtId="0" fontId="23" fillId="0" borderId="143" xfId="0" applyFont="1" applyBorder="1" applyAlignment="1" applyProtection="1">
      <alignment horizontal="center" vertical="top" wrapText="1"/>
    </xf>
    <xf numFmtId="0" fontId="23" fillId="0" borderId="143" xfId="0" applyFont="1" applyBorder="1" applyAlignment="1" applyProtection="1">
      <alignment horizontal="left" vertical="top" wrapText="1"/>
    </xf>
    <xf numFmtId="0" fontId="22" fillId="0" borderId="143" xfId="0" applyFont="1" applyBorder="1" applyAlignment="1" applyProtection="1">
      <alignment vertical="top" wrapText="1"/>
    </xf>
    <xf numFmtId="0" fontId="0" fillId="0" borderId="143" xfId="0" applyBorder="1" applyProtection="1"/>
    <xf numFmtId="0" fontId="21" fillId="0" borderId="145" xfId="0" applyFont="1" applyBorder="1" applyAlignment="1" applyProtection="1">
      <alignment horizontal="left" vertical="top" wrapText="1"/>
    </xf>
    <xf numFmtId="0" fontId="21" fillId="0" borderId="39" xfId="4" applyFont="1" applyBorder="1" applyAlignment="1" applyProtection="1">
      <alignment horizontal="left"/>
    </xf>
    <xf numFmtId="0" fontId="21" fillId="0" borderId="34" xfId="4" applyFont="1" applyBorder="1" applyAlignment="1" applyProtection="1">
      <alignment horizontal="center" vertical="top"/>
    </xf>
    <xf numFmtId="0" fontId="21" fillId="0" borderId="34" xfId="4" applyFont="1" applyBorder="1" applyAlignment="1" applyProtection="1">
      <alignment horizontal="left"/>
    </xf>
    <xf numFmtId="0" fontId="21" fillId="0" borderId="34" xfId="4" applyFont="1" applyBorder="1" applyProtection="1"/>
    <xf numFmtId="0" fontId="21" fillId="0" borderId="12" xfId="18" applyFont="1" applyFill="1" applyBorder="1" applyProtection="1">
      <alignment horizontal="left" vertical="center"/>
    </xf>
    <xf numFmtId="0" fontId="21" fillId="0" borderId="0" xfId="18" applyFont="1" applyFill="1" applyBorder="1" applyAlignment="1" applyProtection="1">
      <alignment horizontal="center" vertical="top"/>
    </xf>
    <xf numFmtId="0" fontId="21" fillId="0" borderId="0" xfId="18" applyFont="1" applyFill="1" applyBorder="1" applyProtection="1">
      <alignment horizontal="left" vertical="center"/>
    </xf>
    <xf numFmtId="0" fontId="23" fillId="0" borderId="26" xfId="0" applyFont="1" applyBorder="1" applyAlignment="1" applyProtection="1">
      <alignment vertical="top"/>
    </xf>
    <xf numFmtId="0" fontId="30" fillId="0" borderId="13" xfId="0" applyFont="1" applyBorder="1" applyAlignment="1" applyProtection="1">
      <alignment horizontal="center" vertical="center" wrapText="1"/>
    </xf>
    <xf numFmtId="0" fontId="23" fillId="0" borderId="18" xfId="0" applyFont="1" applyBorder="1" applyProtection="1"/>
    <xf numFmtId="167" fontId="23" fillId="0" borderId="18" xfId="0" applyNumberFormat="1" applyFont="1" applyBorder="1" applyAlignment="1" applyProtection="1">
      <alignment vertical="top"/>
    </xf>
    <xf numFmtId="0" fontId="1" fillId="0" borderId="18" xfId="0" applyFont="1" applyBorder="1" applyProtection="1"/>
    <xf numFmtId="0" fontId="53" fillId="0" borderId="12" xfId="0" applyFont="1" applyFill="1" applyBorder="1" applyAlignment="1" applyProtection="1">
      <alignment vertical="top"/>
    </xf>
    <xf numFmtId="0" fontId="30" fillId="0" borderId="13" xfId="0" applyFont="1" applyBorder="1" applyAlignment="1" applyProtection="1">
      <alignment horizontal="center" vertical="center"/>
    </xf>
    <xf numFmtId="167" fontId="23" fillId="0" borderId="515" xfId="0" applyNumberFormat="1" applyFont="1" applyBorder="1" applyAlignment="1" applyProtection="1">
      <alignment vertical="top"/>
    </xf>
    <xf numFmtId="49" fontId="54" fillId="0" borderId="362" xfId="16" applyBorder="1" applyProtection="1">
      <alignment horizontal="center" vertical="center" wrapText="1"/>
    </xf>
    <xf numFmtId="167" fontId="23" fillId="0" borderId="508" xfId="0" applyNumberFormat="1" applyFont="1" applyBorder="1" applyAlignment="1" applyProtection="1">
      <alignment vertical="top"/>
    </xf>
    <xf numFmtId="49" fontId="54" fillId="0" borderId="517" xfId="16" applyBorder="1" applyProtection="1">
      <alignment horizontal="center" vertical="center" wrapText="1"/>
    </xf>
    <xf numFmtId="0" fontId="23" fillId="0" borderId="366" xfId="0" applyFont="1" applyBorder="1" applyAlignment="1" applyProtection="1">
      <alignment vertical="top"/>
    </xf>
    <xf numFmtId="49" fontId="54" fillId="0" borderId="94" xfId="16" applyBorder="1" applyProtection="1">
      <alignment horizontal="center" vertical="center" wrapText="1"/>
    </xf>
    <xf numFmtId="0" fontId="0" fillId="0" borderId="13" xfId="0" quotePrefix="1" applyBorder="1" applyAlignment="1" applyProtection="1">
      <alignment horizontal="center" vertical="center"/>
    </xf>
    <xf numFmtId="0" fontId="23" fillId="0" borderId="67" xfId="0" applyFont="1" applyBorder="1" applyAlignment="1" applyProtection="1">
      <alignment vertical="top"/>
    </xf>
    <xf numFmtId="0" fontId="23" fillId="0" borderId="31" xfId="0" applyFont="1" applyBorder="1" applyAlignment="1" applyProtection="1">
      <alignment horizontal="left" vertical="top"/>
    </xf>
    <xf numFmtId="0" fontId="23" fillId="0" borderId="32" xfId="0" applyFont="1" applyBorder="1" applyAlignment="1" applyProtection="1">
      <alignment horizontal="left" vertical="top"/>
    </xf>
    <xf numFmtId="0" fontId="22" fillId="0" borderId="32" xfId="0" applyFont="1" applyBorder="1" applyAlignment="1" applyProtection="1">
      <alignment vertical="top" wrapText="1"/>
    </xf>
    <xf numFmtId="0" fontId="21" fillId="0" borderId="38" xfId="0" applyFont="1" applyBorder="1" applyAlignment="1" applyProtection="1">
      <alignment horizontal="left" vertical="top" wrapText="1"/>
    </xf>
    <xf numFmtId="0" fontId="22" fillId="0" borderId="0" xfId="0" applyFont="1" applyBorder="1" applyAlignment="1" applyProtection="1">
      <alignment vertical="top" wrapText="1"/>
    </xf>
    <xf numFmtId="0" fontId="23" fillId="0" borderId="67" xfId="0" applyFont="1" applyBorder="1" applyAlignment="1" applyProtection="1">
      <alignment horizontal="left" vertical="top"/>
    </xf>
    <xf numFmtId="0" fontId="32" fillId="0" borderId="18" xfId="0" applyFont="1" applyBorder="1" applyAlignment="1" applyProtection="1">
      <alignment horizontal="center" vertical="center" wrapText="1"/>
    </xf>
    <xf numFmtId="0" fontId="0" fillId="0" borderId="183" xfId="0" applyBorder="1" applyProtection="1"/>
    <xf numFmtId="0" fontId="0" fillId="0" borderId="147" xfId="0" applyBorder="1" applyProtection="1"/>
    <xf numFmtId="0" fontId="23" fillId="9" borderId="148" xfId="8" applyBorder="1" applyProtection="1">
      <alignment horizontal="left" vertical="top" wrapText="1"/>
    </xf>
    <xf numFmtId="0" fontId="22" fillId="0" borderId="0" xfId="18" applyFont="1" applyFill="1" applyBorder="1" applyProtection="1">
      <alignment horizontal="left" vertical="center"/>
    </xf>
    <xf numFmtId="0" fontId="22" fillId="0" borderId="0" xfId="18" applyFont="1" applyFill="1" applyBorder="1" applyAlignment="1" applyProtection="1"/>
    <xf numFmtId="0" fontId="23" fillId="0" borderId="12" xfId="0" applyFont="1" applyBorder="1" applyAlignment="1" applyProtection="1">
      <alignment vertical="top"/>
    </xf>
    <xf numFmtId="0" fontId="32" fillId="0" borderId="79" xfId="0" applyFont="1" applyBorder="1" applyAlignment="1" applyProtection="1">
      <alignment horizontal="center" vertical="top" wrapText="1"/>
    </xf>
    <xf numFmtId="0" fontId="23" fillId="0" borderId="79" xfId="0" applyFont="1" applyBorder="1" applyAlignment="1" applyProtection="1">
      <alignment horizontal="center" vertical="center" wrapText="1"/>
    </xf>
    <xf numFmtId="0" fontId="1" fillId="0" borderId="0" xfId="0" applyFont="1" applyBorder="1" applyProtection="1"/>
    <xf numFmtId="0" fontId="3" fillId="0" borderId="0" xfId="0" applyFont="1" applyBorder="1" applyAlignment="1" applyProtection="1"/>
    <xf numFmtId="0" fontId="23" fillId="9" borderId="146" xfId="8" applyBorder="1" applyProtection="1">
      <alignment horizontal="left" vertical="top" wrapText="1"/>
    </xf>
    <xf numFmtId="0" fontId="22" fillId="0" borderId="18" xfId="0" applyFont="1" applyBorder="1" applyAlignment="1" applyProtection="1">
      <alignment horizontal="center" vertical="center" wrapText="1"/>
    </xf>
    <xf numFmtId="0" fontId="21" fillId="0" borderId="0" xfId="2" applyFont="1" applyFill="1" applyBorder="1" applyAlignment="1" applyProtection="1">
      <alignment horizontal="center" vertical="center" wrapText="1"/>
    </xf>
    <xf numFmtId="0" fontId="23" fillId="0" borderId="30" xfId="0" applyFont="1" applyBorder="1" applyAlignment="1" applyProtection="1">
      <alignment horizontal="center"/>
    </xf>
    <xf numFmtId="0" fontId="23" fillId="0" borderId="342" xfId="0" applyFont="1" applyBorder="1" applyAlignment="1" applyProtection="1">
      <alignment vertical="top"/>
    </xf>
    <xf numFmtId="0" fontId="22" fillId="0" borderId="67" xfId="0" applyFont="1" applyBorder="1" applyAlignment="1" applyProtection="1">
      <alignment horizontal="center" vertical="center" wrapText="1"/>
    </xf>
    <xf numFmtId="0" fontId="32" fillId="0" borderId="488" xfId="0" applyFont="1" applyBorder="1" applyAlignment="1" applyProtection="1">
      <alignment horizontal="center" vertical="top" wrapText="1"/>
    </xf>
    <xf numFmtId="0" fontId="23" fillId="0" borderId="18" xfId="0" applyFont="1" applyBorder="1" applyAlignment="1" applyProtection="1">
      <alignment horizontal="left" vertical="top"/>
    </xf>
    <xf numFmtId="0" fontId="22" fillId="0" borderId="18" xfId="0" applyFont="1" applyBorder="1" applyAlignment="1" applyProtection="1">
      <alignment vertical="top" wrapText="1"/>
    </xf>
    <xf numFmtId="0" fontId="30" fillId="0" borderId="525" xfId="0" applyFont="1" applyBorder="1" applyAlignment="1" applyProtection="1">
      <alignment horizontal="center" vertical="center" wrapText="1"/>
    </xf>
    <xf numFmtId="0" fontId="0" fillId="0" borderId="0" xfId="0" applyFont="1" applyBorder="1" applyAlignment="1" applyProtection="1">
      <alignment horizontal="left" vertical="top"/>
    </xf>
    <xf numFmtId="0" fontId="1" fillId="0" borderId="0" xfId="0" applyFont="1" applyBorder="1" applyAlignment="1" applyProtection="1">
      <alignment horizontal="left" vertical="top"/>
    </xf>
    <xf numFmtId="0" fontId="30" fillId="0" borderId="14" xfId="0" applyFont="1" applyBorder="1" applyAlignment="1" applyProtection="1">
      <alignment horizontal="center" vertical="center" wrapText="1"/>
    </xf>
    <xf numFmtId="0" fontId="21" fillId="0" borderId="80" xfId="0" applyFont="1" applyBorder="1" applyAlignment="1" applyProtection="1">
      <alignment horizontal="center" vertical="center" wrapText="1"/>
    </xf>
    <xf numFmtId="0" fontId="21" fillId="0" borderId="0" xfId="0" applyFont="1" applyBorder="1" applyAlignment="1" applyProtection="1">
      <alignment vertical="top" wrapText="1"/>
    </xf>
    <xf numFmtId="0" fontId="22" fillId="0" borderId="78" xfId="0" applyFont="1" applyBorder="1" applyAlignment="1" applyProtection="1">
      <alignment horizontal="center" vertical="center" wrapText="1"/>
    </xf>
    <xf numFmtId="0" fontId="22" fillId="0" borderId="488" xfId="0" applyFont="1" applyBorder="1" applyAlignment="1" applyProtection="1">
      <alignment horizontal="center" vertical="center" wrapText="1"/>
    </xf>
    <xf numFmtId="2" fontId="21" fillId="0" borderId="81" xfId="0" applyNumberFormat="1" applyFont="1" applyBorder="1" applyAlignment="1" applyProtection="1">
      <alignment horizontal="center" vertical="center" wrapText="1"/>
    </xf>
    <xf numFmtId="1" fontId="21" fillId="0" borderId="82" xfId="0" applyNumberFormat="1" applyFont="1" applyBorder="1" applyAlignment="1" applyProtection="1">
      <alignment horizontal="center" vertical="center" wrapText="1"/>
    </xf>
    <xf numFmtId="0" fontId="21" fillId="0" borderId="39" xfId="18" applyFont="1" applyFill="1" applyBorder="1" applyAlignment="1" applyProtection="1">
      <alignment horizontal="left" vertical="center"/>
    </xf>
    <xf numFmtId="0" fontId="21" fillId="0" borderId="34" xfId="18" applyFont="1" applyFill="1" applyBorder="1" applyAlignment="1" applyProtection="1">
      <alignment horizontal="left" vertical="center"/>
    </xf>
    <xf numFmtId="0" fontId="22" fillId="0" borderId="34" xfId="18" applyFont="1" applyFill="1" applyBorder="1" applyProtection="1">
      <alignment horizontal="left" vertical="center"/>
    </xf>
    <xf numFmtId="0" fontId="22" fillId="0" borderId="34" xfId="18" applyFont="1" applyFill="1" applyBorder="1" applyAlignment="1" applyProtection="1"/>
    <xf numFmtId="0" fontId="14" fillId="0" borderId="34" xfId="18" applyFont="1" applyFill="1" applyBorder="1" applyAlignment="1" applyProtection="1">
      <alignment horizontal="center" vertical="center"/>
    </xf>
    <xf numFmtId="0" fontId="30" fillId="0" borderId="0" xfId="0" applyFont="1" applyBorder="1" applyAlignment="1" applyProtection="1">
      <alignment horizontal="center" vertical="center" wrapText="1"/>
    </xf>
    <xf numFmtId="0" fontId="1" fillId="0" borderId="67" xfId="0" applyFont="1" applyBorder="1" applyAlignment="1" applyProtection="1">
      <alignment horizontal="center"/>
    </xf>
    <xf numFmtId="0" fontId="22" fillId="0" borderId="67" xfId="0" applyFont="1" applyBorder="1" applyAlignment="1" applyProtection="1">
      <alignment wrapText="1"/>
    </xf>
    <xf numFmtId="0" fontId="23" fillId="9" borderId="476" xfId="8" applyBorder="1" applyProtection="1">
      <alignment horizontal="left" vertical="top" wrapText="1"/>
    </xf>
    <xf numFmtId="167" fontId="23" fillId="0" borderId="0" xfId="0" applyNumberFormat="1" applyFont="1" applyBorder="1" applyAlignment="1" applyProtection="1">
      <alignment horizontal="center" vertical="center"/>
    </xf>
    <xf numFmtId="167" fontId="23" fillId="0" borderId="0" xfId="0" applyNumberFormat="1" applyFont="1" applyBorder="1" applyAlignment="1" applyProtection="1">
      <alignment vertical="center"/>
    </xf>
    <xf numFmtId="0" fontId="21" fillId="0" borderId="0" xfId="0" applyFont="1" applyBorder="1" applyAlignment="1" applyProtection="1">
      <alignment vertical="center" wrapText="1"/>
    </xf>
    <xf numFmtId="0" fontId="13" fillId="0" borderId="0" xfId="0" applyFont="1" applyBorder="1" applyProtection="1"/>
    <xf numFmtId="0" fontId="23" fillId="0" borderId="0" xfId="0" applyFont="1" applyBorder="1" applyProtection="1"/>
    <xf numFmtId="0" fontId="13" fillId="0" borderId="78" xfId="0" applyFont="1" applyBorder="1" applyAlignment="1" applyProtection="1">
      <alignment horizontal="center" wrapText="1"/>
    </xf>
    <xf numFmtId="0" fontId="13" fillId="0" borderId="79" xfId="0" applyFont="1" applyBorder="1" applyAlignment="1" applyProtection="1">
      <alignment horizontal="center" wrapText="1"/>
    </xf>
    <xf numFmtId="0" fontId="13" fillId="0" borderId="488" xfId="0" applyFont="1" applyBorder="1" applyAlignment="1" applyProtection="1">
      <alignment horizontal="center" wrapText="1"/>
    </xf>
    <xf numFmtId="0" fontId="13" fillId="0" borderId="80" xfId="0" applyFont="1" applyBorder="1" applyAlignment="1" applyProtection="1">
      <alignment horizontal="center" vertical="center"/>
    </xf>
    <xf numFmtId="0" fontId="23" fillId="0" borderId="81" xfId="0" applyFont="1" applyBorder="1" applyAlignment="1" applyProtection="1">
      <alignment horizontal="center" vertical="center" wrapText="1"/>
    </xf>
    <xf numFmtId="0" fontId="23" fillId="0" borderId="82" xfId="0" applyFont="1" applyBorder="1" applyAlignment="1" applyProtection="1">
      <alignment horizontal="center" vertical="center" wrapText="1"/>
    </xf>
    <xf numFmtId="0" fontId="13" fillId="0" borderId="488" xfId="0" applyFont="1" applyBorder="1" applyAlignment="1" applyProtection="1">
      <alignment horizontal="center" vertical="center" wrapText="1"/>
    </xf>
    <xf numFmtId="0" fontId="23" fillId="0" borderId="159" xfId="0" applyFont="1" applyBorder="1" applyAlignment="1" applyProtection="1">
      <alignment vertical="top"/>
    </xf>
    <xf numFmtId="0" fontId="22" fillId="0" borderId="26" xfId="0" applyFont="1" applyBorder="1" applyAlignment="1" applyProtection="1">
      <alignment horizontal="center" vertical="center" wrapText="1"/>
    </xf>
    <xf numFmtId="0" fontId="30" fillId="0" borderId="26" xfId="0" applyFont="1" applyBorder="1" applyAlignment="1" applyProtection="1">
      <alignment horizontal="center" vertical="center" wrapText="1"/>
    </xf>
    <xf numFmtId="0" fontId="21" fillId="0" borderId="0" xfId="0" applyFont="1" applyBorder="1" applyAlignment="1" applyProtection="1">
      <alignment horizontal="center" vertical="center"/>
    </xf>
    <xf numFmtId="0" fontId="0" fillId="0" borderId="12" xfId="0" applyBorder="1" applyAlignment="1" applyProtection="1">
      <alignment horizontal="center" vertical="center"/>
    </xf>
    <xf numFmtId="0" fontId="0" fillId="0" borderId="0" xfId="0" applyBorder="1" applyAlignment="1" applyProtection="1">
      <alignment horizontal="center" vertical="center"/>
    </xf>
    <xf numFmtId="0" fontId="13" fillId="0" borderId="78" xfId="0" applyFont="1" applyBorder="1" applyAlignment="1" applyProtection="1">
      <alignment horizontal="center" vertical="center" wrapText="1"/>
    </xf>
    <xf numFmtId="0" fontId="23" fillId="9" borderId="14" xfId="8" applyBorder="1" applyAlignment="1" applyProtection="1">
      <alignment horizontal="center" vertical="center" wrapText="1"/>
    </xf>
    <xf numFmtId="0" fontId="23" fillId="0" borderId="424" xfId="0" applyFont="1" applyBorder="1" applyAlignment="1" applyProtection="1">
      <alignment vertical="top"/>
    </xf>
    <xf numFmtId="0" fontId="23" fillId="0" borderId="58" xfId="0" applyFont="1" applyBorder="1" applyAlignment="1" applyProtection="1">
      <alignment vertical="top"/>
    </xf>
    <xf numFmtId="0" fontId="0" fillId="0" borderId="424" xfId="0" applyBorder="1" applyProtection="1"/>
    <xf numFmtId="0" fontId="0" fillId="0" borderId="58" xfId="0" applyBorder="1" applyProtection="1"/>
    <xf numFmtId="0" fontId="64" fillId="0" borderId="130" xfId="0" applyFont="1" applyBorder="1" applyAlignment="1" applyProtection="1">
      <alignment vertical="top" wrapText="1"/>
    </xf>
    <xf numFmtId="0" fontId="64" fillId="0" borderId="0" xfId="0" applyFont="1" applyBorder="1" applyAlignment="1" applyProtection="1">
      <alignment vertical="top" wrapText="1"/>
    </xf>
    <xf numFmtId="0" fontId="0" fillId="0" borderId="527" xfId="0" applyBorder="1" applyProtection="1"/>
    <xf numFmtId="0" fontId="23" fillId="9" borderId="465" xfId="8" applyBorder="1" applyProtection="1">
      <alignment horizontal="left" vertical="top" wrapText="1"/>
    </xf>
    <xf numFmtId="0" fontId="22" fillId="0" borderId="0" xfId="4" applyFont="1" applyAlignment="1" applyProtection="1">
      <alignment horizontal="center" vertical="center"/>
    </xf>
    <xf numFmtId="0" fontId="21" fillId="0" borderId="146" xfId="0" applyFont="1" applyBorder="1" applyAlignment="1" applyProtection="1">
      <alignment horizontal="left" vertical="top" wrapText="1"/>
    </xf>
    <xf numFmtId="0" fontId="21" fillId="0" borderId="39" xfId="18" applyFont="1" applyFill="1" applyBorder="1" applyProtection="1">
      <alignment horizontal="left" vertical="center"/>
    </xf>
    <xf numFmtId="0" fontId="21" fillId="0" borderId="34" xfId="18" applyFont="1" applyFill="1" applyBorder="1" applyAlignment="1" applyProtection="1">
      <alignment horizontal="center" vertical="top"/>
    </xf>
    <xf numFmtId="0" fontId="21" fillId="0" borderId="34" xfId="18" applyFont="1" applyFill="1" applyBorder="1" applyProtection="1">
      <alignment horizontal="left" vertical="center"/>
    </xf>
    <xf numFmtId="0" fontId="13" fillId="0" borderId="0" xfId="0" applyFont="1" applyBorder="1" applyAlignment="1" applyProtection="1"/>
    <xf numFmtId="0" fontId="30" fillId="0" borderId="0" xfId="0" applyFont="1" applyBorder="1" applyAlignment="1" applyProtection="1">
      <alignment horizontal="center" vertical="center"/>
    </xf>
    <xf numFmtId="167" fontId="23" fillId="0" borderId="12" xfId="0" applyNumberFormat="1" applyFont="1" applyBorder="1" applyAlignment="1" applyProtection="1">
      <alignment vertical="top"/>
    </xf>
    <xf numFmtId="0" fontId="21" fillId="0" borderId="78" xfId="0" applyFont="1" applyBorder="1" applyAlignment="1" applyProtection="1">
      <alignment horizontal="center" vertical="center" wrapText="1"/>
    </xf>
    <xf numFmtId="0" fontId="26" fillId="0" borderId="488" xfId="0" applyFont="1" applyBorder="1" applyAlignment="1" applyProtection="1">
      <alignment horizontal="center" vertical="center" wrapText="1"/>
    </xf>
    <xf numFmtId="0" fontId="21" fillId="0" borderId="0" xfId="0" applyFont="1" applyBorder="1" applyAlignment="1" applyProtection="1">
      <alignment horizontal="center" vertical="center" wrapText="1"/>
    </xf>
    <xf numFmtId="0" fontId="21" fillId="0" borderId="100" xfId="0" applyFont="1" applyBorder="1" applyAlignment="1" applyProtection="1">
      <alignment horizontal="center" vertical="center" wrapText="1"/>
    </xf>
    <xf numFmtId="0" fontId="22" fillId="0" borderId="0" xfId="0" applyFont="1" applyBorder="1" applyAlignment="1" applyProtection="1">
      <alignment horizontal="center" wrapText="1"/>
    </xf>
    <xf numFmtId="0" fontId="22" fillId="0" borderId="80" xfId="0" applyFont="1" applyBorder="1" applyAlignment="1" applyProtection="1">
      <alignment horizontal="center" vertical="center" wrapText="1"/>
    </xf>
    <xf numFmtId="0" fontId="21" fillId="0" borderId="82" xfId="0" applyFont="1" applyBorder="1" applyAlignment="1" applyProtection="1">
      <alignment horizontal="center" vertical="center" wrapText="1"/>
    </xf>
    <xf numFmtId="0" fontId="22" fillId="0" borderId="369" xfId="0" applyFont="1" applyBorder="1" applyAlignment="1" applyProtection="1">
      <alignment horizontal="center" vertical="center" wrapText="1"/>
    </xf>
    <xf numFmtId="0" fontId="13" fillId="0" borderId="102" xfId="0" applyFont="1" applyBorder="1" applyAlignment="1" applyProtection="1">
      <alignment horizontal="center" vertical="center" wrapText="1"/>
    </xf>
    <xf numFmtId="0" fontId="23" fillId="0" borderId="371" xfId="0" applyFont="1" applyBorder="1" applyAlignment="1" applyProtection="1">
      <alignment horizontal="center" vertical="center"/>
    </xf>
    <xf numFmtId="0" fontId="0" fillId="0" borderId="171" xfId="0" applyBorder="1" applyProtection="1"/>
    <xf numFmtId="0" fontId="21" fillId="0" borderId="140" xfId="0" applyFont="1" applyBorder="1" applyAlignment="1" applyProtection="1">
      <alignment horizontal="left" vertical="top" wrapText="1"/>
    </xf>
    <xf numFmtId="0" fontId="22" fillId="0" borderId="67" xfId="0" applyFont="1" applyBorder="1" applyAlignment="1" applyProtection="1">
      <alignment vertical="top" wrapText="1"/>
    </xf>
    <xf numFmtId="0" fontId="21" fillId="0" borderId="68" xfId="18" applyFont="1" applyFill="1" applyBorder="1" applyProtection="1">
      <alignment horizontal="left" vertical="center"/>
    </xf>
    <xf numFmtId="0" fontId="21" fillId="0" borderId="69" xfId="18" applyFont="1" applyFill="1" applyBorder="1" applyAlignment="1" applyProtection="1">
      <alignment horizontal="center" vertical="top"/>
    </xf>
    <xf numFmtId="0" fontId="21" fillId="0" borderId="69" xfId="18" applyFont="1" applyFill="1" applyBorder="1" applyProtection="1">
      <alignment horizontal="left" vertical="center"/>
    </xf>
    <xf numFmtId="0" fontId="22" fillId="0" borderId="69" xfId="18" applyFont="1" applyFill="1" applyBorder="1" applyProtection="1">
      <alignment horizontal="left" vertical="center"/>
    </xf>
    <xf numFmtId="0" fontId="22" fillId="0" borderId="69" xfId="18" applyFont="1" applyFill="1" applyBorder="1" applyAlignment="1" applyProtection="1"/>
    <xf numFmtId="0" fontId="13" fillId="0" borderId="0" xfId="0" applyFont="1" applyBorder="1" applyAlignment="1" applyProtection="1">
      <alignment horizontal="center" vertical="center"/>
    </xf>
    <xf numFmtId="0" fontId="22" fillId="0" borderId="27" xfId="0" applyFont="1" applyBorder="1" applyAlignment="1" applyProtection="1">
      <alignment horizontal="center" vertical="center" wrapText="1"/>
    </xf>
    <xf numFmtId="0" fontId="23" fillId="0" borderId="536" xfId="0" applyFont="1" applyBorder="1" applyAlignment="1" applyProtection="1">
      <alignment vertical="top"/>
    </xf>
    <xf numFmtId="0" fontId="23" fillId="0" borderId="521" xfId="0" applyFont="1" applyBorder="1" applyAlignment="1" applyProtection="1">
      <alignment horizontal="center" vertical="top"/>
    </xf>
    <xf numFmtId="0" fontId="23" fillId="0" borderId="521" xfId="0" applyFont="1" applyBorder="1" applyAlignment="1" applyProtection="1">
      <alignment vertical="top"/>
    </xf>
    <xf numFmtId="0" fontId="22" fillId="0" borderId="521" xfId="0" applyFont="1" applyBorder="1" applyAlignment="1" applyProtection="1">
      <alignment horizontal="center" vertical="center" wrapText="1"/>
    </xf>
    <xf numFmtId="0" fontId="23" fillId="0" borderId="12" xfId="0" applyFont="1" applyBorder="1" applyAlignment="1" applyProtection="1">
      <alignment horizontal="left" vertical="center"/>
    </xf>
    <xf numFmtId="0" fontId="23" fillId="0" borderId="0" xfId="0" applyFont="1" applyBorder="1" applyAlignment="1" applyProtection="1">
      <alignment vertical="center"/>
    </xf>
    <xf numFmtId="0" fontId="22" fillId="0" borderId="0" xfId="0" applyFont="1" applyBorder="1" applyAlignment="1" applyProtection="1">
      <alignment vertical="center" wrapText="1"/>
    </xf>
    <xf numFmtId="0" fontId="3" fillId="0" borderId="0" xfId="0" applyFont="1" applyBorder="1" applyAlignment="1" applyProtection="1">
      <alignment vertical="center"/>
    </xf>
    <xf numFmtId="0" fontId="23" fillId="9" borderId="14" xfId="8" applyBorder="1" applyAlignment="1" applyProtection="1">
      <alignment horizontal="left" vertical="center" wrapText="1"/>
    </xf>
    <xf numFmtId="0" fontId="1" fillId="0" borderId="18" xfId="0" applyFont="1" applyBorder="1" applyAlignment="1" applyProtection="1">
      <alignment horizontal="center"/>
    </xf>
    <xf numFmtId="0" fontId="3" fillId="0" borderId="18" xfId="0" applyFont="1" applyBorder="1" applyAlignment="1" applyProtection="1"/>
    <xf numFmtId="0" fontId="1" fillId="0" borderId="26" xfId="0" applyFont="1" applyBorder="1" applyAlignment="1" applyProtection="1">
      <alignment horizontal="center"/>
    </xf>
    <xf numFmtId="0" fontId="1" fillId="0" borderId="26" xfId="0" applyFont="1" applyBorder="1" applyProtection="1"/>
    <xf numFmtId="167" fontId="23" fillId="0" borderId="27" xfId="0" applyNumberFormat="1" applyFont="1" applyBorder="1" applyAlignment="1" applyProtection="1">
      <alignment vertical="top"/>
    </xf>
    <xf numFmtId="0" fontId="3" fillId="0" borderId="26" xfId="0" applyFont="1" applyBorder="1" applyAlignment="1" applyProtection="1"/>
    <xf numFmtId="0" fontId="14" fillId="0" borderId="0" xfId="0" applyFont="1" applyBorder="1" applyAlignment="1" applyProtection="1">
      <alignment horizontal="center" vertical="center" wrapText="1"/>
    </xf>
    <xf numFmtId="0" fontId="21" fillId="0" borderId="34" xfId="18" applyFont="1" applyFill="1" applyBorder="1" applyAlignment="1" applyProtection="1">
      <alignment horizontal="center" vertical="center"/>
    </xf>
    <xf numFmtId="0" fontId="22" fillId="0" borderId="34" xfId="18" applyFont="1" applyFill="1" applyBorder="1" applyAlignment="1" applyProtection="1">
      <alignment horizontal="left" vertical="center"/>
    </xf>
    <xf numFmtId="0" fontId="22" fillId="0" borderId="34" xfId="18" applyFont="1" applyFill="1" applyBorder="1" applyAlignment="1" applyProtection="1">
      <alignment vertical="center"/>
    </xf>
    <xf numFmtId="0" fontId="23" fillId="9" borderId="35" xfId="8" applyBorder="1" applyAlignment="1" applyProtection="1">
      <alignment horizontal="left" vertical="center" wrapText="1"/>
    </xf>
    <xf numFmtId="0" fontId="23" fillId="0" borderId="27" xfId="0" applyFont="1" applyBorder="1" applyAlignment="1" applyProtection="1">
      <alignment horizontal="left" vertical="top"/>
    </xf>
    <xf numFmtId="0" fontId="14" fillId="0" borderId="34" xfId="18" applyFont="1" applyFill="1" applyBorder="1" applyAlignment="1" applyProtection="1">
      <alignment horizontal="center" vertical="center" wrapText="1"/>
    </xf>
    <xf numFmtId="0" fontId="22" fillId="0" borderId="18" xfId="0" applyFont="1" applyBorder="1" applyAlignment="1" applyProtection="1">
      <alignment wrapText="1"/>
    </xf>
    <xf numFmtId="0" fontId="1" fillId="0" borderId="0" xfId="0" applyFont="1" applyBorder="1" applyAlignment="1" applyProtection="1">
      <alignment horizontal="center"/>
    </xf>
    <xf numFmtId="0" fontId="22" fillId="0" borderId="0" xfId="0" applyFont="1" applyBorder="1" applyAlignment="1" applyProtection="1">
      <alignment wrapText="1"/>
    </xf>
    <xf numFmtId="0" fontId="13" fillId="0" borderId="67" xfId="0" applyFont="1" applyBorder="1" applyAlignment="1" applyProtection="1">
      <alignment horizontal="center" vertical="center"/>
    </xf>
    <xf numFmtId="1" fontId="13" fillId="15" borderId="74" xfId="15" applyNumberFormat="1" applyBorder="1" applyProtection="1">
      <alignment horizontal="center" vertical="center"/>
    </xf>
    <xf numFmtId="0" fontId="23" fillId="0" borderId="34" xfId="0" applyFont="1" applyBorder="1" applyAlignment="1" applyProtection="1">
      <alignment horizontal="left" vertical="top"/>
    </xf>
    <xf numFmtId="0" fontId="22" fillId="0" borderId="34" xfId="0" applyFont="1" applyBorder="1" applyAlignment="1" applyProtection="1">
      <alignment vertical="top" wrapText="1"/>
    </xf>
    <xf numFmtId="0" fontId="22" fillId="0" borderId="34" xfId="0" applyFont="1" applyBorder="1" applyAlignment="1" applyProtection="1">
      <alignment wrapText="1"/>
    </xf>
    <xf numFmtId="167" fontId="23" fillId="0" borderId="67" xfId="0" applyNumberFormat="1" applyFont="1" applyBorder="1" applyAlignment="1" applyProtection="1">
      <alignment vertical="top"/>
    </xf>
    <xf numFmtId="0" fontId="13" fillId="15" borderId="539" xfId="15" applyBorder="1" applyProtection="1">
      <alignment horizontal="center" vertical="center"/>
    </xf>
    <xf numFmtId="0" fontId="1" fillId="0" borderId="67" xfId="0" applyFont="1" applyBorder="1" applyAlignment="1" applyProtection="1">
      <alignment horizontal="left" vertical="top"/>
    </xf>
    <xf numFmtId="1" fontId="26" fillId="10" borderId="172" xfId="9" applyBorder="1" applyAlignment="1" applyProtection="1">
      <alignment horizontal="center" vertical="center" wrapText="1"/>
      <protection locked="0"/>
    </xf>
    <xf numFmtId="0" fontId="0" fillId="0" borderId="141" xfId="0" quotePrefix="1" applyBorder="1" applyAlignment="1" applyProtection="1">
      <alignment horizontal="center" vertical="center"/>
      <protection locked="0"/>
    </xf>
    <xf numFmtId="0" fontId="0" fillId="0" borderId="13" xfId="0" quotePrefix="1" applyBorder="1" applyAlignment="1" applyProtection="1">
      <alignment horizontal="center" vertical="center"/>
      <protection locked="0"/>
    </xf>
    <xf numFmtId="0" fontId="0" fillId="0" borderId="343" xfId="0" quotePrefix="1" applyBorder="1" applyAlignment="1" applyProtection="1">
      <alignment horizontal="center" vertical="center"/>
      <protection locked="0"/>
    </xf>
    <xf numFmtId="1" fontId="26" fillId="10" borderId="434" xfId="9" applyBorder="1" applyAlignment="1" applyProtection="1">
      <alignment horizontal="center" vertical="center" wrapText="1"/>
      <protection locked="0"/>
    </xf>
    <xf numFmtId="1" fontId="22" fillId="10" borderId="51" xfId="9" applyFont="1" applyBorder="1" applyProtection="1">
      <alignment horizontal="center" vertical="center"/>
      <protection locked="0"/>
    </xf>
    <xf numFmtId="1" fontId="26" fillId="10" borderId="537" xfId="9" applyBorder="1" applyProtection="1">
      <alignment horizontal="center" vertical="center"/>
      <protection locked="0"/>
    </xf>
    <xf numFmtId="0" fontId="21" fillId="0" borderId="14" xfId="0" applyFont="1" applyBorder="1" applyAlignment="1" applyProtection="1">
      <alignment horizontal="center" vertical="center" wrapText="1"/>
    </xf>
    <xf numFmtId="1" fontId="22" fillId="10" borderId="538" xfId="9" applyFont="1" applyBorder="1" applyProtection="1">
      <alignment horizontal="center" vertical="center"/>
      <protection locked="0"/>
    </xf>
    <xf numFmtId="0" fontId="21" fillId="0" borderId="0" xfId="4" applyFont="1" applyProtection="1"/>
    <xf numFmtId="0" fontId="21" fillId="0" borderId="0" xfId="4" applyFont="1" applyAlignment="1" applyProtection="1">
      <alignment horizontal="right"/>
    </xf>
    <xf numFmtId="0" fontId="8" fillId="4" borderId="1" xfId="4" applyFont="1" applyFill="1" applyBorder="1" applyAlignment="1" applyProtection="1">
      <alignment horizontal="center" vertical="center" wrapText="1"/>
    </xf>
    <xf numFmtId="0" fontId="9" fillId="5" borderId="1" xfId="4" applyFont="1" applyFill="1" applyBorder="1" applyAlignment="1" applyProtection="1">
      <alignment horizontal="center" vertical="center" wrapText="1"/>
    </xf>
    <xf numFmtId="0" fontId="10" fillId="5" borderId="1" xfId="4" applyFont="1" applyFill="1" applyBorder="1" applyAlignment="1" applyProtection="1">
      <alignment horizontal="center" vertical="center" wrapText="1"/>
    </xf>
    <xf numFmtId="0" fontId="11" fillId="5" borderId="1" xfId="4" applyFont="1" applyFill="1" applyBorder="1" applyAlignment="1" applyProtection="1">
      <alignment horizontal="center" vertical="center" wrapText="1"/>
    </xf>
    <xf numFmtId="0" fontId="12" fillId="5" borderId="1" xfId="4" applyFont="1" applyFill="1" applyBorder="1" applyAlignment="1" applyProtection="1">
      <alignment horizontal="center" vertical="center" wrapText="1"/>
    </xf>
    <xf numFmtId="0" fontId="13" fillId="6" borderId="1" xfId="0" applyFont="1" applyFill="1" applyBorder="1" applyAlignment="1" applyProtection="1">
      <alignment horizontal="center" vertical="center"/>
    </xf>
    <xf numFmtId="1" fontId="22" fillId="6" borderId="1" xfId="4" applyNumberFormat="1" applyFont="1" applyFill="1" applyBorder="1" applyAlignment="1" applyProtection="1">
      <alignment horizontal="center" vertical="center"/>
    </xf>
    <xf numFmtId="0" fontId="22" fillId="6" borderId="1" xfId="4" applyNumberFormat="1" applyFont="1" applyFill="1" applyBorder="1" applyAlignment="1" applyProtection="1">
      <alignment horizontal="center" vertical="center" wrapText="1"/>
    </xf>
    <xf numFmtId="0" fontId="15" fillId="6" borderId="1" xfId="4" applyFont="1" applyFill="1" applyBorder="1" applyAlignment="1" applyProtection="1">
      <alignment horizontal="center" vertical="center"/>
    </xf>
    <xf numFmtId="0" fontId="13" fillId="7" borderId="3" xfId="0" applyFont="1" applyFill="1" applyBorder="1" applyAlignment="1" applyProtection="1">
      <alignment horizontal="center" vertical="center"/>
    </xf>
    <xf numFmtId="0" fontId="22" fillId="7" borderId="3" xfId="4" applyNumberFormat="1" applyFont="1" applyFill="1" applyBorder="1" applyAlignment="1" applyProtection="1">
      <alignment horizontal="center" vertical="center" wrapText="1"/>
    </xf>
    <xf numFmtId="0" fontId="15" fillId="7" borderId="3" xfId="4" applyFont="1" applyFill="1" applyBorder="1" applyAlignment="1" applyProtection="1">
      <alignment horizontal="center" vertical="center"/>
    </xf>
    <xf numFmtId="0" fontId="1" fillId="0" borderId="0" xfId="0" applyFont="1" applyProtection="1"/>
    <xf numFmtId="0" fontId="21" fillId="0" borderId="0" xfId="4" applyFont="1" applyAlignment="1" applyProtection="1">
      <alignment horizontal="right" vertical="center"/>
    </xf>
    <xf numFmtId="0" fontId="23" fillId="0" borderId="0" xfId="0" applyFont="1" applyBorder="1" applyAlignment="1" applyProtection="1">
      <alignment horizontal="center"/>
    </xf>
    <xf numFmtId="0" fontId="0" fillId="0" borderId="13" xfId="0" quotePrefix="1" applyFont="1" applyBorder="1" applyAlignment="1" applyProtection="1">
      <alignment horizontal="center" vertical="center"/>
      <protection locked="0"/>
    </xf>
    <xf numFmtId="0" fontId="23" fillId="0" borderId="12" xfId="0" applyFont="1" applyBorder="1" applyProtection="1"/>
    <xf numFmtId="0" fontId="23" fillId="0" borderId="13" xfId="0" applyFont="1" applyBorder="1" applyProtection="1"/>
    <xf numFmtId="0" fontId="22" fillId="0" borderId="0" xfId="4" applyFont="1" applyBorder="1" applyAlignment="1" applyProtection="1">
      <alignment horizontal="center" vertical="center"/>
    </xf>
    <xf numFmtId="0" fontId="30" fillId="0" borderId="208" xfId="0" applyFont="1" applyFill="1" applyBorder="1" applyAlignment="1" applyProtection="1">
      <alignment horizontal="center" vertical="center" wrapText="1"/>
      <protection locked="0"/>
    </xf>
    <xf numFmtId="0" fontId="1" fillId="0" borderId="208" xfId="0" applyFont="1" applyBorder="1" applyProtection="1"/>
    <xf numFmtId="0" fontId="30" fillId="0" borderId="13" xfId="0" applyFont="1" applyFill="1" applyBorder="1" applyAlignment="1" applyProtection="1">
      <alignment horizontal="center" vertical="center" wrapText="1"/>
      <protection locked="0"/>
    </xf>
    <xf numFmtId="0" fontId="30" fillId="0" borderId="141" xfId="0" applyFont="1" applyFill="1" applyBorder="1" applyAlignment="1" applyProtection="1">
      <alignment horizontal="center" vertical="center" wrapText="1"/>
      <protection locked="0"/>
    </xf>
    <xf numFmtId="0" fontId="30" fillId="0" borderId="540" xfId="0" applyFont="1" applyFill="1" applyBorder="1" applyAlignment="1" applyProtection="1">
      <alignment horizontal="center" vertical="center" wrapText="1"/>
      <protection locked="0"/>
    </xf>
    <xf numFmtId="0" fontId="0" fillId="0" borderId="343" xfId="0" quotePrefix="1" applyBorder="1" applyAlignment="1" applyProtection="1">
      <alignment horizontal="center" vertical="center" wrapText="1"/>
      <protection locked="0"/>
    </xf>
    <xf numFmtId="0" fontId="23" fillId="0" borderId="343" xfId="0" applyFont="1" applyBorder="1" applyAlignment="1" applyProtection="1">
      <alignment horizontal="center" vertical="center" wrapText="1"/>
    </xf>
    <xf numFmtId="0" fontId="23" fillId="0" borderId="343" xfId="0" quotePrefix="1" applyFont="1" applyBorder="1" applyAlignment="1" applyProtection="1">
      <alignment horizontal="center" vertical="center" wrapText="1"/>
      <protection locked="0"/>
    </xf>
    <xf numFmtId="0" fontId="23" fillId="0" borderId="423" xfId="0" quotePrefix="1" applyFont="1" applyBorder="1" applyAlignment="1" applyProtection="1">
      <alignment horizontal="center" vertical="center" wrapText="1"/>
      <protection locked="0"/>
    </xf>
    <xf numFmtId="0" fontId="13" fillId="0" borderId="0" xfId="0" applyFont="1" applyAlignment="1">
      <alignment horizontal="right"/>
    </xf>
    <xf numFmtId="0" fontId="0" fillId="0" borderId="86" xfId="0" applyBorder="1" applyProtection="1"/>
    <xf numFmtId="0" fontId="23" fillId="0" borderId="0" xfId="0" quotePrefix="1" applyFont="1"/>
    <xf numFmtId="0" fontId="13" fillId="0" borderId="0" xfId="0" applyFont="1" applyAlignment="1">
      <alignment horizontal="left"/>
    </xf>
    <xf numFmtId="0" fontId="13" fillId="0" borderId="0" xfId="0" quotePrefix="1" applyFont="1"/>
    <xf numFmtId="0" fontId="13" fillId="38" borderId="74" xfId="15" applyFill="1" applyBorder="1">
      <alignment horizontal="center" vertical="center"/>
    </xf>
    <xf numFmtId="49" fontId="48" fillId="0" borderId="69" xfId="4" applyNumberFormat="1" applyFont="1" applyBorder="1" applyAlignment="1" applyProtection="1">
      <alignment horizontal="center" vertical="center" wrapText="1"/>
    </xf>
    <xf numFmtId="0" fontId="21" fillId="0" borderId="227" xfId="0" applyFont="1" applyBorder="1" applyAlignment="1" applyProtection="1">
      <alignment horizontal="left" vertical="top" wrapText="1" indent="4"/>
    </xf>
    <xf numFmtId="0" fontId="22" fillId="0" borderId="0" xfId="12" applyFont="1" applyFill="1" applyBorder="1" applyProtection="1">
      <alignment horizontal="left" vertical="top" wrapText="1"/>
    </xf>
    <xf numFmtId="0" fontId="21" fillId="0" borderId="34" xfId="12" applyFill="1" applyBorder="1" applyProtection="1">
      <alignment horizontal="left" vertical="top" wrapText="1"/>
    </xf>
    <xf numFmtId="0" fontId="23" fillId="0" borderId="32" xfId="0" applyFont="1" applyBorder="1" applyAlignment="1">
      <alignment horizontal="left" vertical="top" wrapText="1"/>
    </xf>
    <xf numFmtId="0" fontId="21" fillId="0" borderId="0" xfId="12" applyFill="1" applyBorder="1" applyProtection="1">
      <alignment horizontal="left" vertical="top" wrapText="1"/>
    </xf>
    <xf numFmtId="0" fontId="21" fillId="0" borderId="0" xfId="4" applyNumberFormat="1" applyFont="1" applyFill="1" applyBorder="1" applyAlignment="1" applyProtection="1">
      <alignment vertical="top" wrapText="1"/>
    </xf>
    <xf numFmtId="0" fontId="13" fillId="0" borderId="0" xfId="0" applyFont="1" applyBorder="1" applyAlignment="1" applyProtection="1">
      <alignment horizontal="center" vertical="center" wrapText="1"/>
    </xf>
    <xf numFmtId="0" fontId="13" fillId="0" borderId="34" xfId="0" applyFont="1" applyBorder="1" applyAlignment="1" applyProtection="1">
      <alignment horizontal="center" vertical="center" wrapText="1"/>
    </xf>
    <xf numFmtId="49" fontId="54" fillId="0" borderId="24" xfId="16" applyBorder="1" applyProtection="1">
      <alignment horizontal="center" vertical="center" wrapText="1"/>
    </xf>
    <xf numFmtId="0" fontId="13" fillId="0" borderId="79" xfId="0" applyFont="1" applyBorder="1" applyAlignment="1" applyProtection="1">
      <alignment horizontal="center" vertical="center" wrapText="1"/>
    </xf>
    <xf numFmtId="0" fontId="13" fillId="0" borderId="488" xfId="0" applyFont="1" applyBorder="1" applyAlignment="1" applyProtection="1">
      <alignment horizontal="center" vertical="center" wrapText="1"/>
    </xf>
    <xf numFmtId="0" fontId="23" fillId="0" borderId="14" xfId="0" quotePrefix="1" applyFont="1" applyBorder="1" applyAlignment="1" applyProtection="1">
      <alignment horizontal="center" vertical="center" wrapText="1"/>
      <protection locked="0"/>
    </xf>
    <xf numFmtId="0" fontId="22" fillId="0" borderId="0" xfId="4" applyFont="1" applyFill="1" applyBorder="1" applyAlignment="1" applyProtection="1">
      <alignment horizontal="center" vertical="center" wrapText="1"/>
    </xf>
    <xf numFmtId="0" fontId="15" fillId="0" borderId="13" xfId="4" applyFont="1" applyFill="1" applyBorder="1" applyAlignment="1" applyProtection="1">
      <alignment horizontal="center" vertical="center" wrapText="1"/>
    </xf>
    <xf numFmtId="0" fontId="30" fillId="0" borderId="87" xfId="0" applyFont="1" applyBorder="1" applyAlignment="1" applyProtection="1">
      <alignment horizontal="center" vertical="center" wrapText="1"/>
    </xf>
    <xf numFmtId="1" fontId="26" fillId="10" borderId="374" xfId="9" applyFont="1" applyBorder="1" applyProtection="1">
      <alignment horizontal="center" vertical="center"/>
      <protection locked="0"/>
    </xf>
    <xf numFmtId="1" fontId="26" fillId="10" borderId="552" xfId="9" applyFont="1" applyBorder="1" applyProtection="1">
      <alignment horizontal="center" vertical="center"/>
      <protection locked="0"/>
    </xf>
    <xf numFmtId="0" fontId="15" fillId="0" borderId="87" xfId="12" applyFont="1" applyFill="1" applyBorder="1" applyAlignment="1" applyProtection="1">
      <alignment horizontal="center" vertical="center" wrapText="1"/>
    </xf>
    <xf numFmtId="0" fontId="13" fillId="15" borderId="364" xfId="15" applyFont="1" applyBorder="1" applyProtection="1">
      <alignment horizontal="center" vertical="center"/>
    </xf>
    <xf numFmtId="1" fontId="22" fillId="10" borderId="554" xfId="9" applyFont="1" applyBorder="1" applyProtection="1">
      <alignment horizontal="center" vertical="center"/>
      <protection locked="0"/>
    </xf>
    <xf numFmtId="1" fontId="26" fillId="10" borderId="499" xfId="9" applyFont="1" applyBorder="1" applyProtection="1">
      <alignment horizontal="center" vertical="center"/>
      <protection locked="0"/>
    </xf>
    <xf numFmtId="0" fontId="30" fillId="0" borderId="118" xfId="0" applyFont="1" applyBorder="1" applyAlignment="1" applyProtection="1">
      <alignment horizontal="center" vertical="center" wrapText="1"/>
    </xf>
    <xf numFmtId="1" fontId="22" fillId="10" borderId="499" xfId="9" applyFont="1" applyBorder="1" applyProtection="1">
      <alignment horizontal="center" vertical="center"/>
      <protection locked="0"/>
    </xf>
    <xf numFmtId="1" fontId="22" fillId="10" borderId="552" xfId="9" applyFont="1" applyBorder="1" applyProtection="1">
      <alignment horizontal="center" vertical="center"/>
      <protection locked="0"/>
    </xf>
    <xf numFmtId="0" fontId="3" fillId="0" borderId="34" xfId="0" applyFont="1" applyBorder="1" applyProtection="1"/>
    <xf numFmtId="0" fontId="1" fillId="0" borderId="13" xfId="0" applyFont="1" applyBorder="1" applyProtection="1"/>
    <xf numFmtId="1" fontId="22" fillId="10" borderId="374" xfId="9" applyFont="1" applyBorder="1" applyAlignment="1">
      <alignment horizontal="center" vertical="center" wrapText="1"/>
      <protection locked="0"/>
    </xf>
    <xf numFmtId="1" fontId="26" fillId="10" borderId="456" xfId="9" applyFont="1" applyBorder="1" applyAlignment="1">
      <alignment horizontal="center" vertical="center" wrapText="1"/>
      <protection locked="0"/>
    </xf>
    <xf numFmtId="1" fontId="26" fillId="10" borderId="499" xfId="9" applyFont="1" applyBorder="1" applyAlignment="1">
      <alignment horizontal="center" vertical="center" wrapText="1"/>
      <protection locked="0"/>
    </xf>
    <xf numFmtId="0" fontId="22" fillId="35" borderId="232" xfId="0" applyFont="1" applyFill="1" applyBorder="1" applyAlignment="1" applyProtection="1">
      <alignment vertical="top" wrapText="1"/>
    </xf>
    <xf numFmtId="0" fontId="0" fillId="3" borderId="0" xfId="0" applyFont="1" applyFill="1"/>
    <xf numFmtId="0" fontId="19" fillId="35" borderId="101" xfId="6" applyFill="1" applyBorder="1" applyProtection="1">
      <alignment horizontal="center" vertical="center" wrapText="1"/>
    </xf>
    <xf numFmtId="0" fontId="90" fillId="3" borderId="565" xfId="6" applyFont="1" applyFill="1" applyBorder="1" applyAlignment="1" applyProtection="1">
      <alignment horizontal="left" vertical="top" wrapText="1"/>
    </xf>
    <xf numFmtId="0" fontId="90" fillId="3" borderId="564" xfId="6" applyFont="1" applyFill="1" applyBorder="1" applyProtection="1">
      <alignment horizontal="center" vertical="center" wrapText="1"/>
    </xf>
    <xf numFmtId="0" fontId="13" fillId="3" borderId="101" xfId="6" applyFont="1" applyFill="1" applyBorder="1" applyProtection="1">
      <alignment horizontal="center" vertical="center" wrapText="1"/>
    </xf>
    <xf numFmtId="0" fontId="13" fillId="3" borderId="566" xfId="6" applyFont="1" applyFill="1" applyBorder="1" applyProtection="1">
      <alignment horizontal="center" vertical="center" wrapText="1"/>
    </xf>
    <xf numFmtId="0" fontId="13" fillId="35" borderId="101" xfId="6" applyFont="1" applyFill="1" applyBorder="1" applyProtection="1">
      <alignment horizontal="center" vertical="center" wrapText="1"/>
    </xf>
    <xf numFmtId="0" fontId="23" fillId="0" borderId="101" xfId="6" applyFont="1" applyFill="1" applyBorder="1" applyProtection="1">
      <alignment horizontal="center" vertical="center" wrapText="1"/>
    </xf>
    <xf numFmtId="0" fontId="13" fillId="3" borderId="571" xfId="6" applyFont="1" applyFill="1" applyBorder="1" applyProtection="1">
      <alignment horizontal="center" vertical="center" wrapText="1"/>
    </xf>
    <xf numFmtId="0" fontId="13" fillId="35" borderId="568" xfId="6" applyFont="1" applyFill="1" applyBorder="1" applyProtection="1">
      <alignment horizontal="center" vertical="center" wrapText="1"/>
    </xf>
    <xf numFmtId="0" fontId="23" fillId="0" borderId="566" xfId="6" applyFont="1" applyFill="1" applyBorder="1" applyProtection="1">
      <alignment horizontal="center" vertical="center" wrapText="1"/>
    </xf>
    <xf numFmtId="0" fontId="23" fillId="35" borderId="568" xfId="6" applyFont="1" applyFill="1" applyBorder="1" applyProtection="1">
      <alignment horizontal="center" vertical="center" wrapText="1"/>
    </xf>
    <xf numFmtId="0" fontId="23" fillId="35" borderId="101" xfId="6" applyFont="1" applyFill="1" applyBorder="1" applyProtection="1">
      <alignment horizontal="center" vertical="center" wrapText="1"/>
    </xf>
    <xf numFmtId="0" fontId="13" fillId="3" borderId="570" xfId="6" applyFont="1" applyFill="1" applyBorder="1" applyProtection="1">
      <alignment horizontal="center" vertical="center" wrapText="1"/>
    </xf>
    <xf numFmtId="0" fontId="23" fillId="0" borderId="570" xfId="6" applyFont="1" applyFill="1" applyBorder="1" applyProtection="1">
      <alignment horizontal="center" vertical="center" wrapText="1"/>
    </xf>
    <xf numFmtId="0" fontId="13" fillId="35" borderId="577" xfId="6" applyFont="1" applyFill="1" applyBorder="1" applyProtection="1">
      <alignment horizontal="center" vertical="center" wrapText="1"/>
    </xf>
    <xf numFmtId="0" fontId="23" fillId="35" borderId="577" xfId="6" applyFont="1" applyFill="1" applyBorder="1" applyProtection="1">
      <alignment horizontal="center" vertical="center" wrapText="1"/>
    </xf>
    <xf numFmtId="0" fontId="13" fillId="3" borderId="579" xfId="6" applyFont="1" applyFill="1" applyBorder="1" applyProtection="1">
      <alignment horizontal="center" vertical="center" wrapText="1"/>
    </xf>
    <xf numFmtId="0" fontId="22" fillId="0" borderId="225" xfId="0" applyFont="1" applyBorder="1" applyAlignment="1" applyProtection="1">
      <alignment horizontal="left" vertical="top" wrapText="1" indent="8"/>
    </xf>
    <xf numFmtId="0" fontId="22" fillId="0" borderId="238" xfId="0" applyFont="1" applyBorder="1" applyAlignment="1" applyProtection="1">
      <alignment vertical="top" wrapText="1"/>
    </xf>
    <xf numFmtId="0" fontId="30" fillId="0" borderId="13" xfId="0" applyFont="1" applyBorder="1" applyAlignment="1" applyProtection="1">
      <alignment horizontal="center" vertical="center" wrapText="1"/>
      <protection locked="0"/>
    </xf>
    <xf numFmtId="0" fontId="30" fillId="0" borderId="140" xfId="0" applyFont="1" applyBorder="1" applyAlignment="1" applyProtection="1">
      <alignment horizontal="center" vertical="center" wrapText="1"/>
      <protection locked="0"/>
    </xf>
    <xf numFmtId="1" fontId="26" fillId="10" borderId="456" xfId="9" applyFont="1" applyBorder="1" applyProtection="1">
      <alignment horizontal="center" vertical="center"/>
      <protection locked="0"/>
    </xf>
    <xf numFmtId="0" fontId="30" fillId="0" borderId="208" xfId="0" applyFont="1" applyBorder="1" applyAlignment="1" applyProtection="1">
      <alignment horizontal="center" vertical="center" wrapText="1"/>
      <protection locked="0"/>
    </xf>
    <xf numFmtId="0" fontId="30" fillId="0" borderId="372" xfId="0" applyFont="1" applyBorder="1" applyAlignment="1" applyProtection="1">
      <alignment horizontal="center" vertical="center" wrapText="1"/>
      <protection locked="0"/>
    </xf>
    <xf numFmtId="0" fontId="30" fillId="0" borderId="343" xfId="0" applyFont="1" applyBorder="1" applyAlignment="1" applyProtection="1">
      <alignment horizontal="center" vertical="center" wrapText="1"/>
      <protection locked="0"/>
    </xf>
    <xf numFmtId="0" fontId="30" fillId="0" borderId="396" xfId="0" applyFont="1" applyBorder="1" applyAlignment="1" applyProtection="1">
      <alignment horizontal="center" vertical="center" wrapText="1"/>
      <protection locked="0"/>
    </xf>
    <xf numFmtId="0" fontId="30" fillId="0" borderId="202" xfId="0" applyFont="1" applyBorder="1" applyAlignment="1" applyProtection="1">
      <alignment horizontal="center" vertical="center" wrapText="1"/>
      <protection locked="0"/>
    </xf>
    <xf numFmtId="0" fontId="30" fillId="0" borderId="397" xfId="0" applyFont="1" applyBorder="1" applyAlignment="1" applyProtection="1">
      <alignment horizontal="center" vertical="center" wrapText="1"/>
      <protection locked="0"/>
    </xf>
    <xf numFmtId="0" fontId="30" fillId="0" borderId="141" xfId="0" applyFont="1" applyBorder="1" applyAlignment="1" applyProtection="1">
      <alignment horizontal="center" vertical="center" wrapText="1"/>
      <protection locked="0"/>
    </xf>
    <xf numFmtId="9" fontId="13" fillId="0" borderId="79" xfId="0" applyNumberFormat="1" applyFont="1" applyBorder="1" applyAlignment="1" applyProtection="1">
      <alignment horizontal="center" vertical="center" wrapText="1"/>
    </xf>
    <xf numFmtId="9" fontId="13" fillId="0" borderId="488" xfId="0" applyNumberFormat="1" applyFont="1" applyBorder="1" applyAlignment="1" applyProtection="1">
      <alignment horizontal="center" vertical="center" wrapText="1"/>
    </xf>
    <xf numFmtId="1" fontId="22" fillId="7" borderId="3" xfId="4" applyNumberFormat="1" applyFont="1" applyFill="1" applyBorder="1" applyAlignment="1" applyProtection="1">
      <alignment horizontal="center" vertical="center"/>
    </xf>
    <xf numFmtId="1" fontId="22" fillId="10" borderId="211" xfId="9" applyFont="1" applyBorder="1" applyProtection="1">
      <alignment horizontal="center" vertical="center"/>
      <protection locked="0"/>
    </xf>
    <xf numFmtId="0" fontId="23" fillId="0" borderId="213" xfId="0" quotePrefix="1" applyFont="1" applyBorder="1" applyAlignment="1" applyProtection="1">
      <alignment horizontal="center" vertical="center" wrapText="1"/>
      <protection locked="0"/>
    </xf>
    <xf numFmtId="0" fontId="13" fillId="0" borderId="0" xfId="0" applyFont="1" applyBorder="1" applyAlignment="1">
      <alignment horizontal="center" vertical="center" wrapText="1"/>
    </xf>
    <xf numFmtId="0" fontId="30" fillId="0" borderId="343" xfId="0" applyFont="1" applyBorder="1" applyAlignment="1" applyProtection="1">
      <alignment horizontal="center" vertical="center" wrapText="1"/>
      <protection locked="0"/>
    </xf>
    <xf numFmtId="1" fontId="26" fillId="10" borderId="15" xfId="9" applyBorder="1" applyProtection="1">
      <alignment horizontal="center" vertical="center"/>
      <protection locked="0"/>
    </xf>
    <xf numFmtId="1" fontId="26" fillId="10" borderId="15" xfId="9">
      <alignment horizontal="center" vertical="center"/>
      <protection locked="0"/>
    </xf>
    <xf numFmtId="0" fontId="22" fillId="0" borderId="0" xfId="0" applyFont="1" applyBorder="1" applyAlignment="1" applyProtection="1">
      <alignment horizontal="center" vertical="center" wrapText="1"/>
    </xf>
    <xf numFmtId="0" fontId="22" fillId="0" borderId="67" xfId="0" applyFont="1" applyBorder="1" applyAlignment="1" applyProtection="1">
      <alignment horizontal="center" vertical="center" wrapText="1"/>
    </xf>
    <xf numFmtId="1" fontId="26" fillId="10" borderId="434" xfId="9" applyBorder="1" applyProtection="1">
      <alignment horizontal="center" vertical="center"/>
      <protection locked="0"/>
    </xf>
    <xf numFmtId="49" fontId="54" fillId="0" borderId="0" xfId="16" applyBorder="1" applyAlignment="1" applyProtection="1">
      <alignment horizontal="center" vertical="center" wrapText="1"/>
    </xf>
    <xf numFmtId="1" fontId="26" fillId="10" borderId="16" xfId="9" applyBorder="1" applyProtection="1">
      <alignment horizontal="center" vertical="center"/>
      <protection locked="0"/>
    </xf>
    <xf numFmtId="0" fontId="30" fillId="0" borderId="13" xfId="0" applyFont="1" applyBorder="1" applyAlignment="1" applyProtection="1">
      <alignment horizontal="center" vertical="center"/>
      <protection locked="0"/>
    </xf>
    <xf numFmtId="0" fontId="13" fillId="15" borderId="120" xfId="15">
      <alignment horizontal="center" vertical="center"/>
    </xf>
    <xf numFmtId="0" fontId="23" fillId="0" borderId="0" xfId="0" applyFont="1" applyBorder="1" applyAlignment="1" applyProtection="1">
      <alignment horizontal="center" vertical="top"/>
    </xf>
    <xf numFmtId="167" fontId="23" fillId="0" borderId="0" xfId="0" applyNumberFormat="1" applyFont="1" applyBorder="1" applyAlignment="1" applyProtection="1">
      <alignment horizontal="center" vertical="top"/>
    </xf>
    <xf numFmtId="0" fontId="23" fillId="0" borderId="58" xfId="0" applyFont="1" applyBorder="1" applyAlignment="1" applyProtection="1">
      <alignment horizontal="center" vertical="top"/>
    </xf>
    <xf numFmtId="0" fontId="13" fillId="0" borderId="67" xfId="0" applyFont="1" applyBorder="1" applyAlignment="1" applyProtection="1">
      <alignment horizontal="center" vertical="center" wrapText="1"/>
    </xf>
    <xf numFmtId="167" fontId="23" fillId="0" borderId="18" xfId="0" applyNumberFormat="1" applyFont="1" applyBorder="1" applyAlignment="1" applyProtection="1">
      <alignment horizontal="center" vertical="top"/>
    </xf>
    <xf numFmtId="167" fontId="23" fillId="0" borderId="26" xfId="0" applyNumberFormat="1" applyFont="1" applyBorder="1" applyAlignment="1" applyProtection="1">
      <alignment horizontal="center" vertical="top"/>
    </xf>
    <xf numFmtId="1" fontId="26" fillId="10" borderId="187" xfId="9" applyBorder="1" applyProtection="1">
      <alignment horizontal="center" vertical="center"/>
      <protection locked="0"/>
    </xf>
    <xf numFmtId="0" fontId="21" fillId="0" borderId="27" xfId="0" applyFont="1" applyBorder="1" applyAlignment="1" applyProtection="1">
      <alignment horizontal="left" vertical="center" indent="1"/>
    </xf>
    <xf numFmtId="0" fontId="13" fillId="0" borderId="0" xfId="0" applyFont="1"/>
    <xf numFmtId="49" fontId="49" fillId="0" borderId="585" xfId="4" applyNumberFormat="1" applyFont="1" applyBorder="1" applyAlignment="1" applyProtection="1">
      <alignment horizontal="center" vertical="center" wrapText="1"/>
      <protection locked="0"/>
    </xf>
    <xf numFmtId="1" fontId="26" fillId="10" borderId="499" xfId="9" applyBorder="1">
      <alignment horizontal="center" vertical="center"/>
      <protection locked="0"/>
    </xf>
    <xf numFmtId="0" fontId="23" fillId="0" borderId="118" xfId="8" applyFont="1" applyFill="1" applyBorder="1" applyAlignment="1">
      <alignment horizontal="left" vertical="top" wrapText="1"/>
    </xf>
    <xf numFmtId="1" fontId="26" fillId="10" borderId="374" xfId="9" applyBorder="1" applyAlignment="1" applyProtection="1">
      <alignment horizontal="center" vertical="center" wrapText="1"/>
      <protection locked="0"/>
    </xf>
    <xf numFmtId="0" fontId="0" fillId="0" borderId="67" xfId="0" applyBorder="1" applyProtection="1"/>
    <xf numFmtId="1" fontId="22" fillId="10" borderId="374" xfId="9" applyNumberFormat="1" applyFont="1" applyBorder="1">
      <alignment horizontal="center" vertical="center"/>
      <protection locked="0"/>
    </xf>
    <xf numFmtId="1" fontId="22" fillId="10" borderId="456" xfId="9" applyNumberFormat="1" applyFont="1" applyBorder="1">
      <alignment horizontal="center" vertical="center"/>
      <protection locked="0"/>
    </xf>
    <xf numFmtId="1" fontId="22" fillId="10" borderId="434" xfId="9" applyFont="1" applyBorder="1" applyProtection="1">
      <alignment horizontal="center" vertical="center"/>
      <protection locked="0"/>
    </xf>
    <xf numFmtId="1" fontId="22" fillId="10" borderId="374" xfId="9" applyNumberFormat="1" applyFont="1" applyBorder="1" applyProtection="1">
      <alignment horizontal="center" vertical="center"/>
      <protection locked="0"/>
    </xf>
    <xf numFmtId="1" fontId="22" fillId="10" borderId="456" xfId="9" applyNumberFormat="1" applyFont="1" applyBorder="1" applyProtection="1">
      <alignment horizontal="center" vertical="center"/>
      <protection locked="0"/>
    </xf>
    <xf numFmtId="0" fontId="13" fillId="0" borderId="0" xfId="0" applyFont="1" applyBorder="1" applyAlignment="1" applyProtection="1">
      <alignment horizontal="center" vertical="center" wrapText="1"/>
    </xf>
    <xf numFmtId="0" fontId="30" fillId="0" borderId="141" xfId="0" applyFont="1" applyBorder="1" applyAlignment="1" applyProtection="1">
      <alignment horizontal="center" vertical="center" wrapText="1"/>
      <protection locked="0"/>
    </xf>
    <xf numFmtId="0" fontId="13" fillId="15" borderId="364" xfId="15" applyBorder="1" applyProtection="1">
      <alignment horizontal="center" vertical="center"/>
    </xf>
    <xf numFmtId="1" fontId="26" fillId="10" borderId="16" xfId="9" applyBorder="1" applyProtection="1">
      <alignment horizontal="center" vertical="center"/>
      <protection locked="0"/>
    </xf>
    <xf numFmtId="0" fontId="0" fillId="0" borderId="0" xfId="0" applyBorder="1" applyProtection="1"/>
    <xf numFmtId="167" fontId="23" fillId="0" borderId="0" xfId="0" applyNumberFormat="1" applyFont="1" applyBorder="1" applyAlignment="1" applyProtection="1">
      <alignment horizontal="center" vertical="top"/>
    </xf>
    <xf numFmtId="0" fontId="23" fillId="0" borderId="396" xfId="0" applyFont="1" applyBorder="1" applyAlignment="1" applyProtection="1">
      <alignment horizontal="center" vertical="center" wrapText="1"/>
      <protection locked="0"/>
    </xf>
    <xf numFmtId="0" fontId="23" fillId="0" borderId="372" xfId="0" applyFont="1" applyBorder="1" applyAlignment="1" applyProtection="1">
      <alignment horizontal="center" vertical="center"/>
      <protection locked="0"/>
    </xf>
    <xf numFmtId="0" fontId="13" fillId="10" borderId="555" xfId="0" applyFont="1" applyFill="1" applyBorder="1" applyAlignment="1" applyProtection="1">
      <alignment horizontal="center" vertical="center" wrapText="1"/>
      <protection locked="0"/>
    </xf>
    <xf numFmtId="49" fontId="23" fillId="0" borderId="372" xfId="0" applyNumberFormat="1" applyFont="1" applyBorder="1" applyAlignment="1" applyProtection="1">
      <alignment horizontal="center" vertical="center" wrapText="1"/>
      <protection locked="0"/>
    </xf>
    <xf numFmtId="0" fontId="23" fillId="0" borderId="402" xfId="0" applyFont="1" applyBorder="1" applyAlignment="1" applyProtection="1">
      <alignment horizontal="center" vertical="center" wrapText="1"/>
      <protection locked="0"/>
    </xf>
    <xf numFmtId="0" fontId="23" fillId="0" borderId="12" xfId="0" applyFont="1" applyBorder="1" applyAlignment="1" applyProtection="1">
      <alignment vertical="center"/>
    </xf>
    <xf numFmtId="0" fontId="23" fillId="9" borderId="13" xfId="8" applyBorder="1" applyAlignment="1" applyProtection="1">
      <alignment horizontal="left" vertical="center" wrapText="1"/>
    </xf>
    <xf numFmtId="1" fontId="22" fillId="10" borderId="537" xfId="9" applyFont="1" applyBorder="1" applyProtection="1">
      <alignment horizontal="center" vertical="center"/>
      <protection locked="0"/>
    </xf>
    <xf numFmtId="0" fontId="30" fillId="0" borderId="540" xfId="0" applyFont="1" applyBorder="1" applyAlignment="1" applyProtection="1">
      <alignment horizontal="center" vertical="center" wrapText="1"/>
      <protection locked="0"/>
    </xf>
    <xf numFmtId="167" fontId="23" fillId="0" borderId="586" xfId="0" applyNumberFormat="1" applyFont="1" applyBorder="1" applyAlignment="1" applyProtection="1">
      <alignment vertical="top"/>
    </xf>
    <xf numFmtId="0" fontId="30" fillId="0" borderId="441" xfId="0" applyFont="1" applyBorder="1" applyAlignment="1" applyProtection="1">
      <alignment horizontal="center" vertical="center" wrapText="1"/>
      <protection locked="0"/>
    </xf>
    <xf numFmtId="0" fontId="0" fillId="0" borderId="588" xfId="0" applyBorder="1"/>
    <xf numFmtId="0" fontId="0" fillId="0" borderId="441" xfId="0" applyBorder="1"/>
    <xf numFmtId="0" fontId="13" fillId="15" borderId="589" xfId="15" applyBorder="1">
      <alignment horizontal="center" vertical="center"/>
    </xf>
    <xf numFmtId="167" fontId="23" fillId="0" borderId="591" xfId="0" applyNumberFormat="1" applyFont="1" applyFill="1" applyBorder="1" applyAlignment="1" applyProtection="1">
      <alignment horizontal="center" vertical="top"/>
    </xf>
    <xf numFmtId="167" fontId="23" fillId="0" borderId="591" xfId="0" applyNumberFormat="1" applyFont="1" applyBorder="1" applyAlignment="1" applyProtection="1">
      <alignment vertical="top"/>
    </xf>
    <xf numFmtId="49" fontId="54" fillId="0" borderId="591" xfId="16" applyBorder="1" applyProtection="1">
      <alignment horizontal="center" vertical="center" wrapText="1"/>
    </xf>
    <xf numFmtId="0" fontId="0" fillId="0" borderId="591" xfId="0" applyBorder="1"/>
    <xf numFmtId="0" fontId="15" fillId="0" borderId="590" xfId="4" applyFont="1" applyBorder="1" applyAlignment="1" applyProtection="1">
      <alignment horizontal="center" vertical="center"/>
      <protection locked="0"/>
    </xf>
    <xf numFmtId="0" fontId="22" fillId="0" borderId="0" xfId="0" applyFont="1" applyFill="1" applyBorder="1" applyAlignment="1" applyProtection="1">
      <alignment horizontal="right"/>
    </xf>
    <xf numFmtId="0" fontId="32" fillId="0" borderId="161" xfId="0" applyFont="1" applyBorder="1" applyAlignment="1" applyProtection="1">
      <alignment horizontal="center" vertical="center" wrapText="1"/>
    </xf>
    <xf numFmtId="0" fontId="32" fillId="0" borderId="124" xfId="0" applyFont="1" applyBorder="1" applyAlignment="1" applyProtection="1">
      <alignment horizontal="center" vertical="center" wrapText="1"/>
    </xf>
    <xf numFmtId="0" fontId="32" fillId="0" borderId="594" xfId="0" applyFont="1" applyBorder="1" applyAlignment="1" applyProtection="1">
      <alignment horizontal="center" vertical="center" wrapText="1"/>
    </xf>
    <xf numFmtId="0" fontId="32" fillId="0" borderId="595" xfId="0" applyFont="1" applyBorder="1" applyAlignment="1" applyProtection="1">
      <alignment horizontal="center" vertical="center" wrapText="1"/>
    </xf>
    <xf numFmtId="0" fontId="32" fillId="0" borderId="596" xfId="0" applyFont="1" applyBorder="1" applyAlignment="1" applyProtection="1">
      <alignment horizontal="center" vertical="center" wrapText="1"/>
    </xf>
    <xf numFmtId="1" fontId="22" fillId="10" borderId="597" xfId="9" applyFont="1" applyBorder="1" applyProtection="1">
      <alignment horizontal="center" vertical="center"/>
      <protection locked="0"/>
    </xf>
    <xf numFmtId="0" fontId="0" fillId="0" borderId="58" xfId="0" applyBorder="1"/>
    <xf numFmtId="167" fontId="23" fillId="0" borderId="59" xfId="0" applyNumberFormat="1" applyFont="1" applyBorder="1" applyAlignment="1" applyProtection="1">
      <alignment horizontal="center" vertical="top"/>
    </xf>
    <xf numFmtId="0" fontId="13" fillId="0" borderId="59" xfId="0" applyFont="1" applyBorder="1" applyAlignment="1" applyProtection="1">
      <alignment horizontal="center" vertical="center"/>
    </xf>
    <xf numFmtId="0" fontId="13" fillId="0" borderId="0" xfId="0" applyFont="1" applyBorder="1" applyAlignment="1" applyProtection="1">
      <alignment horizontal="center" vertical="center" wrapText="1"/>
    </xf>
    <xf numFmtId="0" fontId="13" fillId="15" borderId="364" xfId="15" applyBorder="1">
      <alignment horizontal="center" vertical="center"/>
    </xf>
    <xf numFmtId="167" fontId="23" fillId="0" borderId="0" xfId="0" applyNumberFormat="1" applyFont="1" applyBorder="1" applyAlignment="1" applyProtection="1">
      <alignment horizontal="center" vertical="top"/>
    </xf>
    <xf numFmtId="1" fontId="26" fillId="10" borderId="598" xfId="9" applyBorder="1" applyProtection="1">
      <alignment horizontal="center" vertical="center"/>
      <protection locked="0"/>
    </xf>
    <xf numFmtId="0" fontId="30" fillId="0" borderId="0" xfId="0" applyFont="1" applyBorder="1" applyAlignment="1">
      <alignment horizontal="right" wrapText="1"/>
    </xf>
    <xf numFmtId="1" fontId="22" fillId="10" borderId="456" xfId="9" applyFont="1" applyBorder="1" applyAlignment="1" applyProtection="1">
      <alignment horizontal="center" vertical="center" wrapText="1"/>
      <protection locked="0"/>
    </xf>
    <xf numFmtId="1" fontId="26" fillId="10" borderId="480" xfId="9" applyBorder="1" applyAlignment="1" applyProtection="1">
      <alignment horizontal="center" vertical="center" wrapText="1"/>
      <protection locked="0"/>
    </xf>
    <xf numFmtId="1" fontId="22" fillId="10" borderId="15" xfId="9" applyFont="1" applyBorder="1" applyAlignment="1">
      <alignment horizontal="center" vertical="center" wrapText="1"/>
      <protection locked="0"/>
    </xf>
    <xf numFmtId="0" fontId="23" fillId="0" borderId="118" xfId="8" applyFill="1" applyBorder="1" applyProtection="1">
      <alignment horizontal="left" vertical="top" wrapText="1"/>
    </xf>
    <xf numFmtId="0" fontId="23" fillId="0" borderId="87" xfId="8" applyFill="1" applyBorder="1" applyProtection="1">
      <alignment horizontal="left" vertical="top" wrapText="1"/>
    </xf>
    <xf numFmtId="0" fontId="30" fillId="0" borderId="421" xfId="0" applyFont="1" applyBorder="1" applyAlignment="1" applyProtection="1">
      <alignment horizontal="center" vertical="center" wrapText="1"/>
      <protection locked="0"/>
    </xf>
    <xf numFmtId="0" fontId="23" fillId="0" borderId="0" xfId="0" applyFont="1" applyBorder="1" applyAlignment="1" applyProtection="1">
      <alignment horizontal="left" vertical="center"/>
    </xf>
    <xf numFmtId="0" fontId="23" fillId="0" borderId="13" xfId="8" applyFill="1" applyBorder="1" applyAlignment="1" applyProtection="1">
      <alignment horizontal="left" vertical="center" wrapText="1"/>
    </xf>
    <xf numFmtId="0" fontId="0" fillId="0" borderId="0" xfId="0" applyFont="1" applyAlignment="1">
      <alignment horizontal="left" vertical="center"/>
    </xf>
    <xf numFmtId="0" fontId="107" fillId="0" borderId="0" xfId="0" applyFont="1"/>
    <xf numFmtId="0" fontId="22" fillId="0" borderId="605" xfId="0" applyFont="1" applyBorder="1" applyAlignment="1" applyProtection="1">
      <alignment vertical="top" wrapText="1"/>
    </xf>
    <xf numFmtId="0" fontId="22" fillId="0" borderId="416" xfId="0" applyFont="1" applyBorder="1" applyAlignment="1" applyProtection="1">
      <alignment horizontal="center" vertical="center" wrapText="1"/>
    </xf>
    <xf numFmtId="0" fontId="30" fillId="0" borderId="0" xfId="0" applyFont="1" applyBorder="1" applyAlignment="1">
      <alignment horizontal="right" vertical="center" wrapText="1"/>
    </xf>
    <xf numFmtId="2" fontId="26" fillId="10" borderId="16" xfId="9" applyNumberFormat="1" applyFont="1" applyBorder="1" applyAlignment="1" applyProtection="1">
      <alignment horizontal="center" vertical="center"/>
      <protection locked="0"/>
    </xf>
    <xf numFmtId="167" fontId="23" fillId="0" borderId="12" xfId="0" applyNumberFormat="1" applyFont="1" applyBorder="1" applyAlignment="1" applyProtection="1">
      <alignment vertical="center"/>
    </xf>
    <xf numFmtId="0" fontId="21" fillId="0" borderId="13" xfId="4" applyFont="1" applyBorder="1" applyAlignment="1" applyProtection="1">
      <alignment horizontal="left" vertical="top" wrapText="1"/>
    </xf>
    <xf numFmtId="0" fontId="21" fillId="0" borderId="343" xfId="14" applyFont="1" applyFill="1" applyBorder="1" applyAlignment="1" applyProtection="1">
      <alignment horizontal="left" vertical="top" wrapText="1"/>
    </xf>
    <xf numFmtId="0" fontId="23" fillId="0" borderId="0" xfId="0" applyFont="1" applyBorder="1" applyAlignment="1">
      <alignment horizontal="left" vertical="center" wrapText="1"/>
    </xf>
    <xf numFmtId="0" fontId="32" fillId="0" borderId="0" xfId="0" applyFont="1" applyBorder="1" applyAlignment="1">
      <alignment horizontal="center" vertical="center" wrapText="1"/>
    </xf>
    <xf numFmtId="0" fontId="13" fillId="0" borderId="79" xfId="0" applyFont="1" applyBorder="1" applyAlignment="1" applyProtection="1">
      <alignment horizontal="center" vertical="center" wrapText="1"/>
    </xf>
    <xf numFmtId="0" fontId="13" fillId="0" borderId="488" xfId="0" applyFont="1" applyBorder="1" applyAlignment="1" applyProtection="1">
      <alignment horizontal="center" vertical="center" wrapText="1"/>
    </xf>
    <xf numFmtId="0" fontId="0" fillId="0" borderId="0" xfId="0" applyBorder="1" applyProtection="1"/>
    <xf numFmtId="0" fontId="0" fillId="0" borderId="89" xfId="0" applyBorder="1" applyProtection="1"/>
    <xf numFmtId="0" fontId="23" fillId="0" borderId="0" xfId="0" applyFont="1" applyBorder="1" applyAlignment="1" applyProtection="1">
      <alignment vertical="top"/>
    </xf>
    <xf numFmtId="0" fontId="23" fillId="9" borderId="14" xfId="8" applyBorder="1" applyProtection="1">
      <alignment horizontal="left" vertical="top" wrapText="1"/>
    </xf>
    <xf numFmtId="0" fontId="23" fillId="0" borderId="0" xfId="0" applyFont="1" applyBorder="1" applyAlignment="1" applyProtection="1">
      <alignment horizontal="center" vertical="top"/>
    </xf>
    <xf numFmtId="0" fontId="14" fillId="0" borderId="76" xfId="4" applyFont="1" applyBorder="1" applyAlignment="1">
      <alignment horizontal="center" vertical="center"/>
    </xf>
    <xf numFmtId="0" fontId="32" fillId="0" borderId="76" xfId="0" applyFont="1" applyBorder="1" applyAlignment="1">
      <alignment horizontal="center" vertical="center" wrapText="1"/>
    </xf>
    <xf numFmtId="0" fontId="32" fillId="0" borderId="77" xfId="0" applyFont="1" applyBorder="1" applyAlignment="1">
      <alignment horizontal="center" vertical="center" wrapText="1"/>
    </xf>
    <xf numFmtId="0" fontId="30" fillId="0" borderId="362" xfId="0" applyFont="1" applyBorder="1" applyAlignment="1">
      <alignment horizontal="center" vertical="center" wrapText="1"/>
    </xf>
    <xf numFmtId="0" fontId="13" fillId="0" borderId="34" xfId="0" applyFont="1" applyBorder="1" applyAlignment="1" applyProtection="1">
      <alignment horizontal="right" vertical="center" wrapText="1"/>
    </xf>
    <xf numFmtId="167" fontId="23" fillId="0" borderId="0" xfId="0" applyNumberFormat="1" applyFont="1" applyBorder="1" applyAlignment="1">
      <alignment horizontal="center" vertical="top" wrapText="1"/>
    </xf>
    <xf numFmtId="167" fontId="23" fillId="0" borderId="26" xfId="0" applyNumberFormat="1" applyFont="1" applyBorder="1" applyAlignment="1">
      <alignment horizontal="center" vertical="top" wrapText="1"/>
    </xf>
    <xf numFmtId="0" fontId="23" fillId="0" borderId="0" xfId="0" applyFont="1" applyBorder="1" applyAlignment="1">
      <alignment horizontal="center" vertical="top" wrapText="1"/>
    </xf>
    <xf numFmtId="167" fontId="23" fillId="0" borderId="18" xfId="0" applyNumberFormat="1" applyFont="1" applyBorder="1" applyAlignment="1">
      <alignment horizontal="center" vertical="top" wrapText="1"/>
    </xf>
    <xf numFmtId="0" fontId="23" fillId="0" borderId="12" xfId="0" applyFont="1" applyBorder="1" applyAlignment="1">
      <alignment horizontal="left" vertical="top" wrapText="1"/>
    </xf>
    <xf numFmtId="0" fontId="13" fillId="0" borderId="0" xfId="0" applyFont="1" applyBorder="1" applyAlignment="1">
      <alignment horizontal="center" vertical="center" wrapText="1"/>
    </xf>
    <xf numFmtId="0" fontId="23" fillId="0" borderId="0" xfId="0" applyFont="1" applyBorder="1"/>
    <xf numFmtId="0" fontId="21" fillId="0" borderId="0" xfId="4" applyNumberFormat="1" applyFont="1" applyFill="1" applyBorder="1" applyAlignment="1">
      <alignment vertical="top" wrapText="1"/>
    </xf>
    <xf numFmtId="0" fontId="0" fillId="0" borderId="0" xfId="0" applyBorder="1"/>
    <xf numFmtId="0" fontId="30" fillId="0" borderId="13" xfId="0" applyFont="1" applyBorder="1" applyAlignment="1" applyProtection="1">
      <alignment horizontal="center" vertical="center" wrapText="1"/>
      <protection locked="0"/>
    </xf>
    <xf numFmtId="0" fontId="13" fillId="0" borderId="18" xfId="0" applyFont="1" applyBorder="1" applyAlignment="1">
      <alignment horizontal="center" vertical="center" wrapText="1"/>
    </xf>
    <xf numFmtId="0" fontId="13" fillId="0" borderId="26" xfId="0" applyFont="1" applyBorder="1" applyAlignment="1">
      <alignment horizontal="center" vertical="center" wrapText="1"/>
    </xf>
    <xf numFmtId="0" fontId="23" fillId="0" borderId="0" xfId="0" applyFont="1" applyBorder="1" applyAlignment="1">
      <alignment horizontal="left" vertical="top" wrapText="1"/>
    </xf>
    <xf numFmtId="0" fontId="21" fillId="0" borderId="34" xfId="12" applyFill="1" applyBorder="1" applyProtection="1">
      <alignment horizontal="left" vertical="top" wrapText="1"/>
    </xf>
    <xf numFmtId="0" fontId="13" fillId="0" borderId="34" xfId="0" applyFont="1" applyBorder="1" applyAlignment="1">
      <alignment horizontal="center" vertical="center" wrapText="1"/>
    </xf>
    <xf numFmtId="167" fontId="23" fillId="0" borderId="18" xfId="0" applyNumberFormat="1" applyFont="1" applyBorder="1" applyAlignment="1">
      <alignment horizontal="center" vertical="top"/>
    </xf>
    <xf numFmtId="0" fontId="13" fillId="0" borderId="0" xfId="0" applyFont="1" applyBorder="1" applyAlignment="1" applyProtection="1">
      <alignment horizontal="center" vertical="center" wrapText="1"/>
    </xf>
    <xf numFmtId="0" fontId="23" fillId="0" borderId="39" xfId="0" applyFont="1" applyBorder="1" applyAlignment="1">
      <alignment horizontal="left" vertical="top"/>
    </xf>
    <xf numFmtId="0" fontId="23" fillId="0" borderId="34" xfId="0" applyFont="1" applyBorder="1" applyAlignment="1">
      <alignment horizontal="center" vertical="top"/>
    </xf>
    <xf numFmtId="0" fontId="23" fillId="0" borderId="0" xfId="0" applyFont="1" applyBorder="1" applyAlignment="1">
      <alignment horizontal="center" vertical="top"/>
    </xf>
    <xf numFmtId="0" fontId="21" fillId="0" borderId="0" xfId="12" applyFill="1" applyBorder="1" applyProtection="1">
      <alignment horizontal="left" vertical="top" wrapText="1"/>
    </xf>
    <xf numFmtId="0" fontId="23" fillId="0" borderId="69" xfId="0" applyFont="1" applyBorder="1" applyAlignment="1">
      <alignment horizontal="center" vertical="top" wrapText="1"/>
    </xf>
    <xf numFmtId="0" fontId="23" fillId="0" borderId="39" xfId="0" applyFont="1" applyBorder="1" applyAlignment="1">
      <alignment horizontal="left" vertical="top" wrapText="1"/>
    </xf>
    <xf numFmtId="0" fontId="23" fillId="0" borderId="34" xfId="0" applyFont="1" applyBorder="1" applyAlignment="1">
      <alignment horizontal="center" vertical="top" wrapText="1"/>
    </xf>
    <xf numFmtId="0" fontId="13" fillId="15" borderId="120" xfId="15" applyBorder="1">
      <alignment horizontal="center" vertical="center"/>
    </xf>
    <xf numFmtId="0" fontId="0" fillId="0" borderId="12" xfId="0" applyFont="1" applyBorder="1"/>
    <xf numFmtId="167" fontId="23" fillId="0" borderId="0" xfId="0" applyNumberFormat="1" applyFont="1" applyBorder="1" applyAlignment="1">
      <alignment horizontal="center" vertical="top"/>
    </xf>
    <xf numFmtId="0" fontId="13" fillId="15" borderId="364" xfId="15" applyBorder="1">
      <alignment horizontal="center" vertical="center"/>
    </xf>
    <xf numFmtId="1" fontId="26" fillId="10" borderId="15" xfId="9" applyBorder="1" applyProtection="1">
      <alignment horizontal="center" vertical="center"/>
      <protection locked="0"/>
    </xf>
    <xf numFmtId="0" fontId="0" fillId="0" borderId="32" xfId="0" applyBorder="1"/>
    <xf numFmtId="0" fontId="0" fillId="0" borderId="34" xfId="0" applyBorder="1" applyProtection="1"/>
    <xf numFmtId="49" fontId="54" fillId="0" borderId="26" xfId="16" applyBorder="1">
      <alignment horizontal="center" vertical="center" wrapText="1"/>
    </xf>
    <xf numFmtId="1" fontId="26" fillId="10" borderId="16" xfId="9" applyBorder="1" applyProtection="1">
      <alignment horizontal="center" vertical="center"/>
      <protection locked="0"/>
    </xf>
    <xf numFmtId="0" fontId="0" fillId="0" borderId="0" xfId="0" applyBorder="1" applyProtection="1"/>
    <xf numFmtId="0" fontId="0" fillId="0" borderId="18" xfId="0" applyBorder="1"/>
    <xf numFmtId="0" fontId="13" fillId="0" borderId="27" xfId="0" applyFont="1" applyBorder="1" applyAlignment="1" applyProtection="1">
      <alignment horizontal="center" vertical="center" wrapText="1"/>
    </xf>
    <xf numFmtId="0" fontId="15" fillId="0" borderId="13" xfId="0" applyFont="1" applyBorder="1" applyAlignment="1" applyProtection="1">
      <alignment horizontal="center" vertical="center" wrapText="1"/>
      <protection locked="0"/>
    </xf>
    <xf numFmtId="0" fontId="23" fillId="0" borderId="12" xfId="0" applyFont="1" applyBorder="1" applyAlignment="1" applyProtection="1">
      <alignment horizontal="left" vertical="top" wrapText="1"/>
    </xf>
    <xf numFmtId="0" fontId="13" fillId="0" borderId="18" xfId="0" applyFont="1" applyBorder="1" applyAlignment="1" applyProtection="1">
      <alignment horizontal="center" vertical="center" wrapText="1"/>
    </xf>
    <xf numFmtId="167" fontId="23" fillId="0" borderId="69" xfId="0" applyNumberFormat="1" applyFont="1" applyBorder="1" applyAlignment="1">
      <alignment horizontal="center" vertical="top" wrapText="1"/>
    </xf>
    <xf numFmtId="0" fontId="21" fillId="0" borderId="0" xfId="4" applyNumberFormat="1" applyFont="1" applyFill="1" applyBorder="1" applyAlignment="1">
      <alignment horizontal="center" vertical="top" wrapText="1"/>
    </xf>
    <xf numFmtId="0" fontId="23" fillId="0" borderId="0" xfId="0" applyFont="1" applyBorder="1" applyAlignment="1" applyProtection="1">
      <alignment horizontal="center" vertical="top" wrapText="1"/>
    </xf>
    <xf numFmtId="0" fontId="13" fillId="0" borderId="67" xfId="0" applyFont="1" applyBorder="1" applyAlignment="1" applyProtection="1">
      <alignment horizontal="center" vertical="center" wrapText="1"/>
    </xf>
    <xf numFmtId="0" fontId="0" fillId="0" borderId="0" xfId="0" applyFont="1" applyBorder="1"/>
    <xf numFmtId="167" fontId="23" fillId="0" borderId="18" xfId="0" applyNumberFormat="1" applyFont="1" applyBorder="1" applyAlignment="1" applyProtection="1">
      <alignment horizontal="center" vertical="top"/>
    </xf>
    <xf numFmtId="167" fontId="23" fillId="0" borderId="26" xfId="0" applyNumberFormat="1" applyFont="1" applyBorder="1" applyAlignment="1" applyProtection="1">
      <alignment horizontal="center" vertical="top"/>
    </xf>
    <xf numFmtId="166" fontId="23" fillId="0" borderId="12" xfId="0" applyNumberFormat="1" applyFont="1" applyBorder="1" applyAlignment="1">
      <alignment horizontal="left" vertical="top"/>
    </xf>
    <xf numFmtId="0" fontId="21" fillId="0" borderId="32" xfId="4" applyNumberFormat="1" applyFont="1" applyFill="1" applyBorder="1" applyAlignment="1">
      <alignment vertical="top" wrapText="1"/>
    </xf>
    <xf numFmtId="0" fontId="0" fillId="0" borderId="104" xfId="0" applyFont="1" applyBorder="1"/>
    <xf numFmtId="0" fontId="23" fillId="0" borderId="401" xfId="0" applyFont="1" applyBorder="1" applyAlignment="1" applyProtection="1">
      <alignment horizontal="center" vertical="center" wrapText="1"/>
    </xf>
    <xf numFmtId="2" fontId="0" fillId="0" borderId="0" xfId="0" applyNumberFormat="1" applyFont="1"/>
    <xf numFmtId="1" fontId="21" fillId="0" borderId="401" xfId="0" applyNumberFormat="1" applyFont="1" applyBorder="1" applyAlignment="1" applyProtection="1">
      <alignment horizontal="center" vertical="center" wrapText="1"/>
    </xf>
    <xf numFmtId="1" fontId="21" fillId="0" borderId="632" xfId="0" applyNumberFormat="1" applyFont="1" applyBorder="1" applyAlignment="1" applyProtection="1">
      <alignment horizontal="center" vertical="center" wrapText="1"/>
    </xf>
    <xf numFmtId="0" fontId="22" fillId="3" borderId="240" xfId="0" applyFont="1" applyFill="1" applyBorder="1" applyAlignment="1" applyProtection="1">
      <alignment horizontal="center" vertical="center" wrapText="1"/>
    </xf>
    <xf numFmtId="0" fontId="22" fillId="0" borderId="227" xfId="0" applyFont="1" applyBorder="1" applyAlignment="1" applyProtection="1">
      <alignment horizontal="left" wrapText="1" indent="4"/>
    </xf>
    <xf numFmtId="0" fontId="22" fillId="35" borderId="401" xfId="0" applyFont="1" applyFill="1" applyBorder="1" applyAlignment="1" applyProtection="1">
      <alignment horizontal="center" vertical="center" wrapText="1" shrinkToFit="1"/>
    </xf>
    <xf numFmtId="1" fontId="21" fillId="35" borderId="401" xfId="0" applyNumberFormat="1" applyFont="1" applyFill="1" applyBorder="1" applyAlignment="1" applyProtection="1">
      <alignment horizontal="center" vertical="center"/>
    </xf>
    <xf numFmtId="0" fontId="22" fillId="0" borderId="228" xfId="0" applyFont="1" applyBorder="1" applyAlignment="1" applyProtection="1">
      <alignment horizontal="center" vertical="center" wrapText="1" shrinkToFit="1"/>
    </xf>
    <xf numFmtId="1" fontId="21" fillId="0" borderId="228" xfId="0" applyNumberFormat="1" applyFont="1" applyBorder="1" applyAlignment="1" applyProtection="1">
      <alignment horizontal="center" vertical="center"/>
    </xf>
    <xf numFmtId="0" fontId="22" fillId="0" borderId="401" xfId="0" applyFont="1" applyBorder="1" applyAlignment="1" applyProtection="1">
      <alignment horizontal="center" vertical="center" wrapText="1" shrinkToFit="1"/>
    </xf>
    <xf numFmtId="1" fontId="21" fillId="0" borderId="401" xfId="0" applyNumberFormat="1" applyFont="1" applyBorder="1" applyAlignment="1" applyProtection="1">
      <alignment horizontal="center" vertical="center"/>
    </xf>
    <xf numFmtId="0" fontId="22" fillId="0" borderId="239" xfId="0" applyFont="1" applyBorder="1" applyAlignment="1" applyProtection="1">
      <alignment horizontal="left" vertical="top" wrapText="1" indent="8"/>
    </xf>
    <xf numFmtId="0" fontId="22" fillId="0" borderId="225" xfId="0" applyFont="1" applyBorder="1" applyAlignment="1" applyProtection="1">
      <alignment horizontal="left" vertical="top" wrapText="1" indent="12"/>
    </xf>
    <xf numFmtId="0" fontId="22" fillId="35" borderId="240" xfId="0" applyFont="1" applyFill="1" applyBorder="1" applyAlignment="1" applyProtection="1">
      <alignment horizontal="center" vertical="center" wrapText="1" shrinkToFit="1"/>
    </xf>
    <xf numFmtId="1" fontId="21" fillId="35" borderId="240" xfId="0" applyNumberFormat="1" applyFont="1" applyFill="1" applyBorder="1" applyAlignment="1" applyProtection="1">
      <alignment horizontal="center" vertical="center"/>
    </xf>
    <xf numFmtId="0" fontId="22" fillId="0" borderId="401" xfId="0" applyFont="1" applyBorder="1" applyAlignment="1" applyProtection="1">
      <alignment horizontal="center" vertical="center" wrapText="1"/>
    </xf>
    <xf numFmtId="1" fontId="21" fillId="35" borderId="401" xfId="0" applyNumberFormat="1" applyFont="1" applyFill="1" applyBorder="1" applyAlignment="1" applyProtection="1">
      <alignment horizontal="center" vertical="center" wrapText="1"/>
    </xf>
    <xf numFmtId="0" fontId="22" fillId="0" borderId="255" xfId="0" applyFont="1" applyBorder="1" applyAlignment="1" applyProtection="1">
      <alignment horizontal="left" vertical="top" wrapText="1" indent="4"/>
    </xf>
    <xf numFmtId="0" fontId="22" fillId="0" borderId="223" xfId="0" applyFont="1" applyBorder="1" applyAlignment="1" applyProtection="1">
      <alignment horizontal="center" vertical="center"/>
    </xf>
    <xf numFmtId="0" fontId="23" fillId="0" borderId="108" xfId="0" applyFont="1" applyBorder="1" applyAlignment="1">
      <alignment horizontal="center" vertical="top" wrapText="1"/>
    </xf>
    <xf numFmtId="0" fontId="13" fillId="0" borderId="633" xfId="0" applyFont="1" applyBorder="1" applyAlignment="1">
      <alignment horizontal="center" vertical="center" wrapText="1"/>
    </xf>
    <xf numFmtId="1" fontId="22" fillId="10" borderId="114" xfId="9" applyFont="1" applyBorder="1" applyProtection="1">
      <alignment horizontal="center" vertical="center"/>
      <protection locked="0"/>
    </xf>
    <xf numFmtId="0" fontId="30" fillId="0" borderId="109" xfId="0" applyFont="1" applyBorder="1" applyAlignment="1" applyProtection="1">
      <alignment horizontal="center" vertical="center" wrapText="1"/>
      <protection locked="0"/>
    </xf>
    <xf numFmtId="0" fontId="22" fillId="3" borderId="401" xfId="0" applyFont="1" applyFill="1" applyBorder="1" applyAlignment="1" applyProtection="1">
      <alignment horizontal="center" vertical="center"/>
    </xf>
    <xf numFmtId="0" fontId="21" fillId="3" borderId="401" xfId="0" applyFont="1" applyFill="1" applyBorder="1" applyAlignment="1" applyProtection="1">
      <alignment horizontal="center" vertical="center"/>
    </xf>
    <xf numFmtId="0" fontId="22" fillId="35" borderId="401" xfId="0" applyFont="1" applyFill="1" applyBorder="1" applyAlignment="1" applyProtection="1">
      <alignment horizontal="center" vertical="center"/>
    </xf>
    <xf numFmtId="0" fontId="21" fillId="35" borderId="401" xfId="0" applyFont="1" applyFill="1" applyBorder="1" applyAlignment="1" applyProtection="1">
      <alignment horizontal="center" vertical="center"/>
    </xf>
    <xf numFmtId="0" fontId="22" fillId="35" borderId="228" xfId="0" applyFont="1" applyFill="1" applyBorder="1" applyAlignment="1" applyProtection="1">
      <alignment horizontal="center" vertical="center"/>
    </xf>
    <xf numFmtId="1" fontId="21" fillId="35" borderId="228" xfId="0" applyNumberFormat="1" applyFont="1" applyFill="1" applyBorder="1" applyAlignment="1" applyProtection="1">
      <alignment horizontal="center" vertical="center" wrapText="1"/>
    </xf>
    <xf numFmtId="1" fontId="21" fillId="3" borderId="401" xfId="0" applyNumberFormat="1" applyFont="1" applyFill="1" applyBorder="1" applyAlignment="1" applyProtection="1">
      <alignment horizontal="center" vertical="center" wrapText="1"/>
    </xf>
    <xf numFmtId="0" fontId="22" fillId="3" borderId="240" xfId="0" applyFont="1" applyFill="1" applyBorder="1" applyAlignment="1" applyProtection="1">
      <alignment horizontal="center" vertical="center"/>
    </xf>
    <xf numFmtId="1" fontId="21" fillId="3" borderId="240" xfId="0" applyNumberFormat="1" applyFont="1" applyFill="1" applyBorder="1" applyAlignment="1" applyProtection="1">
      <alignment horizontal="center" vertical="center" wrapText="1"/>
    </xf>
    <xf numFmtId="0" fontId="22" fillId="3" borderId="228" xfId="0" applyFont="1" applyFill="1" applyBorder="1" applyAlignment="1" applyProtection="1">
      <alignment horizontal="center" vertical="center"/>
    </xf>
    <xf numFmtId="1" fontId="21" fillId="3" borderId="228" xfId="0" applyNumberFormat="1" applyFont="1" applyFill="1" applyBorder="1" applyAlignment="1" applyProtection="1">
      <alignment horizontal="center" vertical="center" wrapText="1"/>
    </xf>
    <xf numFmtId="0" fontId="22" fillId="0" borderId="227" xfId="0" applyFont="1" applyBorder="1" applyAlignment="1" applyProtection="1">
      <alignment horizontal="left" vertical="top" wrapText="1"/>
    </xf>
    <xf numFmtId="0" fontId="22" fillId="23" borderId="252" xfId="0" applyFont="1" applyFill="1" applyBorder="1" applyAlignment="1" applyProtection="1">
      <alignment vertical="top" wrapText="1"/>
    </xf>
    <xf numFmtId="0" fontId="22" fillId="3" borderId="225" xfId="0" applyFont="1" applyFill="1" applyBorder="1" applyAlignment="1" applyProtection="1">
      <alignment horizontal="left" vertical="top" wrapText="1" indent="4"/>
    </xf>
    <xf numFmtId="0" fontId="22" fillId="3" borderId="239" xfId="0" applyFont="1" applyFill="1" applyBorder="1" applyAlignment="1" applyProtection="1">
      <alignment horizontal="left" vertical="top" wrapText="1" indent="4"/>
    </xf>
    <xf numFmtId="0" fontId="22" fillId="3" borderId="401" xfId="0" applyFont="1" applyFill="1" applyBorder="1" applyAlignment="1" applyProtection="1">
      <alignment horizontal="center" vertical="center" wrapText="1"/>
    </xf>
    <xf numFmtId="0" fontId="21" fillId="3" borderId="401" xfId="0" applyFont="1" applyFill="1" applyBorder="1" applyAlignment="1" applyProtection="1">
      <alignment horizontal="center" vertical="top" wrapText="1"/>
    </xf>
    <xf numFmtId="0" fontId="21" fillId="3" borderId="240" xfId="0" applyFont="1" applyFill="1" applyBorder="1" applyAlignment="1" applyProtection="1">
      <alignment horizontal="center" vertical="top" wrapText="1"/>
    </xf>
    <xf numFmtId="0" fontId="21" fillId="3" borderId="223" xfId="0" applyFont="1" applyFill="1" applyBorder="1" applyAlignment="1" applyProtection="1">
      <alignment horizontal="center" vertical="center" wrapText="1"/>
    </xf>
    <xf numFmtId="0" fontId="22" fillId="0" borderId="225" xfId="0" applyFont="1" applyBorder="1" applyAlignment="1" applyProtection="1">
      <alignment horizontal="left" wrapText="1"/>
    </xf>
    <xf numFmtId="0" fontId="21" fillId="0" borderId="225" xfId="0" applyFont="1" applyBorder="1" applyAlignment="1" applyProtection="1">
      <alignment horizontal="left" vertical="top" wrapText="1" indent="8"/>
    </xf>
    <xf numFmtId="0" fontId="23" fillId="0" borderId="401" xfId="15" applyFont="1" applyFill="1" applyBorder="1" applyAlignment="1">
      <alignment horizontal="center" vertical="center" wrapText="1"/>
    </xf>
    <xf numFmtId="0" fontId="0" fillId="0" borderId="401" xfId="0" applyFont="1" applyBorder="1" applyAlignment="1">
      <alignment horizontal="center" vertical="center" wrapText="1"/>
    </xf>
    <xf numFmtId="1" fontId="27" fillId="3" borderId="425" xfId="9" applyFont="1" applyFill="1" applyBorder="1" applyAlignment="1" applyProtection="1">
      <alignment horizontal="center" vertical="center" wrapText="1"/>
    </xf>
    <xf numFmtId="1" fontId="27" fillId="3" borderId="36" xfId="9" applyFont="1" applyFill="1" applyBorder="1" applyAlignment="1" applyProtection="1">
      <alignment horizontal="center" vertical="center" wrapText="1"/>
    </xf>
    <xf numFmtId="1" fontId="22" fillId="0" borderId="401" xfId="0" applyNumberFormat="1" applyFont="1" applyBorder="1" applyAlignment="1" applyProtection="1">
      <alignment horizontal="center" vertical="center" wrapText="1"/>
    </xf>
    <xf numFmtId="0" fontId="23" fillId="0" borderId="488" xfId="0" applyFont="1" applyBorder="1" applyAlignment="1">
      <alignment horizontal="center" vertical="top"/>
    </xf>
    <xf numFmtId="0" fontId="23" fillId="0" borderId="488" xfId="0" applyFont="1" applyBorder="1" applyAlignment="1">
      <alignment horizontal="center" vertical="top" wrapText="1"/>
    </xf>
    <xf numFmtId="49" fontId="23" fillId="0" borderId="140" xfId="0" applyNumberFormat="1" applyFont="1" applyBorder="1" applyAlignment="1" applyProtection="1">
      <alignment horizontal="center" vertical="center" wrapText="1"/>
      <protection locked="0"/>
    </xf>
    <xf numFmtId="0" fontId="0" fillId="0" borderId="118" xfId="0" applyBorder="1"/>
    <xf numFmtId="0" fontId="21" fillId="0" borderId="223" xfId="0" applyFont="1" applyBorder="1" applyAlignment="1" applyProtection="1">
      <alignment horizontal="center" vertical="center" wrapText="1"/>
    </xf>
    <xf numFmtId="0" fontId="23" fillId="9" borderId="636" xfId="8" applyBorder="1">
      <alignment horizontal="left" vertical="top" wrapText="1"/>
    </xf>
    <xf numFmtId="0" fontId="22" fillId="0" borderId="401" xfId="0" applyFont="1" applyFill="1" applyBorder="1" applyAlignment="1" applyProtection="1">
      <alignment horizontal="center" vertical="center" wrapText="1"/>
    </xf>
    <xf numFmtId="0" fontId="21" fillId="23" borderId="401" xfId="0" applyFont="1" applyFill="1" applyBorder="1" applyAlignment="1" applyProtection="1">
      <alignment horizontal="left" vertical="top" wrapText="1" indent="4"/>
    </xf>
    <xf numFmtId="0" fontId="22" fillId="0" borderId="401" xfId="0" applyFont="1" applyBorder="1" applyAlignment="1" applyProtection="1">
      <alignment horizontal="center" vertical="center"/>
    </xf>
    <xf numFmtId="0" fontId="22" fillId="0" borderId="401" xfId="0" applyFont="1" applyFill="1" applyBorder="1" applyAlignment="1" applyProtection="1">
      <alignment horizontal="center" vertical="center"/>
    </xf>
    <xf numFmtId="1" fontId="21" fillId="0" borderId="401" xfId="0" applyNumberFormat="1" applyFont="1" applyFill="1" applyBorder="1" applyAlignment="1" applyProtection="1">
      <alignment horizontal="center" vertical="center" wrapText="1"/>
    </xf>
    <xf numFmtId="0" fontId="22" fillId="23" borderId="401" xfId="0" applyFont="1" applyFill="1" applyBorder="1" applyAlignment="1" applyProtection="1">
      <alignment horizontal="left" vertical="top" wrapText="1" indent="4"/>
    </xf>
    <xf numFmtId="0" fontId="21" fillId="23" borderId="401" xfId="0" applyFont="1" applyFill="1" applyBorder="1" applyAlignment="1" applyProtection="1">
      <alignment horizontal="left" indent="4"/>
    </xf>
    <xf numFmtId="0" fontId="13" fillId="0" borderId="231" xfId="0" applyFont="1" applyBorder="1" applyAlignment="1">
      <alignment wrapText="1"/>
    </xf>
    <xf numFmtId="0" fontId="13" fillId="0" borderId="225" xfId="0" applyFont="1" applyBorder="1" applyAlignment="1">
      <alignment horizontal="left" indent="4"/>
    </xf>
    <xf numFmtId="0" fontId="13" fillId="0" borderId="401" xfId="0" applyFont="1" applyBorder="1" applyAlignment="1">
      <alignment horizontal="center" vertical="center"/>
    </xf>
    <xf numFmtId="1" fontId="0" fillId="0" borderId="401" xfId="0" applyNumberFormat="1" applyFont="1" applyBorder="1" applyAlignment="1">
      <alignment horizontal="center" vertical="center"/>
    </xf>
    <xf numFmtId="0" fontId="13" fillId="0" borderId="227" xfId="0" applyFont="1" applyBorder="1" applyAlignment="1">
      <alignment horizontal="left" indent="4"/>
    </xf>
    <xf numFmtId="0" fontId="13" fillId="0" borderId="251" xfId="0" applyFont="1" applyBorder="1" applyAlignment="1">
      <alignment horizontal="left"/>
    </xf>
    <xf numFmtId="0" fontId="13" fillId="0" borderId="231" xfId="0" applyFont="1" applyFill="1" applyBorder="1" applyAlignment="1">
      <alignment horizontal="left" vertical="top" wrapText="1"/>
    </xf>
    <xf numFmtId="0" fontId="21" fillId="0" borderId="401" xfId="0" applyFont="1" applyBorder="1" applyAlignment="1" applyProtection="1">
      <alignment horizontal="center" vertical="center" wrapText="1"/>
    </xf>
    <xf numFmtId="0" fontId="90" fillId="3" borderId="225" xfId="6" applyFont="1" applyFill="1" applyBorder="1" applyAlignment="1" applyProtection="1">
      <alignment horizontal="left" vertical="top" wrapText="1"/>
    </xf>
    <xf numFmtId="0" fontId="90" fillId="3" borderId="645" xfId="6" applyFont="1" applyFill="1" applyBorder="1" applyAlignment="1" applyProtection="1">
      <alignment horizontal="left" vertical="top" wrapText="1"/>
    </xf>
    <xf numFmtId="0" fontId="90" fillId="3" borderId="647" xfId="6" applyFont="1" applyFill="1" applyBorder="1" applyAlignment="1" applyProtection="1">
      <alignment horizontal="left" vertical="top" wrapText="1"/>
    </xf>
    <xf numFmtId="0" fontId="90" fillId="3" borderId="649" xfId="6" applyFont="1" applyFill="1" applyBorder="1" applyAlignment="1" applyProtection="1">
      <alignment horizontal="left" vertical="top" wrapText="1"/>
    </xf>
    <xf numFmtId="0" fontId="90" fillId="3" borderId="651" xfId="6" applyFont="1" applyFill="1" applyBorder="1" applyAlignment="1" applyProtection="1">
      <alignment horizontal="left" vertical="top" wrapText="1"/>
    </xf>
    <xf numFmtId="0" fontId="90" fillId="3" borderId="652" xfId="6" applyFont="1" applyFill="1" applyBorder="1" applyAlignment="1" applyProtection="1">
      <alignment horizontal="left" vertical="top" wrapText="1"/>
    </xf>
    <xf numFmtId="0" fontId="90" fillId="3" borderId="651" xfId="6" applyFont="1" applyFill="1" applyBorder="1" applyAlignment="1" applyProtection="1">
      <alignment horizontal="left" vertical="top" wrapText="1" indent="4"/>
    </xf>
    <xf numFmtId="0" fontId="90" fillId="3" borderId="652" xfId="6" applyFont="1" applyFill="1" applyBorder="1" applyAlignment="1" applyProtection="1">
      <alignment horizontal="left" vertical="top" wrapText="1" indent="4"/>
    </xf>
    <xf numFmtId="0" fontId="90" fillId="0" borderId="653" xfId="6" applyFont="1" applyFill="1" applyBorder="1" applyAlignment="1" applyProtection="1">
      <alignment horizontal="left" vertical="top" wrapText="1"/>
    </xf>
    <xf numFmtId="0" fontId="90" fillId="0" borderId="649" xfId="6" applyFont="1" applyFill="1" applyBorder="1" applyAlignment="1" applyProtection="1">
      <alignment horizontal="left" vertical="top" wrapText="1"/>
    </xf>
    <xf numFmtId="0" fontId="90" fillId="0" borderId="651" xfId="6" applyFont="1" applyFill="1" applyBorder="1" applyAlignment="1" applyProtection="1">
      <alignment horizontal="left" vertical="top" wrapText="1" indent="4"/>
    </xf>
    <xf numFmtId="0" fontId="90" fillId="0" borderId="652" xfId="6" applyFont="1" applyFill="1" applyBorder="1" applyAlignment="1" applyProtection="1">
      <alignment horizontal="left" vertical="top" wrapText="1" indent="4"/>
    </xf>
    <xf numFmtId="0" fontId="90" fillId="0" borderId="657" xfId="6" applyFont="1" applyFill="1" applyBorder="1" applyAlignment="1" applyProtection="1">
      <alignment horizontal="left" vertical="top" wrapText="1"/>
    </xf>
    <xf numFmtId="0" fontId="90" fillId="0" borderId="659" xfId="6" applyFont="1" applyFill="1" applyBorder="1" applyAlignment="1" applyProtection="1">
      <alignment horizontal="left" vertical="top" wrapText="1"/>
    </xf>
    <xf numFmtId="1" fontId="21" fillId="13" borderId="401" xfId="0" applyNumberFormat="1" applyFont="1" applyFill="1" applyBorder="1" applyAlignment="1" applyProtection="1">
      <alignment horizontal="center" vertical="center" wrapText="1"/>
    </xf>
    <xf numFmtId="0" fontId="22" fillId="35" borderId="401" xfId="0" applyFont="1" applyFill="1" applyBorder="1" applyAlignment="1" applyProtection="1">
      <alignment horizontal="center" vertical="center" wrapText="1"/>
    </xf>
    <xf numFmtId="0" fontId="22" fillId="23" borderId="401" xfId="0" applyFont="1" applyFill="1" applyBorder="1" applyAlignment="1" applyProtection="1">
      <alignment vertical="top" wrapText="1"/>
    </xf>
    <xf numFmtId="0" fontId="21" fillId="0" borderId="401" xfId="0" applyFont="1" applyFill="1" applyBorder="1" applyAlignment="1" applyProtection="1">
      <alignment horizontal="center" vertical="center" wrapText="1"/>
    </xf>
    <xf numFmtId="0" fontId="22" fillId="23" borderId="401" xfId="0" applyFont="1" applyFill="1" applyBorder="1" applyAlignment="1" applyProtection="1">
      <alignment horizontal="left" vertical="top" indent="2"/>
    </xf>
    <xf numFmtId="1" fontId="21" fillId="0" borderId="401" xfId="0" applyNumberFormat="1" applyFont="1" applyFill="1" applyBorder="1" applyAlignment="1" applyProtection="1">
      <alignment horizontal="center" vertical="center"/>
    </xf>
    <xf numFmtId="0" fontId="22" fillId="23" borderId="401" xfId="0" applyFont="1" applyFill="1" applyBorder="1" applyAlignment="1" applyProtection="1">
      <alignment horizontal="left" vertical="top" wrapText="1" indent="2"/>
    </xf>
    <xf numFmtId="1" fontId="21" fillId="23" borderId="401" xfId="0" applyNumberFormat="1" applyFont="1" applyFill="1" applyBorder="1" applyAlignment="1" applyProtection="1">
      <alignment horizontal="center" vertical="center" wrapText="1"/>
    </xf>
    <xf numFmtId="1" fontId="16" fillId="0" borderId="401" xfId="0" applyNumberFormat="1" applyFont="1" applyBorder="1" applyAlignment="1" applyProtection="1">
      <alignment horizontal="center" vertical="center" wrapText="1"/>
    </xf>
    <xf numFmtId="0" fontId="22" fillId="23" borderId="401" xfId="0" applyFont="1" applyFill="1" applyBorder="1" applyAlignment="1" applyProtection="1">
      <alignment horizontal="left" wrapText="1" indent="2"/>
    </xf>
    <xf numFmtId="0" fontId="22" fillId="23" borderId="401" xfId="0" applyFont="1" applyFill="1" applyBorder="1" applyAlignment="1" applyProtection="1">
      <alignment horizontal="center" vertical="center" wrapText="1"/>
    </xf>
    <xf numFmtId="0" fontId="21" fillId="23" borderId="401" xfId="0" applyFont="1" applyFill="1" applyBorder="1" applyAlignment="1" applyProtection="1">
      <alignment horizontal="center" vertical="center" wrapText="1"/>
    </xf>
    <xf numFmtId="0" fontId="21" fillId="23" borderId="401" xfId="0" applyFont="1" applyFill="1" applyBorder="1" applyAlignment="1" applyProtection="1">
      <alignment horizontal="left" wrapText="1" indent="2"/>
    </xf>
    <xf numFmtId="0" fontId="22" fillId="0" borderId="401" xfId="0" applyNumberFormat="1" applyFont="1" applyBorder="1" applyAlignment="1" applyProtection="1">
      <alignment horizontal="center" vertical="center" wrapText="1"/>
    </xf>
    <xf numFmtId="0" fontId="22" fillId="0" borderId="401" xfId="0" quotePrefix="1" applyFont="1" applyBorder="1" applyAlignment="1" applyProtection="1">
      <alignment horizontal="center" vertical="center" wrapText="1"/>
    </xf>
    <xf numFmtId="0" fontId="13" fillId="0" borderId="401" xfId="0" applyFont="1" applyBorder="1" applyAlignment="1" applyProtection="1">
      <alignment horizontal="center" vertical="center" wrapText="1"/>
    </xf>
    <xf numFmtId="0" fontId="21" fillId="0" borderId="401" xfId="1" applyNumberFormat="1" applyFont="1" applyBorder="1" applyAlignment="1" applyProtection="1">
      <alignment horizontal="center" vertical="center" wrapText="1"/>
    </xf>
    <xf numFmtId="0" fontId="21" fillId="0" borderId="401" xfId="0" applyNumberFormat="1" applyFont="1" applyBorder="1" applyAlignment="1" applyProtection="1">
      <alignment horizontal="center" vertical="center" wrapText="1"/>
    </xf>
    <xf numFmtId="167" fontId="23" fillId="0" borderId="86" xfId="0" applyNumberFormat="1" applyFont="1" applyBorder="1" applyAlignment="1">
      <alignment horizontal="center" vertical="top" wrapText="1"/>
    </xf>
    <xf numFmtId="0" fontId="23" fillId="0" borderId="83" xfId="0" applyFont="1" applyBorder="1" applyAlignment="1">
      <alignment horizontal="left" vertical="top" wrapText="1"/>
    </xf>
    <xf numFmtId="0" fontId="13" fillId="0" borderId="86" xfId="0" applyFont="1" applyBorder="1" applyAlignment="1">
      <alignment horizontal="center" vertical="center" wrapText="1"/>
    </xf>
    <xf numFmtId="49" fontId="30" fillId="0" borderId="13" xfId="0" applyNumberFormat="1" applyFont="1" applyBorder="1" applyAlignment="1" applyProtection="1">
      <alignment horizontal="center" vertical="center" wrapText="1"/>
      <protection locked="0"/>
    </xf>
    <xf numFmtId="0" fontId="13" fillId="15" borderId="120" xfId="15" applyBorder="1">
      <alignment horizontal="center" vertical="center"/>
    </xf>
    <xf numFmtId="0" fontId="23" fillId="0" borderId="12" xfId="0" applyFont="1" applyBorder="1" applyAlignment="1" applyProtection="1">
      <alignment horizontal="left" vertical="top" wrapText="1"/>
    </xf>
    <xf numFmtId="0" fontId="15" fillId="0" borderId="208" xfId="12" applyFont="1" applyFill="1" applyBorder="1" applyAlignment="1" applyProtection="1">
      <alignment horizontal="center" vertical="center" wrapText="1"/>
      <protection locked="0"/>
    </xf>
    <xf numFmtId="0" fontId="22" fillId="0" borderId="18" xfId="12" applyNumberFormat="1" applyFont="1" applyFill="1" applyBorder="1" applyAlignment="1" applyProtection="1">
      <alignment horizontal="center" vertical="center" wrapText="1"/>
    </xf>
    <xf numFmtId="0" fontId="13" fillId="0" borderId="24" xfId="0" applyFont="1" applyBorder="1" applyAlignment="1" applyProtection="1">
      <alignment horizontal="center" vertical="center" wrapText="1"/>
    </xf>
    <xf numFmtId="0" fontId="23" fillId="0" borderId="0" xfId="0" applyFont="1" applyBorder="1" applyAlignment="1" applyProtection="1">
      <alignment horizontal="center" vertical="top" wrapText="1"/>
    </xf>
    <xf numFmtId="0" fontId="21" fillId="0" borderId="227" xfId="0" applyFont="1" applyBorder="1" applyAlignment="1" applyProtection="1">
      <alignment horizontal="left" vertical="top" wrapText="1" indent="8"/>
    </xf>
    <xf numFmtId="0" fontId="21" fillId="0" borderId="401" xfId="0" applyNumberFormat="1" applyFont="1" applyFill="1" applyBorder="1" applyAlignment="1" applyProtection="1">
      <alignment horizontal="center" vertical="center" wrapText="1"/>
    </xf>
    <xf numFmtId="0" fontId="22" fillId="0" borderId="222" xfId="0" applyNumberFormat="1" applyFont="1" applyBorder="1" applyAlignment="1" applyProtection="1">
      <alignment horizontal="left" vertical="top" wrapText="1" indent="4"/>
    </xf>
    <xf numFmtId="1" fontId="21" fillId="3" borderId="232" xfId="0" applyNumberFormat="1" applyFont="1" applyFill="1" applyBorder="1" applyAlignment="1" applyProtection="1">
      <alignment horizontal="center" vertical="center" wrapText="1"/>
    </xf>
    <xf numFmtId="0" fontId="22" fillId="3" borderId="232" xfId="0" applyFont="1" applyFill="1" applyBorder="1" applyAlignment="1" applyProtection="1">
      <alignment horizontal="center" vertical="center" wrapText="1"/>
    </xf>
    <xf numFmtId="0" fontId="21" fillId="3" borderId="232" xfId="0" applyFont="1" applyFill="1" applyBorder="1" applyAlignment="1" applyProtection="1">
      <alignment horizontal="center" vertical="center" wrapText="1"/>
    </xf>
    <xf numFmtId="0" fontId="21" fillId="3" borderId="401" xfId="0" applyFont="1" applyFill="1" applyBorder="1" applyAlignment="1" applyProtection="1">
      <alignment horizontal="center" vertical="center" wrapText="1"/>
    </xf>
    <xf numFmtId="0" fontId="21" fillId="0" borderId="0" xfId="0" applyFont="1" applyBorder="1" applyAlignment="1" applyProtection="1">
      <alignment vertical="top" wrapText="1"/>
    </xf>
    <xf numFmtId="0" fontId="22" fillId="0" borderId="67" xfId="0" applyFont="1" applyBorder="1" applyAlignment="1" applyProtection="1">
      <alignment horizontal="center" vertical="center" wrapText="1"/>
    </xf>
    <xf numFmtId="0" fontId="23" fillId="0" borderId="67" xfId="0" applyFont="1" applyBorder="1" applyAlignment="1" applyProtection="1">
      <alignment horizontal="center" vertical="top"/>
    </xf>
    <xf numFmtId="0" fontId="23" fillId="0" borderId="0" xfId="0" applyFont="1"/>
    <xf numFmtId="0" fontId="23" fillId="0" borderId="342" xfId="0" applyFont="1" applyBorder="1" applyAlignment="1" applyProtection="1">
      <alignment vertical="top"/>
    </xf>
    <xf numFmtId="0" fontId="23" fillId="0" borderId="67" xfId="0" applyFont="1" applyBorder="1" applyAlignment="1" applyProtection="1">
      <alignment vertical="top"/>
    </xf>
    <xf numFmtId="0" fontId="21" fillId="23" borderId="232" xfId="0" applyFont="1" applyFill="1" applyBorder="1" applyAlignment="1" applyProtection="1">
      <alignment vertical="top" wrapText="1"/>
    </xf>
    <xf numFmtId="0" fontId="21" fillId="0" borderId="141" xfId="0" quotePrefix="1" applyFont="1" applyBorder="1" applyAlignment="1" applyProtection="1">
      <alignment horizontal="center" vertical="center" wrapText="1"/>
      <protection locked="0"/>
    </xf>
    <xf numFmtId="0" fontId="13" fillId="3" borderId="236" xfId="0" applyFont="1" applyFill="1" applyBorder="1" applyAlignment="1" applyProtection="1">
      <alignment horizontal="center" vertical="center" wrapText="1"/>
    </xf>
    <xf numFmtId="0" fontId="23" fillId="3" borderId="236" xfId="0" applyFont="1" applyFill="1" applyBorder="1" applyAlignment="1" applyProtection="1">
      <alignment horizontal="center" vertical="center" wrapText="1"/>
    </xf>
    <xf numFmtId="0" fontId="22" fillId="35" borderId="252" xfId="0" applyFont="1" applyFill="1" applyBorder="1" applyAlignment="1" applyProtection="1">
      <alignment horizontal="center" vertical="center" wrapText="1"/>
    </xf>
    <xf numFmtId="1" fontId="21" fillId="35" borderId="252" xfId="0" applyNumberFormat="1" applyFont="1" applyFill="1" applyBorder="1" applyAlignment="1" applyProtection="1">
      <alignment horizontal="center" vertical="center" wrapText="1"/>
    </xf>
    <xf numFmtId="0" fontId="106" fillId="0" borderId="101" xfId="6" applyFont="1" applyFill="1" applyBorder="1" applyProtection="1">
      <alignment horizontal="center" vertical="center" wrapText="1"/>
    </xf>
    <xf numFmtId="0" fontId="0" fillId="3" borderId="0" xfId="0" applyFont="1" applyFill="1" applyBorder="1" applyAlignment="1">
      <alignment horizontal="center" vertical="center"/>
    </xf>
    <xf numFmtId="0" fontId="23" fillId="42" borderId="579" xfId="6" applyFont="1" applyFill="1" applyBorder="1" applyProtection="1">
      <alignment horizontal="center" vertical="center" wrapText="1"/>
    </xf>
    <xf numFmtId="49" fontId="90" fillId="0" borderId="0" xfId="16" applyFont="1" applyBorder="1">
      <alignment horizontal="center" vertical="center" wrapText="1"/>
    </xf>
    <xf numFmtId="0" fontId="13" fillId="3" borderId="401" xfId="6" applyFont="1" applyFill="1" applyBorder="1" applyProtection="1">
      <alignment horizontal="center" vertical="center" wrapText="1"/>
    </xf>
    <xf numFmtId="0" fontId="22" fillId="0" borderId="239" xfId="0" applyFont="1" applyBorder="1" applyAlignment="1" applyProtection="1">
      <alignment horizontal="left" vertical="top" wrapText="1"/>
    </xf>
    <xf numFmtId="0" fontId="13" fillId="3" borderId="240" xfId="6" applyFont="1" applyFill="1" applyBorder="1" applyProtection="1">
      <alignment horizontal="center" vertical="center" wrapText="1"/>
    </xf>
    <xf numFmtId="0" fontId="13" fillId="35" borderId="252" xfId="6" applyFont="1" applyFill="1" applyBorder="1" applyProtection="1">
      <alignment horizontal="center" vertical="center" wrapText="1"/>
    </xf>
    <xf numFmtId="1" fontId="21" fillId="0" borderId="232" xfId="0" applyNumberFormat="1" applyFont="1" applyBorder="1" applyAlignment="1" applyProtection="1">
      <alignment horizontal="center" vertical="center" wrapText="1"/>
    </xf>
    <xf numFmtId="9" fontId="21" fillId="0" borderId="232" xfId="1" applyFont="1" applyBorder="1" applyAlignment="1" applyProtection="1">
      <alignment horizontal="center" vertical="center" wrapText="1"/>
    </xf>
    <xf numFmtId="0" fontId="21" fillId="0" borderId="222" xfId="0" applyFont="1" applyBorder="1" applyAlignment="1" applyProtection="1">
      <alignment vertical="top" wrapText="1"/>
    </xf>
    <xf numFmtId="0" fontId="21" fillId="0" borderId="227" xfId="0" applyFont="1" applyBorder="1" applyAlignment="1" applyProtection="1">
      <alignment vertical="top" wrapText="1"/>
    </xf>
    <xf numFmtId="0" fontId="22" fillId="35" borderId="223" xfId="0" applyFont="1" applyFill="1" applyBorder="1" applyAlignment="1" applyProtection="1">
      <alignment horizontal="center" vertical="center" wrapText="1"/>
    </xf>
    <xf numFmtId="1" fontId="21" fillId="35" borderId="223" xfId="0" applyNumberFormat="1" applyFont="1" applyFill="1" applyBorder="1" applyAlignment="1" applyProtection="1">
      <alignment horizontal="center" vertical="center" wrapText="1"/>
    </xf>
    <xf numFmtId="0" fontId="22" fillId="35" borderId="228" xfId="0" applyFont="1" applyFill="1" applyBorder="1" applyAlignment="1" applyProtection="1">
      <alignment horizontal="center" vertical="center" wrapText="1"/>
    </xf>
    <xf numFmtId="1" fontId="26" fillId="10" borderId="15" xfId="9" applyBorder="1" applyProtection="1">
      <alignment horizontal="center" vertical="center"/>
      <protection locked="0"/>
    </xf>
    <xf numFmtId="0" fontId="23" fillId="0" borderId="12" xfId="0" applyFont="1" applyBorder="1" applyAlignment="1" applyProtection="1">
      <alignment vertical="top"/>
    </xf>
    <xf numFmtId="0" fontId="23" fillId="0" borderId="0" xfId="0" applyFont="1" applyBorder="1" applyAlignment="1" applyProtection="1">
      <alignment vertical="top"/>
    </xf>
    <xf numFmtId="0" fontId="0" fillId="0" borderId="0" xfId="0" applyBorder="1" applyProtection="1"/>
    <xf numFmtId="0" fontId="23" fillId="9" borderId="14" xfId="8" applyBorder="1" applyProtection="1">
      <alignment horizontal="left" vertical="top" wrapText="1"/>
    </xf>
    <xf numFmtId="0" fontId="23" fillId="0" borderId="0" xfId="0" applyFont="1" applyBorder="1" applyAlignment="1" applyProtection="1">
      <alignment horizontal="center" vertical="top"/>
    </xf>
    <xf numFmtId="0" fontId="23" fillId="0" borderId="0" xfId="0" applyFont="1"/>
    <xf numFmtId="0" fontId="22" fillId="35" borderId="236" xfId="0" applyFont="1" applyFill="1" applyBorder="1" applyAlignment="1" applyProtection="1">
      <alignment horizontal="center" vertical="center" wrapText="1"/>
    </xf>
    <xf numFmtId="1" fontId="21" fillId="25" borderId="401" xfId="0" applyNumberFormat="1" applyFont="1" applyFill="1" applyBorder="1" applyAlignment="1" applyProtection="1">
      <alignment horizontal="center" vertical="center" wrapText="1"/>
    </xf>
    <xf numFmtId="0" fontId="21" fillId="0" borderId="239" xfId="0" applyFont="1" applyBorder="1" applyAlignment="1" applyProtection="1">
      <alignment horizontal="left" vertical="top" wrapText="1" indent="4"/>
    </xf>
    <xf numFmtId="1" fontId="21" fillId="25" borderId="240" xfId="0" applyNumberFormat="1" applyFont="1" applyFill="1" applyBorder="1" applyAlignment="1" applyProtection="1">
      <alignment horizontal="center" vertical="center" wrapText="1"/>
    </xf>
    <xf numFmtId="0" fontId="22" fillId="0" borderId="235" xfId="0" applyFont="1" applyBorder="1" applyAlignment="1" applyProtection="1">
      <alignment vertical="center" wrapText="1"/>
    </xf>
    <xf numFmtId="0" fontId="14" fillId="0" borderId="401" xfId="4" applyNumberFormat="1" applyFont="1" applyBorder="1" applyAlignment="1">
      <alignment horizontal="center" vertical="center" wrapText="1"/>
    </xf>
    <xf numFmtId="1" fontId="0" fillId="0" borderId="223" xfId="0" applyNumberFormat="1" applyBorder="1" applyAlignment="1">
      <alignment wrapText="1"/>
    </xf>
    <xf numFmtId="1" fontId="0" fillId="0" borderId="32" xfId="0" applyNumberFormat="1" applyBorder="1" applyAlignment="1">
      <alignment wrapText="1"/>
    </xf>
    <xf numFmtId="1" fontId="0" fillId="0" borderId="240" xfId="0" applyNumberFormat="1" applyBorder="1" applyAlignment="1">
      <alignment wrapText="1"/>
    </xf>
    <xf numFmtId="0" fontId="14" fillId="35" borderId="0" xfId="4" applyNumberFormat="1" applyFont="1" applyFill="1" applyBorder="1" applyAlignment="1">
      <alignment horizontal="center" vertical="center" wrapText="1"/>
    </xf>
    <xf numFmtId="0" fontId="22" fillId="0" borderId="401" xfId="4" applyNumberFormat="1" applyFont="1" applyBorder="1" applyAlignment="1">
      <alignment horizontal="center" vertical="center" wrapText="1"/>
    </xf>
    <xf numFmtId="0" fontId="14" fillId="3" borderId="0" xfId="4" applyNumberFormat="1" applyFont="1" applyFill="1" applyBorder="1" applyAlignment="1">
      <alignment horizontal="center" vertical="center" wrapText="1"/>
    </xf>
    <xf numFmtId="1" fontId="21" fillId="3" borderId="236" xfId="0" applyNumberFormat="1" applyFont="1" applyFill="1" applyBorder="1" applyAlignment="1" applyProtection="1">
      <alignment horizontal="center" vertical="center" wrapText="1"/>
    </xf>
    <xf numFmtId="0" fontId="13" fillId="43" borderId="393" xfId="15" applyFill="1" applyBorder="1">
      <alignment horizontal="center" vertical="center"/>
    </xf>
    <xf numFmtId="0" fontId="14" fillId="35" borderId="401" xfId="4" applyNumberFormat="1" applyFont="1" applyFill="1" applyBorder="1" applyAlignment="1">
      <alignment horizontal="center" vertical="center" wrapText="1"/>
    </xf>
    <xf numFmtId="1" fontId="21" fillId="0" borderId="248" xfId="0" applyNumberFormat="1" applyFont="1" applyFill="1" applyBorder="1" applyAlignment="1" applyProtection="1">
      <alignment horizontal="center" vertical="center" wrapText="1"/>
    </xf>
    <xf numFmtId="1" fontId="21" fillId="0" borderId="240" xfId="0" applyNumberFormat="1" applyFont="1" applyFill="1" applyBorder="1" applyAlignment="1" applyProtection="1">
      <alignment horizontal="center" vertical="center" wrapText="1"/>
    </xf>
    <xf numFmtId="1" fontId="21" fillId="42" borderId="401" xfId="0" applyNumberFormat="1" applyFont="1" applyFill="1" applyBorder="1" applyAlignment="1" applyProtection="1">
      <alignment horizontal="center" vertical="center" wrapText="1"/>
    </xf>
    <xf numFmtId="1" fontId="21" fillId="42" borderId="240" xfId="0" applyNumberFormat="1" applyFont="1" applyFill="1" applyBorder="1" applyAlignment="1" applyProtection="1">
      <alignment horizontal="center" vertical="center" wrapText="1"/>
    </xf>
    <xf numFmtId="1" fontId="21" fillId="42" borderId="228" xfId="0" applyNumberFormat="1" applyFont="1" applyFill="1" applyBorder="1" applyAlignment="1" applyProtection="1">
      <alignment horizontal="center" vertical="center" wrapText="1"/>
    </xf>
    <xf numFmtId="2" fontId="21" fillId="42" borderId="675" xfId="0" applyNumberFormat="1" applyFont="1" applyFill="1" applyBorder="1" applyAlignment="1" applyProtection="1">
      <alignment horizontal="center" vertical="center" wrapText="1"/>
    </xf>
    <xf numFmtId="0" fontId="21" fillId="3" borderId="244" xfId="0" applyFont="1" applyFill="1" applyBorder="1" applyAlignment="1" applyProtection="1">
      <alignment horizontal="center" vertical="center"/>
    </xf>
    <xf numFmtId="0" fontId="21" fillId="3" borderId="223" xfId="0" applyFont="1" applyFill="1" applyBorder="1" applyAlignment="1" applyProtection="1">
      <alignment horizontal="center" vertical="center"/>
    </xf>
    <xf numFmtId="0" fontId="22" fillId="23" borderId="236" xfId="0" applyFont="1" applyFill="1" applyBorder="1" applyAlignment="1" applyProtection="1">
      <alignment horizontal="center" vertical="center" wrapText="1"/>
    </xf>
    <xf numFmtId="1" fontId="21" fillId="26" borderId="236" xfId="0" applyNumberFormat="1" applyFont="1" applyFill="1" applyBorder="1" applyAlignment="1" applyProtection="1">
      <alignment horizontal="center" vertical="center" wrapText="1"/>
    </xf>
    <xf numFmtId="0" fontId="22" fillId="3" borderId="244" xfId="0" applyFont="1" applyFill="1" applyBorder="1" applyAlignment="1" applyProtection="1">
      <alignment horizontal="center" vertical="center" wrapText="1"/>
    </xf>
    <xf numFmtId="1" fontId="21" fillId="3" borderId="244" xfId="0" applyNumberFormat="1" applyFont="1" applyFill="1" applyBorder="1" applyAlignment="1" applyProtection="1">
      <alignment horizontal="center" vertical="center" wrapText="1"/>
    </xf>
    <xf numFmtId="0" fontId="3" fillId="3" borderId="252" xfId="0" applyFont="1" applyFill="1" applyBorder="1" applyAlignment="1">
      <alignment horizontal="center" vertical="center"/>
    </xf>
    <xf numFmtId="1" fontId="21" fillId="3" borderId="252" xfId="0" applyNumberFormat="1" applyFont="1" applyFill="1" applyBorder="1" applyAlignment="1" applyProtection="1">
      <alignment horizontal="center" vertical="center" wrapText="1"/>
    </xf>
    <xf numFmtId="0" fontId="0" fillId="35" borderId="232" xfId="0" applyFont="1" applyFill="1" applyBorder="1"/>
    <xf numFmtId="0" fontId="22" fillId="0" borderId="227" xfId="0" applyFont="1" applyBorder="1" applyAlignment="1" applyProtection="1">
      <alignment horizontal="left" vertical="center" wrapText="1" indent="4"/>
    </xf>
    <xf numFmtId="0" fontId="22" fillId="0" borderId="243" xfId="0" applyFont="1" applyBorder="1" applyAlignment="1" applyProtection="1">
      <alignment horizontal="left" vertical="top" wrapText="1" indent="2"/>
    </xf>
    <xf numFmtId="0" fontId="22" fillId="35" borderId="244" xfId="0" applyFont="1" applyFill="1" applyBorder="1" applyAlignment="1" applyProtection="1">
      <alignment horizontal="center" vertical="center" wrapText="1"/>
    </xf>
    <xf numFmtId="1" fontId="21" fillId="35" borderId="244" xfId="0" applyNumberFormat="1" applyFont="1" applyFill="1" applyBorder="1" applyAlignment="1" applyProtection="1">
      <alignment horizontal="center" vertical="center" wrapText="1"/>
    </xf>
    <xf numFmtId="0" fontId="3" fillId="3" borderId="401" xfId="0" applyFont="1" applyFill="1" applyBorder="1" applyAlignment="1">
      <alignment horizontal="center" vertical="center"/>
    </xf>
    <xf numFmtId="0" fontId="22" fillId="0" borderId="222" xfId="0" applyFont="1" applyBorder="1" applyAlignment="1" applyProtection="1">
      <alignment horizontal="left" vertical="top" wrapText="1" indent="2"/>
    </xf>
    <xf numFmtId="0" fontId="22" fillId="0" borderId="244" xfId="0" applyFont="1" applyFill="1" applyBorder="1" applyAlignment="1" applyProtection="1">
      <alignment horizontal="center" vertical="center"/>
    </xf>
    <xf numFmtId="1" fontId="21" fillId="0" borderId="244" xfId="0" applyNumberFormat="1" applyFont="1" applyFill="1" applyBorder="1" applyAlignment="1" applyProtection="1">
      <alignment horizontal="center" vertical="center"/>
    </xf>
    <xf numFmtId="0" fontId="3" fillId="3" borderId="679" xfId="0" applyFont="1" applyFill="1" applyBorder="1" applyAlignment="1">
      <alignment horizontal="center" vertical="center"/>
    </xf>
    <xf numFmtId="0" fontId="13" fillId="0" borderId="240" xfId="0" applyFont="1" applyBorder="1" applyAlignment="1" applyProtection="1">
      <alignment horizontal="center" vertical="center" wrapText="1"/>
    </xf>
    <xf numFmtId="0" fontId="22" fillId="3" borderId="0" xfId="0" applyFont="1" applyFill="1" applyBorder="1" applyAlignment="1" applyProtection="1">
      <alignment horizontal="center" vertical="center" wrapText="1"/>
    </xf>
    <xf numFmtId="0" fontId="22" fillId="35" borderId="401" xfId="0" applyFont="1" applyFill="1" applyBorder="1" applyAlignment="1" applyProtection="1">
      <alignment horizontal="left" vertical="top" wrapText="1" indent="2"/>
    </xf>
    <xf numFmtId="0" fontId="22" fillId="0" borderId="249" xfId="0" applyFont="1" applyBorder="1" applyAlignment="1" applyProtection="1">
      <alignment horizontal="center" vertical="center" wrapText="1"/>
    </xf>
    <xf numFmtId="0" fontId="50" fillId="35" borderId="401" xfId="6" applyFont="1" applyFill="1" applyBorder="1" applyProtection="1">
      <alignment horizontal="center" vertical="center" wrapText="1"/>
    </xf>
    <xf numFmtId="0" fontId="26" fillId="3" borderId="225" xfId="6" applyFont="1" applyFill="1" applyBorder="1" applyAlignment="1" applyProtection="1">
      <alignment horizontal="left" vertical="center" wrapText="1"/>
    </xf>
    <xf numFmtId="0" fontId="23" fillId="0" borderId="343" xfId="0" quotePrefix="1" applyFont="1" applyBorder="1" applyAlignment="1" applyProtection="1">
      <alignment horizontal="center" vertical="center"/>
      <protection locked="0"/>
    </xf>
    <xf numFmtId="0" fontId="23" fillId="0" borderId="417" xfId="0" applyFont="1" applyBorder="1" applyAlignment="1" applyProtection="1">
      <alignment horizontal="left" vertical="top"/>
    </xf>
    <xf numFmtId="0" fontId="23" fillId="0" borderId="413" xfId="0" applyFont="1" applyBorder="1" applyAlignment="1" applyProtection="1">
      <alignment horizontal="center" vertical="top"/>
    </xf>
    <xf numFmtId="0" fontId="23" fillId="0" borderId="413" xfId="0" applyFont="1" applyBorder="1" applyAlignment="1" applyProtection="1">
      <alignment vertical="top"/>
    </xf>
    <xf numFmtId="0" fontId="22" fillId="0" borderId="413" xfId="0" applyFont="1" applyBorder="1" applyAlignment="1" applyProtection="1">
      <alignment horizontal="center" vertical="center" wrapText="1"/>
    </xf>
    <xf numFmtId="1" fontId="22" fillId="10" borderId="680" xfId="9" applyFont="1" applyBorder="1" applyProtection="1">
      <alignment horizontal="center" vertical="center"/>
      <protection locked="0"/>
    </xf>
    <xf numFmtId="0" fontId="30" fillId="0" borderId="420" xfId="0" applyFont="1" applyBorder="1" applyAlignment="1" applyProtection="1">
      <alignment horizontal="center" vertical="center" wrapText="1"/>
      <protection locked="0"/>
    </xf>
    <xf numFmtId="2" fontId="21" fillId="3" borderId="401" xfId="0" applyNumberFormat="1" applyFont="1" applyFill="1" applyBorder="1" applyAlignment="1" applyProtection="1">
      <alignment horizontal="center" vertical="center" wrapText="1"/>
    </xf>
    <xf numFmtId="0" fontId="21" fillId="0" borderId="240" xfId="0" applyFont="1" applyBorder="1" applyAlignment="1" applyProtection="1">
      <alignment horizontal="center" vertical="center" wrapText="1"/>
    </xf>
    <xf numFmtId="0" fontId="21" fillId="0" borderId="228" xfId="0" applyFont="1" applyBorder="1" applyAlignment="1" applyProtection="1">
      <alignment horizontal="center" vertical="center" wrapText="1"/>
    </xf>
    <xf numFmtId="0" fontId="21" fillId="35" borderId="232" xfId="0" applyFont="1" applyFill="1" applyBorder="1" applyAlignment="1" applyProtection="1">
      <alignment horizontal="center" vertical="center" wrapText="1"/>
    </xf>
    <xf numFmtId="0" fontId="21" fillId="35" borderId="401" xfId="0" applyFont="1" applyFill="1" applyBorder="1" applyAlignment="1" applyProtection="1">
      <alignment horizontal="center" vertical="center" wrapText="1"/>
    </xf>
    <xf numFmtId="0" fontId="23" fillId="0" borderId="401" xfId="0" applyFont="1" applyBorder="1" applyAlignment="1">
      <alignment horizontal="center" vertical="center" wrapText="1"/>
    </xf>
    <xf numFmtId="0" fontId="22" fillId="0" borderId="228" xfId="0" applyFont="1" applyBorder="1" applyAlignment="1" applyProtection="1">
      <alignment horizontal="center" vertical="center" wrapText="1"/>
    </xf>
    <xf numFmtId="0" fontId="22" fillId="0" borderId="236" xfId="0" applyFont="1" applyBorder="1" applyAlignment="1" applyProtection="1">
      <alignment horizontal="center" vertical="center" wrapText="1"/>
    </xf>
    <xf numFmtId="0" fontId="22" fillId="0" borderId="223" xfId="0" applyFont="1" applyBorder="1" applyAlignment="1" applyProtection="1">
      <alignment horizontal="center" vertical="center" wrapText="1"/>
    </xf>
    <xf numFmtId="0" fontId="23" fillId="35" borderId="174" xfId="0" applyFont="1" applyFill="1" applyBorder="1" applyAlignment="1" applyProtection="1">
      <alignment horizontal="left" vertical="top" wrapText="1"/>
    </xf>
    <xf numFmtId="0" fontId="22" fillId="0" borderId="252" xfId="0" applyFont="1" applyBorder="1" applyAlignment="1" applyProtection="1">
      <alignment horizontal="center" vertical="center" wrapText="1"/>
    </xf>
    <xf numFmtId="0" fontId="22" fillId="0" borderId="248" xfId="0" applyFont="1" applyBorder="1" applyAlignment="1" applyProtection="1">
      <alignment horizontal="center" vertical="center" wrapText="1"/>
    </xf>
    <xf numFmtId="0" fontId="22" fillId="3" borderId="228" xfId="0" applyFont="1" applyFill="1" applyBorder="1" applyAlignment="1" applyProtection="1">
      <alignment horizontal="center" vertical="center" wrapText="1"/>
    </xf>
    <xf numFmtId="0" fontId="22" fillId="3" borderId="223" xfId="0" applyFont="1" applyFill="1" applyBorder="1" applyAlignment="1" applyProtection="1">
      <alignment horizontal="center" vertical="center" wrapText="1"/>
    </xf>
    <xf numFmtId="0" fontId="23" fillId="35" borderId="541" xfId="0" applyFont="1" applyFill="1" applyBorder="1" applyAlignment="1" applyProtection="1">
      <alignment horizontal="left" vertical="top" wrapText="1"/>
    </xf>
    <xf numFmtId="0" fontId="22" fillId="0" borderId="235" xfId="0" applyFont="1" applyBorder="1" applyAlignment="1" applyProtection="1">
      <alignment horizontal="left" vertical="top" wrapText="1" indent="2"/>
    </xf>
    <xf numFmtId="0" fontId="22" fillId="0" borderId="227" xfId="0" applyFont="1" applyBorder="1" applyAlignment="1" applyProtection="1">
      <alignment horizontal="left" vertical="top" wrapText="1" indent="2"/>
    </xf>
    <xf numFmtId="0" fontId="22" fillId="0" borderId="227" xfId="0" applyFont="1" applyBorder="1" applyAlignment="1" applyProtection="1">
      <alignment horizontal="left" vertical="top" wrapText="1" indent="8"/>
    </xf>
    <xf numFmtId="0" fontId="22" fillId="0" borderId="227" xfId="0" applyFont="1" applyBorder="1" applyAlignment="1" applyProtection="1">
      <alignment horizontal="left" vertical="top" wrapText="1" indent="4"/>
    </xf>
    <xf numFmtId="0" fontId="22" fillId="0" borderId="222" xfId="0" applyFont="1" applyBorder="1" applyAlignment="1" applyProtection="1">
      <alignment horizontal="left" vertical="top" wrapText="1" indent="4"/>
    </xf>
    <xf numFmtId="0" fontId="22" fillId="0" borderId="227" xfId="0" applyFont="1" applyBorder="1" applyAlignment="1" applyProtection="1">
      <alignment vertical="top" wrapText="1"/>
    </xf>
    <xf numFmtId="0" fontId="22" fillId="0" borderId="247" xfId="0" applyFont="1" applyBorder="1" applyAlignment="1" applyProtection="1">
      <alignment vertical="top" wrapText="1"/>
    </xf>
    <xf numFmtId="0" fontId="22" fillId="0" borderId="251" xfId="0" applyFont="1" applyBorder="1" applyAlignment="1" applyProtection="1">
      <alignment vertical="top" wrapText="1"/>
    </xf>
    <xf numFmtId="0" fontId="22" fillId="0" borderId="235" xfId="0" applyFont="1" applyBorder="1" applyAlignment="1" applyProtection="1">
      <alignment vertical="top" wrapText="1"/>
    </xf>
    <xf numFmtId="0" fontId="13" fillId="15" borderId="682" xfId="15" applyBorder="1" applyProtection="1">
      <alignment horizontal="center" vertical="center"/>
    </xf>
    <xf numFmtId="0" fontId="23" fillId="0" borderId="228" xfId="0" applyFont="1" applyBorder="1" applyAlignment="1" applyProtection="1">
      <alignment horizontal="center" vertical="center" wrapText="1"/>
    </xf>
    <xf numFmtId="0" fontId="23" fillId="0" borderId="432" xfId="0" applyFont="1" applyBorder="1" applyAlignment="1" applyProtection="1">
      <alignment horizontal="center" vertical="center" wrapText="1"/>
    </xf>
    <xf numFmtId="0" fontId="23" fillId="0" borderId="683" xfId="0" applyFont="1" applyBorder="1" applyAlignment="1" applyProtection="1">
      <alignment horizontal="center" vertical="center" wrapText="1"/>
    </xf>
    <xf numFmtId="0" fontId="23" fillId="0" borderId="684" xfId="0" applyFont="1" applyBorder="1" applyAlignment="1" applyProtection="1">
      <alignment horizontal="center" vertical="center" wrapText="1"/>
    </xf>
    <xf numFmtId="0" fontId="13" fillId="3" borderId="236" xfId="0" applyFont="1" applyFill="1" applyBorder="1" applyAlignment="1">
      <alignment horizontal="center" vertical="center"/>
    </xf>
    <xf numFmtId="0" fontId="23" fillId="0" borderId="571" xfId="6" applyFont="1" applyFill="1" applyBorder="1" applyProtection="1">
      <alignment horizontal="center" vertical="center" wrapText="1"/>
    </xf>
    <xf numFmtId="1" fontId="16" fillId="0" borderId="228" xfId="0" applyNumberFormat="1" applyFont="1" applyBorder="1" applyAlignment="1" applyProtection="1">
      <alignment horizontal="center" vertical="center" wrapText="1"/>
    </xf>
    <xf numFmtId="0" fontId="0" fillId="0" borderId="0" xfId="0" applyBorder="1"/>
    <xf numFmtId="0" fontId="23" fillId="40" borderId="0" xfId="23" applyBorder="1">
      <alignment horizontal="left" vertical="top" wrapText="1"/>
      <protection locked="0"/>
    </xf>
    <xf numFmtId="0" fontId="0" fillId="0" borderId="12" xfId="0" applyFont="1" applyBorder="1"/>
    <xf numFmtId="0" fontId="0" fillId="0" borderId="0" xfId="0"/>
    <xf numFmtId="0" fontId="0" fillId="0" borderId="0" xfId="0" applyFont="1" applyBorder="1"/>
    <xf numFmtId="0" fontId="0" fillId="0" borderId="8" xfId="0" applyFont="1" applyBorder="1"/>
    <xf numFmtId="0" fontId="0" fillId="0" borderId="0" xfId="0" applyFont="1" applyBorder="1" applyAlignment="1" applyProtection="1">
      <alignment horizontal="left" vertical="top" wrapText="1"/>
      <protection locked="0"/>
    </xf>
    <xf numFmtId="0" fontId="0" fillId="0" borderId="13" xfId="0" applyFont="1" applyBorder="1"/>
    <xf numFmtId="0" fontId="0" fillId="0" borderId="104" xfId="0" applyFont="1" applyBorder="1"/>
    <xf numFmtId="0" fontId="0" fillId="0" borderId="106" xfId="0" applyFont="1" applyBorder="1"/>
    <xf numFmtId="0" fontId="17" fillId="34" borderId="63" xfId="5" applyFill="1" applyBorder="1" applyAlignment="1" applyProtection="1">
      <alignment horizontal="center" vertical="center" wrapText="1"/>
      <protection locked="0"/>
    </xf>
    <xf numFmtId="0" fontId="0" fillId="35" borderId="0" xfId="0" applyFont="1" applyFill="1" applyBorder="1" applyAlignment="1">
      <alignment horizontal="center" vertical="center"/>
    </xf>
    <xf numFmtId="0" fontId="13" fillId="0" borderId="225" xfId="0" applyFont="1" applyBorder="1" applyAlignment="1" applyProtection="1">
      <alignment horizontal="left" vertical="center" wrapText="1" indent="4"/>
    </xf>
    <xf numFmtId="0" fontId="13" fillId="0" borderId="239" xfId="0" applyFont="1" applyBorder="1" applyAlignment="1" applyProtection="1">
      <alignment horizontal="left" vertical="center" wrapText="1" indent="4"/>
    </xf>
    <xf numFmtId="0" fontId="13" fillId="0" borderId="227" xfId="0" applyFont="1" applyBorder="1" applyAlignment="1" applyProtection="1">
      <alignment horizontal="left" vertical="center" wrapText="1" indent="4"/>
    </xf>
    <xf numFmtId="0" fontId="0" fillId="0" borderId="0" xfId="0"/>
    <xf numFmtId="0" fontId="23" fillId="0" borderId="0" xfId="0" applyFont="1"/>
    <xf numFmtId="0" fontId="17" fillId="34" borderId="333" xfId="5" applyFont="1" applyFill="1" applyBorder="1" applyAlignment="1" applyProtection="1">
      <alignment horizontal="center" vertical="center" wrapText="1"/>
      <protection locked="0"/>
    </xf>
    <xf numFmtId="0" fontId="17" fillId="34" borderId="333" xfId="5" applyFill="1" applyBorder="1" applyAlignment="1" applyProtection="1">
      <alignment horizontal="center" vertical="center" wrapText="1"/>
      <protection locked="0"/>
    </xf>
    <xf numFmtId="0" fontId="17" fillId="0" borderId="13" xfId="5" applyFont="1" applyFill="1" applyBorder="1" applyAlignment="1" applyProtection="1">
      <alignment horizontal="center" vertical="center" wrapText="1"/>
      <protection locked="0"/>
    </xf>
    <xf numFmtId="0" fontId="3" fillId="0" borderId="12" xfId="0" applyFont="1" applyBorder="1"/>
    <xf numFmtId="0" fontId="3" fillId="0" borderId="13" xfId="0" applyFont="1" applyBorder="1"/>
    <xf numFmtId="0" fontId="17" fillId="34" borderId="687" xfId="5" applyFill="1" applyBorder="1" applyAlignment="1" applyProtection="1">
      <alignment horizontal="center" vertical="center"/>
      <protection locked="0"/>
    </xf>
    <xf numFmtId="0" fontId="4" fillId="0" borderId="13" xfId="4" applyBorder="1"/>
    <xf numFmtId="0" fontId="17" fillId="7" borderId="62" xfId="5" applyFill="1" applyBorder="1" applyAlignment="1">
      <alignment horizontal="center" vertical="center"/>
    </xf>
    <xf numFmtId="0" fontId="21" fillId="0" borderId="0" xfId="4" applyFont="1" applyAlignment="1">
      <alignment horizontal="center"/>
    </xf>
    <xf numFmtId="0" fontId="21" fillId="0" borderId="0" xfId="4" applyFont="1" applyFill="1" applyAlignment="1">
      <alignment horizontal="center"/>
    </xf>
    <xf numFmtId="0" fontId="21" fillId="0" borderId="0" xfId="4" applyFont="1" applyAlignment="1">
      <alignment horizontal="center" wrapText="1"/>
    </xf>
    <xf numFmtId="0" fontId="1" fillId="0" borderId="0" xfId="0" applyFont="1" applyAlignment="1">
      <alignment horizontal="center"/>
    </xf>
    <xf numFmtId="0" fontId="39" fillId="0" borderId="0" xfId="4" applyFont="1" applyAlignment="1">
      <alignment horizontal="center"/>
    </xf>
    <xf numFmtId="0" fontId="0" fillId="0" borderId="0" xfId="0" applyAlignment="1">
      <alignment horizontal="center"/>
    </xf>
    <xf numFmtId="0" fontId="23" fillId="0" borderId="0" xfId="0" applyFont="1"/>
    <xf numFmtId="0" fontId="23" fillId="0" borderId="0" xfId="0" applyFont="1"/>
    <xf numFmtId="0" fontId="21" fillId="0" borderId="0" xfId="4" applyFont="1" applyAlignment="1" applyProtection="1">
      <alignment horizontal="center"/>
    </xf>
    <xf numFmtId="0" fontId="1" fillId="0" borderId="0" xfId="0" applyFont="1" applyAlignment="1" applyProtection="1">
      <alignment horizontal="center"/>
    </xf>
    <xf numFmtId="0" fontId="1" fillId="0" borderId="0" xfId="0" applyFont="1" applyBorder="1" applyAlignment="1">
      <alignment horizontal="center" wrapText="1"/>
    </xf>
    <xf numFmtId="0" fontId="1" fillId="0" borderId="0" xfId="0" applyFont="1" applyFill="1" applyBorder="1" applyAlignment="1">
      <alignment horizontal="center"/>
    </xf>
    <xf numFmtId="0" fontId="23" fillId="0" borderId="0" xfId="0" applyFont="1" applyAlignment="1">
      <alignment horizontal="center"/>
    </xf>
    <xf numFmtId="0" fontId="23" fillId="0" borderId="0" xfId="0" applyFont="1"/>
    <xf numFmtId="0" fontId="0" fillId="0" borderId="0" xfId="0" applyBorder="1" applyAlignment="1">
      <alignment horizontal="left" vertical="center" wrapText="1" indent="1"/>
    </xf>
    <xf numFmtId="0" fontId="0" fillId="0" borderId="13" xfId="0" applyBorder="1" applyAlignment="1">
      <alignment horizontal="left" vertical="center" wrapText="1" indent="1"/>
    </xf>
    <xf numFmtId="0" fontId="23" fillId="0" borderId="0" xfId="0" applyFont="1"/>
    <xf numFmtId="1" fontId="22" fillId="45" borderId="187" xfId="9" applyFont="1" applyFill="1" applyBorder="1" applyProtection="1">
      <alignment horizontal="center" vertical="center"/>
      <protection locked="0"/>
    </xf>
    <xf numFmtId="1" fontId="26" fillId="45" borderId="16" xfId="9" applyFill="1" applyBorder="1" applyAlignment="1" applyProtection="1">
      <alignment horizontal="center" vertical="center" wrapText="1"/>
      <protection locked="0"/>
    </xf>
    <xf numFmtId="1" fontId="26" fillId="45" borderId="15" xfId="9" applyFill="1" applyBorder="1" applyAlignment="1" applyProtection="1">
      <alignment horizontal="center" vertical="center" wrapText="1"/>
      <protection locked="0"/>
    </xf>
    <xf numFmtId="1" fontId="26" fillId="45" borderId="425" xfId="9" applyFill="1" applyBorder="1" applyAlignment="1" applyProtection="1">
      <alignment horizontal="center" vertical="center" wrapText="1"/>
      <protection locked="0"/>
    </xf>
    <xf numFmtId="0" fontId="26" fillId="45" borderId="15" xfId="9" applyNumberFormat="1" applyFill="1" applyBorder="1" applyAlignment="1" applyProtection="1">
      <alignment horizontal="center" vertical="center" wrapText="1"/>
      <protection locked="0"/>
    </xf>
    <xf numFmtId="1" fontId="26" fillId="45" borderId="15" xfId="9" applyFill="1" applyBorder="1" applyProtection="1">
      <alignment horizontal="center" vertical="center"/>
      <protection locked="0"/>
    </xf>
    <xf numFmtId="1" fontId="26" fillId="45" borderId="434" xfId="9" applyFill="1" applyBorder="1" applyProtection="1">
      <alignment horizontal="center" vertical="center"/>
      <protection locked="0"/>
    </xf>
    <xf numFmtId="1" fontId="26" fillId="45" borderId="51" xfId="9" applyFill="1" applyBorder="1" applyAlignment="1" applyProtection="1">
      <alignment horizontal="center" vertical="center" wrapText="1"/>
      <protection locked="0"/>
    </xf>
    <xf numFmtId="1" fontId="26" fillId="45" borderId="434" xfId="9" applyFill="1" applyBorder="1" applyAlignment="1" applyProtection="1">
      <alignment horizontal="center" vertical="center" wrapText="1"/>
      <protection locked="0"/>
    </xf>
    <xf numFmtId="1" fontId="22" fillId="45" borderId="15" xfId="9" applyFont="1" applyFill="1" applyBorder="1" applyAlignment="1" applyProtection="1">
      <alignment horizontal="center" vertical="center" wrapText="1"/>
      <protection locked="0"/>
    </xf>
    <xf numFmtId="0" fontId="23" fillId="0" borderId="0" xfId="23" applyFill="1" applyBorder="1" applyAlignment="1">
      <alignment horizontal="left" vertical="top"/>
      <protection locked="0"/>
    </xf>
    <xf numFmtId="1" fontId="26" fillId="45" borderId="434" xfId="9" applyFill="1" applyBorder="1">
      <alignment horizontal="center" vertical="center"/>
      <protection locked="0"/>
    </xf>
    <xf numFmtId="1" fontId="26" fillId="45" borderId="15" xfId="9" applyFill="1" applyBorder="1" applyAlignment="1">
      <alignment horizontal="center" vertical="center" wrapText="1"/>
      <protection locked="0"/>
    </xf>
    <xf numFmtId="1" fontId="26" fillId="45" borderId="434" xfId="9" applyFill="1" applyBorder="1" applyAlignment="1">
      <alignment horizontal="center" vertical="center" wrapText="1"/>
      <protection locked="0"/>
    </xf>
    <xf numFmtId="1" fontId="26" fillId="45" borderId="187" xfId="9" applyFill="1" applyBorder="1" applyAlignment="1">
      <alignment horizontal="center" vertical="center" wrapText="1"/>
      <protection locked="0"/>
    </xf>
    <xf numFmtId="1" fontId="26" fillId="45" borderId="15" xfId="9" applyFill="1" applyBorder="1">
      <alignment horizontal="center" vertical="center"/>
      <protection locked="0"/>
    </xf>
    <xf numFmtId="1" fontId="26" fillId="45" borderId="16" xfId="9" applyFill="1" applyBorder="1" applyAlignment="1">
      <alignment horizontal="center" vertical="center" wrapText="1"/>
      <protection locked="0"/>
    </xf>
    <xf numFmtId="1" fontId="22" fillId="45" borderId="16" xfId="9" applyFont="1" applyFill="1" applyBorder="1" applyAlignment="1" applyProtection="1">
      <alignment horizontal="center" vertical="center" wrapText="1"/>
      <protection locked="0"/>
    </xf>
    <xf numFmtId="0" fontId="13" fillId="45" borderId="434" xfId="0" applyFont="1" applyFill="1" applyBorder="1" applyAlignment="1" applyProtection="1">
      <alignment horizontal="center" vertical="center" wrapText="1"/>
      <protection locked="0"/>
    </xf>
    <xf numFmtId="49" fontId="13" fillId="45" borderId="553" xfId="0" applyNumberFormat="1" applyFont="1" applyFill="1" applyBorder="1" applyAlignment="1" applyProtection="1">
      <alignment horizontal="center" vertical="center" wrapText="1"/>
      <protection locked="0"/>
    </xf>
    <xf numFmtId="0" fontId="13" fillId="45" borderId="553" xfId="0" applyFont="1" applyFill="1" applyBorder="1" applyAlignment="1" applyProtection="1">
      <alignment horizontal="center" vertical="center" wrapText="1"/>
      <protection locked="0"/>
    </xf>
    <xf numFmtId="1" fontId="26" fillId="45" borderId="414" xfId="9" applyFill="1" applyBorder="1" applyAlignment="1">
      <alignment horizontal="center" vertical="center" wrapText="1"/>
      <protection locked="0"/>
    </xf>
    <xf numFmtId="1" fontId="26" fillId="45" borderId="374" xfId="9" applyFill="1" applyBorder="1">
      <alignment horizontal="center" vertical="center"/>
      <protection locked="0"/>
    </xf>
    <xf numFmtId="1" fontId="26" fillId="45" borderId="374" xfId="9" applyFill="1" applyBorder="1" applyAlignment="1" applyProtection="1">
      <alignment horizontal="center" vertical="center" wrapText="1"/>
      <protection locked="0"/>
    </xf>
    <xf numFmtId="49" fontId="26" fillId="45" borderId="15" xfId="9" applyNumberFormat="1" applyFill="1" applyBorder="1" applyAlignment="1">
      <alignment horizontal="center" vertical="center" wrapText="1"/>
      <protection locked="0"/>
    </xf>
    <xf numFmtId="9" fontId="26" fillId="45" borderId="414" xfId="1" applyNumberFormat="1" applyFont="1" applyFill="1" applyBorder="1" applyAlignment="1" applyProtection="1">
      <alignment horizontal="center" vertical="center"/>
      <protection locked="0"/>
    </xf>
    <xf numFmtId="49" fontId="26" fillId="46" borderId="434" xfId="9" applyNumberFormat="1" applyFill="1" applyBorder="1" applyAlignment="1">
      <alignment horizontal="center" vertical="center" wrapText="1"/>
      <protection locked="0"/>
    </xf>
    <xf numFmtId="49" fontId="26" fillId="45" borderId="15" xfId="9" applyNumberFormat="1" applyFill="1" applyBorder="1">
      <alignment horizontal="center" vertical="center"/>
      <protection locked="0"/>
    </xf>
    <xf numFmtId="1" fontId="22" fillId="45" borderId="434" xfId="9" applyNumberFormat="1" applyFont="1" applyFill="1" applyBorder="1">
      <alignment horizontal="center" vertical="center"/>
      <protection locked="0"/>
    </xf>
    <xf numFmtId="49" fontId="26" fillId="45" borderId="434" xfId="9" applyNumberFormat="1" applyFill="1" applyBorder="1" applyAlignment="1" applyProtection="1">
      <alignment horizontal="center" vertical="center" wrapText="1"/>
      <protection locked="0"/>
    </xf>
    <xf numFmtId="1" fontId="22" fillId="45" borderId="187" xfId="9" applyFont="1" applyFill="1" applyBorder="1" applyAlignment="1" applyProtection="1">
      <alignment horizontal="center" vertical="center" wrapText="1"/>
      <protection locked="0"/>
    </xf>
    <xf numFmtId="1" fontId="22" fillId="45" borderId="537" xfId="9" applyFont="1" applyFill="1" applyBorder="1" applyAlignment="1" applyProtection="1">
      <alignment horizontal="center" vertical="center" wrapText="1"/>
      <protection locked="0"/>
    </xf>
    <xf numFmtId="1" fontId="22" fillId="45" borderId="414" xfId="9" applyFont="1" applyFill="1" applyBorder="1" applyAlignment="1" applyProtection="1">
      <alignment horizontal="center" vertical="center" wrapText="1"/>
      <protection locked="0"/>
    </xf>
    <xf numFmtId="1" fontId="26" fillId="45" borderId="414" xfId="9" applyFill="1" applyBorder="1" applyAlignment="1" applyProtection="1">
      <alignment horizontal="center" vertical="center" wrapText="1"/>
      <protection locked="0"/>
    </xf>
    <xf numFmtId="0" fontId="0" fillId="45" borderId="74" xfId="0" applyFill="1" applyBorder="1" applyAlignment="1">
      <alignment horizontal="left" vertical="center" wrapText="1" indent="1"/>
    </xf>
    <xf numFmtId="0" fontId="0" fillId="47" borderId="0" xfId="0" applyFill="1" applyBorder="1" applyAlignment="1">
      <alignment horizontal="left" vertical="center" wrapText="1" indent="1"/>
    </xf>
    <xf numFmtId="1" fontId="22" fillId="45" borderId="194" xfId="9" applyFont="1" applyFill="1" applyBorder="1" applyProtection="1">
      <alignment horizontal="center" vertical="center"/>
      <protection locked="0"/>
    </xf>
    <xf numFmtId="1" fontId="26" fillId="45" borderId="194" xfId="9" applyFill="1" applyBorder="1" applyProtection="1">
      <alignment horizontal="center" vertical="center"/>
      <protection locked="0"/>
    </xf>
    <xf numFmtId="1" fontId="22" fillId="45" borderId="457" xfId="9" applyFont="1" applyFill="1" applyBorder="1" applyProtection="1">
      <alignment horizontal="center" vertical="center"/>
      <protection locked="0"/>
    </xf>
    <xf numFmtId="1" fontId="22" fillId="45" borderId="456" xfId="9" applyFont="1" applyFill="1" applyBorder="1" applyProtection="1">
      <alignment horizontal="center" vertical="center"/>
      <protection locked="0"/>
    </xf>
    <xf numFmtId="1" fontId="26" fillId="45" borderId="456" xfId="9" applyFill="1" applyBorder="1" applyProtection="1">
      <alignment horizontal="center" vertical="center"/>
      <protection locked="0"/>
    </xf>
    <xf numFmtId="1" fontId="26" fillId="45" borderId="425" xfId="9" applyFill="1" applyBorder="1" applyProtection="1">
      <alignment horizontal="center" vertical="center"/>
      <protection locked="0"/>
    </xf>
    <xf numFmtId="1" fontId="22" fillId="13" borderId="459" xfId="19" applyFill="1" applyBorder="1" applyProtection="1">
      <alignment horizontal="center" vertical="center"/>
      <protection locked="0"/>
    </xf>
    <xf numFmtId="1" fontId="22" fillId="13" borderId="463" xfId="19" applyFill="1" applyBorder="1" applyProtection="1">
      <alignment horizontal="center" vertical="center"/>
      <protection locked="0"/>
    </xf>
    <xf numFmtId="0" fontId="23" fillId="0" borderId="0" xfId="0" applyFont="1" applyBorder="1" applyAlignment="1">
      <alignment horizontal="left" vertical="center" wrapText="1"/>
    </xf>
    <xf numFmtId="0" fontId="0" fillId="0" borderId="0" xfId="0"/>
    <xf numFmtId="1" fontId="48" fillId="10" borderId="51" xfId="9" applyFont="1" applyBorder="1" applyAlignment="1">
      <alignment horizontal="center" vertical="center" wrapText="1"/>
      <protection locked="0"/>
    </xf>
    <xf numFmtId="0" fontId="23" fillId="0" borderId="0" xfId="0" applyFont="1" applyBorder="1" applyAlignment="1">
      <alignment horizontal="left" vertical="center" wrapText="1"/>
    </xf>
    <xf numFmtId="0" fontId="13" fillId="0" borderId="86" xfId="0" applyFont="1" applyBorder="1" applyAlignment="1">
      <alignment horizontal="center" vertical="center" wrapText="1"/>
    </xf>
    <xf numFmtId="0" fontId="23" fillId="0" borderId="83" xfId="0" applyFont="1" applyBorder="1" applyAlignment="1">
      <alignment horizontal="left" vertical="top"/>
    </xf>
    <xf numFmtId="0" fontId="23" fillId="0" borderId="86" xfId="0" applyFont="1" applyBorder="1"/>
    <xf numFmtId="0" fontId="0" fillId="0" borderId="0" xfId="0" applyBorder="1"/>
    <xf numFmtId="49" fontId="23" fillId="0" borderId="397" xfId="0" applyNumberFormat="1" applyFont="1" applyBorder="1" applyAlignment="1" applyProtection="1">
      <alignment horizontal="center" vertical="center" wrapText="1"/>
      <protection locked="0"/>
    </xf>
    <xf numFmtId="0" fontId="30" fillId="0" borderId="0" xfId="0" applyFont="1" applyBorder="1" applyAlignment="1">
      <alignment horizontal="center" vertical="center" wrapText="1"/>
    </xf>
    <xf numFmtId="0" fontId="23" fillId="0" borderId="401" xfId="0" applyFont="1" applyBorder="1" applyAlignment="1">
      <alignment horizontal="center" vertical="center" wrapText="1"/>
    </xf>
    <xf numFmtId="0" fontId="0" fillId="0" borderId="0" xfId="0"/>
    <xf numFmtId="1" fontId="26" fillId="10" borderId="185" xfId="9" applyBorder="1" applyAlignment="1" applyProtection="1">
      <alignment horizontal="center" vertical="center" wrapText="1"/>
      <protection locked="0"/>
    </xf>
    <xf numFmtId="0" fontId="23" fillId="0" borderId="0" xfId="0" applyFont="1"/>
    <xf numFmtId="0" fontId="23" fillId="0" borderId="0" xfId="0" applyFont="1" applyBorder="1" applyAlignment="1">
      <alignment horizontal="left" vertical="center" wrapText="1"/>
    </xf>
    <xf numFmtId="0" fontId="0" fillId="0" borderId="0" xfId="0"/>
    <xf numFmtId="1" fontId="94" fillId="10" borderId="172" xfId="9" applyFont="1" applyBorder="1" applyAlignment="1" applyProtection="1">
      <alignment horizontal="center" vertical="center" wrapText="1"/>
      <protection locked="0"/>
    </xf>
    <xf numFmtId="1" fontId="94" fillId="10" borderId="15" xfId="9" applyFont="1" applyBorder="1" applyAlignment="1" applyProtection="1">
      <alignment horizontal="center" vertical="center" wrapText="1"/>
      <protection locked="0"/>
    </xf>
    <xf numFmtId="1" fontId="26" fillId="48" borderId="16" xfId="9" applyFill="1" applyBorder="1" applyAlignment="1" applyProtection="1">
      <alignment horizontal="center" vertical="center" wrapText="1"/>
    </xf>
    <xf numFmtId="1" fontId="94" fillId="10" borderId="480" xfId="9" applyFont="1" applyBorder="1" applyAlignment="1">
      <alignment horizontal="center" vertical="center" wrapText="1"/>
      <protection locked="0"/>
    </xf>
    <xf numFmtId="1" fontId="111" fillId="10" borderId="51" xfId="9" applyFont="1" applyBorder="1" applyAlignment="1">
      <alignment horizontal="center" vertical="center" wrapText="1"/>
      <protection locked="0"/>
    </xf>
    <xf numFmtId="1" fontId="94" fillId="10" borderId="434" xfId="9" applyFont="1" applyBorder="1" applyAlignment="1">
      <alignment horizontal="center" vertical="center" wrapText="1"/>
      <protection locked="0"/>
    </xf>
    <xf numFmtId="166" fontId="26" fillId="10" borderId="16" xfId="9" applyNumberFormat="1" applyBorder="1" applyAlignment="1" applyProtection="1">
      <alignment horizontal="center" vertical="center"/>
      <protection locked="0"/>
    </xf>
    <xf numFmtId="0" fontId="0" fillId="0" borderId="0" xfId="0" applyFill="1" applyBorder="1" applyProtection="1">
      <protection locked="0"/>
    </xf>
    <xf numFmtId="0" fontId="21" fillId="3" borderId="228" xfId="0" applyFont="1" applyFill="1" applyBorder="1" applyAlignment="1" applyProtection="1">
      <alignment horizontal="center" vertical="center" wrapText="1"/>
    </xf>
    <xf numFmtId="0" fontId="55" fillId="0" borderId="0" xfId="0" applyFont="1" applyBorder="1" applyAlignment="1" applyProtection="1">
      <alignment horizontal="right" vertical="center" wrapText="1"/>
    </xf>
    <xf numFmtId="1" fontId="48" fillId="45" borderId="187" xfId="9" applyFont="1" applyFill="1" applyBorder="1" applyAlignment="1" applyProtection="1">
      <alignment horizontal="center" vertical="center" wrapText="1"/>
      <protection locked="0"/>
    </xf>
    <xf numFmtId="1" fontId="48" fillId="45" borderId="15" xfId="9" applyFont="1" applyFill="1" applyBorder="1" applyAlignment="1" applyProtection="1">
      <alignment horizontal="center" vertical="center" wrapText="1"/>
      <protection locked="0"/>
    </xf>
    <xf numFmtId="0" fontId="22" fillId="23" borderId="224" xfId="0" applyFont="1" applyFill="1" applyBorder="1" applyAlignment="1" applyProtection="1">
      <alignment horizontal="left" vertical="top" wrapText="1"/>
    </xf>
    <xf numFmtId="0" fontId="22" fillId="23" borderId="233" xfId="0" applyFont="1" applyFill="1" applyBorder="1" applyAlignment="1" applyProtection="1">
      <alignment horizontal="left" vertical="top" wrapText="1"/>
    </xf>
    <xf numFmtId="0" fontId="22" fillId="23" borderId="224" xfId="0" applyFont="1" applyFill="1" applyBorder="1" applyAlignment="1" applyProtection="1">
      <alignment vertical="top" wrapText="1"/>
    </xf>
    <xf numFmtId="0" fontId="22" fillId="23" borderId="233" xfId="0" applyFont="1" applyFill="1" applyBorder="1" applyAlignment="1" applyProtection="1">
      <alignment wrapText="1"/>
    </xf>
    <xf numFmtId="0" fontId="22" fillId="23" borderId="233" xfId="0" applyFont="1" applyFill="1" applyBorder="1" applyAlignment="1" applyProtection="1"/>
    <xf numFmtId="1" fontId="21" fillId="35" borderId="233" xfId="0" applyNumberFormat="1" applyFont="1" applyFill="1" applyBorder="1" applyAlignment="1" applyProtection="1">
      <alignment horizontal="center" vertical="center" wrapText="1"/>
    </xf>
    <xf numFmtId="0" fontId="22" fillId="35" borderId="233" xfId="0" applyFont="1" applyFill="1" applyBorder="1" applyAlignment="1" applyProtection="1">
      <alignment vertical="top" wrapText="1"/>
    </xf>
    <xf numFmtId="1" fontId="21" fillId="35" borderId="237" xfId="0" applyNumberFormat="1" applyFont="1" applyFill="1" applyBorder="1" applyAlignment="1" applyProtection="1">
      <alignment horizontal="center" vertical="center" wrapText="1"/>
    </xf>
    <xf numFmtId="1" fontId="0" fillId="35" borderId="246" xfId="0" applyNumberFormat="1" applyFont="1" applyFill="1" applyBorder="1" applyAlignment="1">
      <alignment horizontal="center" vertical="center"/>
    </xf>
    <xf numFmtId="167" fontId="21" fillId="24" borderId="241" xfId="10" applyFont="1" applyFill="1" applyBorder="1" applyProtection="1">
      <alignment horizontal="left" vertical="top" wrapText="1"/>
    </xf>
    <xf numFmtId="0" fontId="21" fillId="23" borderId="233" xfId="0" applyFont="1" applyFill="1" applyBorder="1" applyAlignment="1" applyProtection="1">
      <alignment wrapText="1"/>
    </xf>
    <xf numFmtId="0" fontId="22" fillId="23" borderId="233" xfId="0" applyFont="1" applyFill="1" applyBorder="1" applyAlignment="1" applyProtection="1">
      <alignment vertical="top" wrapText="1"/>
    </xf>
    <xf numFmtId="0" fontId="23" fillId="0" borderId="531" xfId="6" applyFont="1" applyFill="1" applyBorder="1" applyProtection="1">
      <alignment horizontal="center" vertical="center" wrapText="1"/>
    </xf>
    <xf numFmtId="0" fontId="23" fillId="35" borderId="569" xfId="6" applyFont="1" applyFill="1" applyBorder="1" applyProtection="1">
      <alignment horizontal="center" vertical="center" wrapText="1"/>
    </xf>
    <xf numFmtId="0" fontId="23" fillId="35" borderId="531" xfId="6" applyFont="1" applyFill="1" applyBorder="1" applyProtection="1">
      <alignment horizontal="center" vertical="center" wrapText="1"/>
    </xf>
    <xf numFmtId="0" fontId="22" fillId="23" borderId="245" xfId="0" applyFont="1" applyFill="1" applyBorder="1" applyAlignment="1" applyProtection="1">
      <alignment vertical="top" wrapText="1"/>
    </xf>
    <xf numFmtId="0" fontId="22" fillId="23" borderId="233" xfId="0" applyFont="1" applyFill="1" applyBorder="1" applyAlignment="1" applyProtection="1">
      <alignment vertical="top"/>
    </xf>
    <xf numFmtId="0" fontId="22" fillId="23" borderId="233" xfId="0" applyFont="1" applyFill="1" applyBorder="1" applyAlignment="1" applyProtection="1">
      <alignment horizontal="left" vertical="top" indent="2"/>
    </xf>
    <xf numFmtId="1" fontId="21" fillId="26" borderId="237" xfId="0" applyNumberFormat="1" applyFont="1" applyFill="1" applyBorder="1" applyAlignment="1" applyProtection="1">
      <alignment horizontal="center" vertical="center" wrapText="1"/>
    </xf>
    <xf numFmtId="0" fontId="22" fillId="23" borderId="224" xfId="0" applyFont="1" applyFill="1" applyBorder="1" applyAlignment="1" applyProtection="1"/>
    <xf numFmtId="1" fontId="21" fillId="35" borderId="245" xfId="0" applyNumberFormat="1" applyFont="1" applyFill="1" applyBorder="1" applyAlignment="1" applyProtection="1">
      <alignment horizontal="center" vertical="center" wrapText="1"/>
    </xf>
    <xf numFmtId="0" fontId="22" fillId="23" borderId="233" xfId="0" applyFont="1" applyFill="1" applyBorder="1" applyProtection="1"/>
    <xf numFmtId="0" fontId="22" fillId="23" borderId="224" xfId="0" applyFont="1" applyFill="1" applyBorder="1" applyAlignment="1" applyProtection="1">
      <alignment wrapText="1"/>
    </xf>
    <xf numFmtId="0" fontId="22" fillId="23" borderId="246" xfId="0" applyFont="1" applyFill="1" applyBorder="1" applyAlignment="1" applyProtection="1">
      <alignment vertical="top" wrapText="1"/>
    </xf>
    <xf numFmtId="1" fontId="21" fillId="3" borderId="233" xfId="0" applyNumberFormat="1" applyFont="1" applyFill="1" applyBorder="1" applyAlignment="1" applyProtection="1">
      <alignment horizontal="center" vertical="center" wrapText="1"/>
    </xf>
    <xf numFmtId="0" fontId="21" fillId="23" borderId="233" xfId="0" applyFont="1" applyFill="1" applyBorder="1" applyAlignment="1" applyProtection="1">
      <alignment vertical="top" wrapText="1"/>
    </xf>
    <xf numFmtId="0" fontId="22" fillId="23" borderId="237" xfId="0" applyFont="1" applyFill="1" applyBorder="1" applyAlignment="1" applyProtection="1">
      <alignment vertical="top" wrapText="1"/>
    </xf>
    <xf numFmtId="0" fontId="21" fillId="0" borderId="233" xfId="0" applyFont="1" applyFill="1" applyBorder="1" applyAlignment="1" applyProtection="1">
      <alignment horizontal="center" vertical="center" wrapText="1"/>
    </xf>
    <xf numFmtId="0" fontId="22" fillId="23" borderId="224" xfId="0" applyFont="1" applyFill="1" applyBorder="1" applyAlignment="1" applyProtection="1">
      <alignment vertical="center" wrapText="1"/>
    </xf>
    <xf numFmtId="0" fontId="22" fillId="23" borderId="233" xfId="0" applyFont="1" applyFill="1" applyBorder="1" applyAlignment="1" applyProtection="1">
      <alignment vertical="center" wrapText="1"/>
    </xf>
    <xf numFmtId="0" fontId="22" fillId="23" borderId="233" xfId="0" applyFont="1" applyFill="1" applyBorder="1" applyAlignment="1" applyProtection="1">
      <alignment vertical="center"/>
    </xf>
    <xf numFmtId="0" fontId="21" fillId="23" borderId="233" xfId="0" applyFont="1" applyFill="1" applyBorder="1" applyAlignment="1" applyProtection="1">
      <alignment vertical="center" wrapText="1"/>
    </xf>
    <xf numFmtId="0" fontId="22" fillId="23" borderId="233" xfId="0" applyFont="1" applyFill="1" applyBorder="1" applyAlignment="1" applyProtection="1">
      <alignment horizontal="left" vertical="center"/>
    </xf>
    <xf numFmtId="0" fontId="22" fillId="23" borderId="224" xfId="0" applyFont="1" applyFill="1" applyBorder="1" applyAlignment="1" applyProtection="1">
      <alignment vertical="center"/>
    </xf>
    <xf numFmtId="0" fontId="22" fillId="23" borderId="246" xfId="0" applyFont="1" applyFill="1" applyBorder="1" applyAlignment="1" applyProtection="1">
      <alignment vertical="center" wrapText="1"/>
    </xf>
    <xf numFmtId="0" fontId="22" fillId="23" borderId="237" xfId="0" applyFont="1" applyFill="1" applyBorder="1" applyAlignment="1" applyProtection="1">
      <alignment vertical="center" wrapText="1"/>
    </xf>
    <xf numFmtId="0" fontId="22" fillId="0" borderId="0" xfId="0" applyFont="1" applyBorder="1" applyAlignment="1" applyProtection="1">
      <alignment horizontal="center" vertical="center" wrapText="1"/>
    </xf>
    <xf numFmtId="0" fontId="0" fillId="0" borderId="0" xfId="0" applyFont="1" applyBorder="1" applyAlignment="1" applyProtection="1">
      <alignment horizontal="left" vertical="top"/>
    </xf>
    <xf numFmtId="0" fontId="1" fillId="0" borderId="0" xfId="0" applyFont="1" applyBorder="1" applyProtection="1"/>
    <xf numFmtId="0" fontId="0" fillId="0" borderId="0" xfId="0" applyBorder="1" applyProtection="1"/>
    <xf numFmtId="0" fontId="0" fillId="0" borderId="0" xfId="0"/>
    <xf numFmtId="0" fontId="21" fillId="0" borderId="13" xfId="0" applyFont="1" applyBorder="1" applyAlignment="1" applyProtection="1">
      <alignment horizontal="left" vertical="top" wrapText="1"/>
    </xf>
    <xf numFmtId="0" fontId="13" fillId="0" borderId="0" xfId="0" applyFont="1" applyBorder="1" applyAlignment="1" applyProtection="1">
      <alignment horizontal="left" vertical="center" wrapText="1"/>
    </xf>
    <xf numFmtId="1" fontId="26" fillId="10" borderId="16" xfId="9" applyBorder="1" applyAlignment="1" applyProtection="1">
      <alignment horizontal="center" vertical="center" wrapText="1"/>
      <protection locked="0"/>
    </xf>
    <xf numFmtId="0" fontId="22" fillId="0" borderId="227" xfId="0" applyFont="1" applyBorder="1" applyAlignment="1" applyProtection="1">
      <alignment horizontal="left" vertical="top" wrapText="1" indent="4"/>
    </xf>
    <xf numFmtId="14" fontId="0" fillId="0" borderId="0" xfId="0" applyNumberFormat="1" applyBorder="1"/>
    <xf numFmtId="1" fontId="21" fillId="50" borderId="0" xfId="0" applyNumberFormat="1" applyFont="1" applyFill="1" applyBorder="1" applyAlignment="1" applyProtection="1">
      <alignment horizontal="left" vertical="center" wrapText="1"/>
    </xf>
    <xf numFmtId="0" fontId="15" fillId="0" borderId="397" xfId="4" applyFont="1" applyBorder="1" applyAlignment="1" applyProtection="1">
      <alignment horizontal="center" vertical="center" wrapText="1"/>
      <protection locked="0"/>
    </xf>
    <xf numFmtId="2" fontId="0" fillId="0" borderId="0" xfId="0" applyNumberFormat="1" applyBorder="1" applyAlignment="1">
      <alignment horizontal="left" vertical="top" wrapText="1"/>
    </xf>
    <xf numFmtId="1" fontId="23" fillId="0" borderId="0" xfId="0" applyNumberFormat="1" applyFont="1" applyAlignment="1">
      <alignment horizontal="center"/>
    </xf>
    <xf numFmtId="1" fontId="21" fillId="0" borderId="0" xfId="0" applyNumberFormat="1" applyFont="1" applyBorder="1" applyAlignment="1" applyProtection="1">
      <alignment horizontal="left" vertical="center" wrapText="1"/>
      <protection locked="0"/>
    </xf>
    <xf numFmtId="1" fontId="21" fillId="0" borderId="224" xfId="0" applyNumberFormat="1" applyFont="1" applyBorder="1" applyAlignment="1" applyProtection="1">
      <alignment horizontal="left" vertical="center" wrapText="1"/>
      <protection locked="0"/>
    </xf>
    <xf numFmtId="1" fontId="21" fillId="0" borderId="241" xfId="0" applyNumberFormat="1" applyFont="1" applyBorder="1" applyAlignment="1" applyProtection="1">
      <alignment horizontal="center" vertical="center" wrapText="1"/>
      <protection locked="0"/>
    </xf>
    <xf numFmtId="1" fontId="23" fillId="0" borderId="252" xfId="0" applyNumberFormat="1" applyFont="1" applyBorder="1" applyAlignment="1" applyProtection="1">
      <alignment horizontal="center" vertical="center"/>
      <protection locked="0"/>
    </xf>
    <xf numFmtId="1" fontId="23" fillId="0" borderId="232" xfId="0" applyNumberFormat="1" applyFont="1" applyBorder="1" applyAlignment="1" applyProtection="1">
      <alignment horizontal="center" vertical="center"/>
      <protection locked="0"/>
    </xf>
    <xf numFmtId="1" fontId="21" fillId="0" borderId="245" xfId="0" applyNumberFormat="1" applyFont="1" applyBorder="1" applyAlignment="1" applyProtection="1">
      <alignment horizontal="center" vertical="center" wrapText="1"/>
      <protection locked="0"/>
    </xf>
    <xf numFmtId="0" fontId="21" fillId="0" borderId="237" xfId="0" applyFont="1" applyBorder="1" applyAlignment="1" applyProtection="1">
      <alignment horizontal="center" vertical="center" wrapText="1"/>
      <protection locked="0"/>
    </xf>
    <xf numFmtId="1" fontId="21" fillId="0" borderId="246" xfId="0" applyNumberFormat="1" applyFont="1" applyBorder="1" applyAlignment="1" applyProtection="1">
      <alignment horizontal="center" vertical="center" wrapText="1"/>
      <protection locked="0"/>
    </xf>
    <xf numFmtId="0" fontId="106" fillId="0" borderId="531" xfId="6" applyFont="1" applyFill="1" applyBorder="1" applyAlignment="1" applyProtection="1">
      <alignment horizontal="center" vertical="center" wrapText="1"/>
      <protection locked="0"/>
    </xf>
    <xf numFmtId="0" fontId="23" fillId="0" borderId="567" xfId="6" applyFont="1" applyFill="1" applyBorder="1" applyProtection="1">
      <alignment horizontal="center" vertical="center" wrapText="1"/>
      <protection locked="0"/>
    </xf>
    <xf numFmtId="0" fontId="23" fillId="0" borderId="531" xfId="6" applyFont="1" applyFill="1" applyBorder="1" applyProtection="1">
      <alignment horizontal="center" vertical="center" wrapText="1"/>
      <protection locked="0"/>
    </xf>
    <xf numFmtId="0" fontId="23" fillId="0" borderId="573" xfId="6" applyFont="1" applyFill="1" applyBorder="1" applyProtection="1">
      <alignment horizontal="center" vertical="center" wrapText="1"/>
      <protection locked="0"/>
    </xf>
    <xf numFmtId="1" fontId="21" fillId="0" borderId="237" xfId="0" applyNumberFormat="1" applyFont="1" applyBorder="1" applyAlignment="1" applyProtection="1">
      <alignment horizontal="center" vertical="center" wrapText="1"/>
      <protection locked="0"/>
    </xf>
    <xf numFmtId="1" fontId="21" fillId="0" borderId="224" xfId="0" applyNumberFormat="1" applyFont="1" applyFill="1" applyBorder="1" applyAlignment="1" applyProtection="1">
      <alignment horizontal="center" vertical="center" wrapText="1"/>
      <protection locked="0"/>
    </xf>
    <xf numFmtId="1" fontId="21" fillId="0" borderId="233" xfId="0" applyNumberFormat="1" applyFont="1" applyBorder="1" applyAlignment="1" applyProtection="1">
      <alignment horizontal="center" vertical="center" wrapText="1"/>
      <protection locked="0"/>
    </xf>
    <xf numFmtId="1" fontId="21" fillId="0" borderId="241" xfId="0" applyNumberFormat="1" applyFont="1" applyFill="1" applyBorder="1" applyAlignment="1" applyProtection="1">
      <alignment horizontal="center" vertical="center" wrapText="1"/>
      <protection locked="0"/>
    </xf>
    <xf numFmtId="1" fontId="21" fillId="42" borderId="241" xfId="0" applyNumberFormat="1" applyFont="1" applyFill="1" applyBorder="1" applyAlignment="1" applyProtection="1">
      <alignment horizontal="center" vertical="center" wrapText="1"/>
      <protection locked="0"/>
    </xf>
    <xf numFmtId="0" fontId="21" fillId="3" borderId="224" xfId="0" applyFont="1" applyFill="1" applyBorder="1" applyAlignment="1" applyProtection="1">
      <alignment horizontal="center" vertical="center"/>
      <protection locked="0"/>
    </xf>
    <xf numFmtId="1" fontId="21" fillId="0" borderId="245" xfId="0" applyNumberFormat="1" applyFont="1" applyFill="1" applyBorder="1" applyAlignment="1" applyProtection="1">
      <alignment horizontal="center" vertical="center"/>
      <protection locked="0"/>
    </xf>
    <xf numFmtId="0" fontId="21" fillId="3" borderId="224" xfId="0" applyFont="1" applyFill="1" applyBorder="1" applyAlignment="1" applyProtection="1">
      <alignment horizontal="center" vertical="center" wrapText="1"/>
      <protection locked="0"/>
    </xf>
    <xf numFmtId="0" fontId="21" fillId="3" borderId="233" xfId="0" applyFont="1" applyFill="1" applyBorder="1" applyAlignment="1" applyProtection="1">
      <alignment horizontal="center" vertical="center" wrapText="1"/>
      <protection locked="0"/>
    </xf>
    <xf numFmtId="0" fontId="21" fillId="0" borderId="224" xfId="0" applyFont="1" applyBorder="1" applyAlignment="1" applyProtection="1">
      <alignment horizontal="center" vertical="center" wrapText="1"/>
      <protection locked="0"/>
    </xf>
    <xf numFmtId="1" fontId="27" fillId="3" borderId="37" xfId="9" applyFont="1" applyFill="1" applyBorder="1" applyAlignment="1" applyProtection="1">
      <alignment horizontal="center" vertical="center" wrapText="1"/>
      <protection locked="0"/>
    </xf>
    <xf numFmtId="1" fontId="21" fillId="0" borderId="256" xfId="0" applyNumberFormat="1" applyFont="1" applyBorder="1" applyAlignment="1" applyProtection="1">
      <alignment horizontal="center" vertical="center" wrapText="1"/>
      <protection locked="0"/>
    </xf>
    <xf numFmtId="1" fontId="21" fillId="50" borderId="224" xfId="0" applyNumberFormat="1" applyFont="1" applyFill="1" applyBorder="1" applyAlignment="1" applyProtection="1">
      <alignment horizontal="center" vertical="center" wrapText="1"/>
      <protection locked="0"/>
    </xf>
    <xf numFmtId="1" fontId="21" fillId="0" borderId="241" xfId="0" applyNumberFormat="1" applyFont="1" applyBorder="1" applyAlignment="1" applyProtection="1">
      <alignment horizontal="center" vertical="center"/>
      <protection locked="0"/>
    </xf>
    <xf numFmtId="0" fontId="21" fillId="3" borderId="240" xfId="0" applyFont="1" applyFill="1" applyBorder="1" applyAlignment="1" applyProtection="1">
      <alignment horizontal="center" vertical="center" wrapText="1"/>
      <protection locked="0"/>
    </xf>
    <xf numFmtId="0" fontId="21" fillId="3" borderId="240" xfId="0" applyFont="1" applyFill="1" applyBorder="1" applyAlignment="1" applyProtection="1">
      <alignment horizontal="center" vertical="top" wrapText="1"/>
      <protection locked="0"/>
    </xf>
    <xf numFmtId="0" fontId="21" fillId="0" borderId="224" xfId="0" applyNumberFormat="1" applyFont="1" applyFill="1" applyBorder="1" applyAlignment="1" applyProtection="1">
      <alignment horizontal="center" vertical="center" wrapText="1"/>
      <protection locked="0"/>
    </xf>
    <xf numFmtId="1" fontId="21" fillId="3" borderId="241" xfId="0" applyNumberFormat="1" applyFont="1" applyFill="1" applyBorder="1" applyAlignment="1" applyProtection="1">
      <alignment horizontal="center" vertical="center" wrapText="1"/>
      <protection locked="0"/>
    </xf>
    <xf numFmtId="0" fontId="21" fillId="3" borderId="246" xfId="0" applyFont="1" applyFill="1" applyBorder="1" applyAlignment="1" applyProtection="1">
      <alignment horizontal="center" vertical="center" wrapText="1"/>
      <protection locked="0"/>
    </xf>
    <xf numFmtId="0" fontId="23" fillId="3" borderId="237" xfId="0" applyFont="1" applyFill="1" applyBorder="1" applyAlignment="1" applyProtection="1">
      <alignment horizontal="center" vertical="center" wrapText="1"/>
      <protection locked="0"/>
    </xf>
    <xf numFmtId="0" fontId="21" fillId="0" borderId="233" xfId="0" applyNumberFormat="1" applyFont="1" applyFill="1" applyBorder="1" applyAlignment="1" applyProtection="1">
      <alignment horizontal="center" vertical="center" wrapText="1"/>
      <protection locked="0"/>
    </xf>
    <xf numFmtId="0" fontId="0" fillId="0" borderId="0" xfId="0"/>
    <xf numFmtId="0" fontId="0" fillId="0" borderId="0" xfId="0" applyBorder="1"/>
    <xf numFmtId="0" fontId="22" fillId="0" borderId="0" xfId="0" applyFont="1" applyBorder="1" applyAlignment="1" applyProtection="1">
      <alignment horizontal="right"/>
    </xf>
    <xf numFmtId="0" fontId="22" fillId="0" borderId="0" xfId="0" applyFont="1" applyBorder="1" applyAlignment="1" applyProtection="1">
      <alignment horizontal="right" vertical="center"/>
    </xf>
    <xf numFmtId="0" fontId="13" fillId="0" borderId="0" xfId="0" applyFont="1" applyBorder="1" applyAlignment="1" applyProtection="1">
      <alignment horizontal="right" vertical="center"/>
    </xf>
    <xf numFmtId="0" fontId="23" fillId="0" borderId="61" xfId="0" applyFont="1" applyBorder="1" applyAlignment="1" applyProtection="1">
      <alignment horizontal="left" vertical="center"/>
    </xf>
    <xf numFmtId="0" fontId="21" fillId="0" borderId="0" xfId="0" applyFont="1" applyBorder="1" applyAlignment="1" applyProtection="1">
      <alignment horizontal="left" vertical="center"/>
    </xf>
    <xf numFmtId="0" fontId="23" fillId="0" borderId="0" xfId="0" applyFont="1" applyBorder="1" applyAlignment="1">
      <alignment horizontal="left" vertical="center"/>
    </xf>
    <xf numFmtId="0" fontId="0" fillId="0" borderId="0" xfId="0" applyBorder="1" applyAlignment="1"/>
    <xf numFmtId="0" fontId="116" fillId="0" borderId="76" xfId="0" applyFont="1" applyFill="1" applyBorder="1" applyAlignment="1">
      <alignment horizontal="center"/>
    </xf>
    <xf numFmtId="0" fontId="116" fillId="0" borderId="76" xfId="0" applyFont="1" applyFill="1" applyBorder="1" applyAlignment="1">
      <alignment horizontal="center" wrapText="1"/>
    </xf>
    <xf numFmtId="0" fontId="115" fillId="26" borderId="683" xfId="0" applyFont="1" applyFill="1" applyBorder="1" applyAlignment="1">
      <alignment horizontal="center" vertical="center"/>
    </xf>
    <xf numFmtId="0" fontId="116" fillId="26" borderId="76" xfId="0" applyFont="1" applyFill="1" applyBorder="1" applyAlignment="1">
      <alignment horizontal="center"/>
    </xf>
    <xf numFmtId="0" fontId="118" fillId="26" borderId="76" xfId="0" applyFont="1" applyFill="1" applyBorder="1" applyAlignment="1">
      <alignment horizontal="center" wrapText="1"/>
    </xf>
    <xf numFmtId="0" fontId="118" fillId="0" borderId="362" xfId="0" applyFont="1" applyBorder="1" applyAlignment="1">
      <alignment horizontal="center" vertical="center"/>
    </xf>
    <xf numFmtId="0" fontId="118" fillId="0" borderId="0" xfId="0" applyFont="1" applyBorder="1" applyAlignment="1">
      <alignment horizontal="center" vertical="center"/>
    </xf>
    <xf numFmtId="0" fontId="0" fillId="0" borderId="0" xfId="0" applyBorder="1" applyAlignment="1">
      <alignment horizontal="center" vertical="center"/>
    </xf>
    <xf numFmtId="0" fontId="120" fillId="0" borderId="710" xfId="0" applyFont="1" applyBorder="1" applyAlignment="1" applyProtection="1">
      <alignment horizontal="right"/>
    </xf>
    <xf numFmtId="0" fontId="120" fillId="0" borderId="711" xfId="0" applyFont="1" applyBorder="1" applyAlignment="1" applyProtection="1">
      <alignment horizontal="right"/>
    </xf>
    <xf numFmtId="0" fontId="120" fillId="0" borderId="229" xfId="0" applyFont="1" applyBorder="1" applyAlignment="1" applyProtection="1">
      <alignment horizontal="right"/>
    </xf>
    <xf numFmtId="0" fontId="121" fillId="0" borderId="712" xfId="5" applyFont="1" applyBorder="1" applyAlignment="1" applyProtection="1">
      <protection locked="0"/>
    </xf>
    <xf numFmtId="0" fontId="120" fillId="0" borderId="707" xfId="0" applyFont="1" applyBorder="1" applyAlignment="1" applyProtection="1">
      <alignment horizontal="right"/>
    </xf>
    <xf numFmtId="0" fontId="120" fillId="0" borderId="714" xfId="0" applyFont="1" applyBorder="1" applyAlignment="1" applyProtection="1">
      <protection locked="0"/>
    </xf>
    <xf numFmtId="0" fontId="120" fillId="0" borderId="510" xfId="0" applyFont="1" applyBorder="1" applyAlignment="1" applyProtection="1">
      <alignment horizontal="right" vertical="top" wrapText="1"/>
    </xf>
    <xf numFmtId="0" fontId="116" fillId="0" borderId="0" xfId="0" applyFont="1" applyFill="1" applyBorder="1" applyAlignment="1">
      <alignment horizontal="right"/>
    </xf>
    <xf numFmtId="0" fontId="0" fillId="0" borderId="0" xfId="0" applyFill="1" applyBorder="1" applyAlignment="1">
      <alignment horizontal="center" vertical="center"/>
    </xf>
    <xf numFmtId="0" fontId="0" fillId="0" borderId="716" xfId="0" applyBorder="1"/>
    <xf numFmtId="0" fontId="116" fillId="0" borderId="716" xfId="0" applyFont="1" applyFill="1" applyBorder="1" applyAlignment="1">
      <alignment horizontal="right"/>
    </xf>
    <xf numFmtId="0" fontId="116" fillId="0" borderId="716" xfId="0" applyFont="1" applyFill="1" applyBorder="1" applyAlignment="1">
      <alignment horizontal="center"/>
    </xf>
    <xf numFmtId="0" fontId="116" fillId="26" borderId="81" xfId="0" applyFont="1" applyFill="1" applyBorder="1" applyAlignment="1">
      <alignment horizontal="center"/>
    </xf>
    <xf numFmtId="0" fontId="22" fillId="0" borderId="362" xfId="0" applyFont="1" applyBorder="1" applyAlignment="1" applyProtection="1">
      <alignment horizontal="right"/>
    </xf>
    <xf numFmtId="0" fontId="0" fillId="0" borderId="515" xfId="0" applyBorder="1"/>
    <xf numFmtId="0" fontId="22" fillId="0" borderId="362" xfId="0" applyFont="1" applyBorder="1" applyAlignment="1" applyProtection="1">
      <alignment horizontal="right" vertical="center"/>
    </xf>
    <xf numFmtId="0" fontId="22" fillId="0" borderId="362" xfId="0" applyFont="1" applyFill="1" applyBorder="1" applyAlignment="1" applyProtection="1">
      <alignment horizontal="right"/>
    </xf>
    <xf numFmtId="0" fontId="112" fillId="0" borderId="0" xfId="0" applyFont="1" applyBorder="1" applyAlignment="1">
      <alignment vertical="center"/>
    </xf>
    <xf numFmtId="0" fontId="0" fillId="0" borderId="0" xfId="0" applyFont="1" applyBorder="1" applyAlignment="1">
      <alignment vertical="center"/>
    </xf>
    <xf numFmtId="1" fontId="0" fillId="0" borderId="0" xfId="0" applyNumberFormat="1" applyFont="1" applyBorder="1" applyAlignment="1">
      <alignment horizontal="center" vertical="center"/>
    </xf>
    <xf numFmtId="1" fontId="3" fillId="0" borderId="0" xfId="0" applyNumberFormat="1" applyFont="1" applyBorder="1" applyAlignment="1">
      <alignment horizontal="right" vertical="center"/>
    </xf>
    <xf numFmtId="0" fontId="0" fillId="0" borderId="362" xfId="0" applyBorder="1"/>
    <xf numFmtId="0" fontId="0" fillId="0" borderId="362" xfId="0" applyBorder="1" applyAlignment="1">
      <alignment horizontal="center"/>
    </xf>
    <xf numFmtId="0" fontId="118" fillId="0" borderId="362" xfId="0" applyFont="1" applyBorder="1" applyAlignment="1">
      <alignment horizontal="left"/>
    </xf>
    <xf numFmtId="0" fontId="0" fillId="0" borderId="362" xfId="0" applyBorder="1" applyAlignment="1"/>
    <xf numFmtId="0" fontId="120" fillId="0" borderId="515" xfId="0" applyFont="1" applyBorder="1" applyAlignment="1">
      <alignment horizontal="center"/>
    </xf>
    <xf numFmtId="0" fontId="118" fillId="0" borderId="362" xfId="0" applyFont="1" applyBorder="1" applyAlignment="1"/>
    <xf numFmtId="0" fontId="0" fillId="0" borderId="515" xfId="0" applyBorder="1" applyAlignment="1"/>
    <xf numFmtId="0" fontId="41" fillId="0" borderId="362" xfId="0" applyFont="1" applyBorder="1" applyAlignment="1">
      <alignment horizontal="right"/>
    </xf>
    <xf numFmtId="0" fontId="13" fillId="0" borderId="0" xfId="0" applyFont="1"/>
    <xf numFmtId="0" fontId="3" fillId="0" borderId="0" xfId="0" applyFont="1" applyFill="1" applyBorder="1" applyAlignment="1">
      <alignment vertical="center"/>
    </xf>
    <xf numFmtId="0" fontId="22" fillId="13" borderId="0" xfId="0" applyFont="1" applyFill="1"/>
    <xf numFmtId="0" fontId="21" fillId="13" borderId="0" xfId="0" applyFont="1" applyFill="1"/>
    <xf numFmtId="0" fontId="21" fillId="13" borderId="0" xfId="0" applyFont="1" applyFill="1" applyAlignment="1">
      <alignment horizontal="right"/>
    </xf>
    <xf numFmtId="0" fontId="56" fillId="0" borderId="0" xfId="0" applyFont="1" applyBorder="1" applyAlignment="1">
      <alignment horizontal="right" vertical="center" wrapText="1"/>
    </xf>
    <xf numFmtId="0" fontId="23" fillId="0" borderId="0" xfId="0" applyFont="1" applyBorder="1" applyAlignment="1">
      <alignment horizontal="right" vertical="center" wrapText="1"/>
    </xf>
    <xf numFmtId="0" fontId="23" fillId="13" borderId="0" xfId="0" applyFont="1" applyFill="1"/>
    <xf numFmtId="1" fontId="21" fillId="50" borderId="732" xfId="0" applyNumberFormat="1" applyFont="1" applyFill="1" applyBorder="1" applyAlignment="1" applyProtection="1">
      <alignment vertical="center" wrapText="1"/>
    </xf>
    <xf numFmtId="1" fontId="21" fillId="50" borderId="245" xfId="0" applyNumberFormat="1" applyFont="1" applyFill="1" applyBorder="1" applyAlignment="1" applyProtection="1">
      <alignment horizontal="center" vertical="center" wrapText="1"/>
      <protection locked="0"/>
    </xf>
    <xf numFmtId="0" fontId="106" fillId="50" borderId="531" xfId="6" applyFont="1" applyFill="1" applyBorder="1" applyAlignment="1" applyProtection="1">
      <alignment horizontal="center" vertical="center" wrapText="1"/>
      <protection locked="0"/>
    </xf>
    <xf numFmtId="0" fontId="21" fillId="3" borderId="245" xfId="0" applyFont="1" applyFill="1" applyBorder="1" applyAlignment="1" applyProtection="1">
      <alignment horizontal="center" vertical="center"/>
      <protection locked="0"/>
    </xf>
    <xf numFmtId="0" fontId="21" fillId="3" borderId="244" xfId="0" applyFont="1" applyFill="1" applyBorder="1" applyAlignment="1" applyProtection="1">
      <alignment horizontal="center" vertical="center"/>
      <protection locked="0"/>
    </xf>
    <xf numFmtId="0" fontId="21" fillId="50" borderId="237" xfId="0" applyFont="1" applyFill="1" applyBorder="1" applyAlignment="1" applyProtection="1">
      <alignment horizontal="center" vertical="center" wrapText="1"/>
      <protection locked="0"/>
    </xf>
    <xf numFmtId="1" fontId="27" fillId="3" borderId="367" xfId="9" applyFont="1" applyFill="1" applyBorder="1" applyAlignment="1" applyProtection="1">
      <alignment horizontal="center" vertical="center" wrapText="1"/>
    </xf>
    <xf numFmtId="1" fontId="27" fillId="3" borderId="736" xfId="9" applyFont="1" applyFill="1" applyBorder="1" applyAlignment="1" applyProtection="1">
      <alignment horizontal="center" vertical="center" wrapText="1"/>
      <protection locked="0"/>
    </xf>
    <xf numFmtId="1" fontId="27" fillId="3" borderId="735" xfId="9" applyFont="1" applyFill="1" applyBorder="1" applyAlignment="1" applyProtection="1">
      <alignment horizontal="center" vertical="center" wrapText="1"/>
      <protection locked="0"/>
    </xf>
    <xf numFmtId="1" fontId="27" fillId="3" borderId="240" xfId="9" applyFont="1" applyFill="1" applyBorder="1" applyAlignment="1" applyProtection="1">
      <alignment horizontal="center" vertical="center" wrapText="1"/>
    </xf>
    <xf numFmtId="1" fontId="27" fillId="3" borderId="240" xfId="9" applyFont="1" applyFill="1" applyBorder="1" applyAlignment="1" applyProtection="1">
      <alignment horizontal="center" vertical="center" wrapText="1"/>
      <protection locked="0"/>
    </xf>
    <xf numFmtId="1" fontId="27" fillId="50" borderId="736" xfId="9" applyFont="1" applyFill="1" applyBorder="1" applyAlignment="1" applyProtection="1">
      <alignment horizontal="center" vertical="center" wrapText="1"/>
      <protection locked="0"/>
    </xf>
    <xf numFmtId="0" fontId="21" fillId="0" borderId="732" xfId="0" applyFont="1" applyFill="1" applyBorder="1" applyAlignment="1" applyProtection="1">
      <alignment horizontal="left" vertical="center" wrapText="1"/>
    </xf>
    <xf numFmtId="1" fontId="21" fillId="0" borderId="26" xfId="0" applyNumberFormat="1" applyFont="1" applyBorder="1" applyAlignment="1" applyProtection="1">
      <alignment horizontal="left" vertical="center" wrapText="1"/>
      <protection locked="0"/>
    </xf>
    <xf numFmtId="0" fontId="21" fillId="0" borderId="732" xfId="0" applyFont="1" applyFill="1" applyBorder="1" applyAlignment="1" applyProtection="1">
      <alignment horizontal="left"/>
    </xf>
    <xf numFmtId="0" fontId="21" fillId="0" borderId="732" xfId="1" applyNumberFormat="1" applyFont="1" applyBorder="1" applyAlignment="1" applyProtection="1">
      <alignment horizontal="left" vertical="center" wrapText="1"/>
    </xf>
    <xf numFmtId="0" fontId="0" fillId="0" borderId="0" xfId="0"/>
    <xf numFmtId="1" fontId="21" fillId="0" borderId="32" xfId="0" applyNumberFormat="1" applyFont="1" applyBorder="1" applyAlignment="1" applyProtection="1">
      <alignment horizontal="center" vertical="center" wrapText="1"/>
      <protection locked="0"/>
    </xf>
    <xf numFmtId="0" fontId="0" fillId="0" borderId="0" xfId="0" applyFill="1" applyBorder="1"/>
    <xf numFmtId="0" fontId="13" fillId="0" borderId="0" xfId="0" applyFont="1" applyAlignment="1">
      <alignment horizontal="right" vertical="top" wrapText="1"/>
    </xf>
    <xf numFmtId="0" fontId="21" fillId="0" borderId="233" xfId="0" applyFont="1" applyBorder="1" applyAlignment="1" applyProtection="1">
      <alignment horizontal="left" vertical="center" wrapText="1"/>
    </xf>
    <xf numFmtId="9" fontId="21" fillId="0" borderId="252" xfId="1" applyFont="1" applyBorder="1" applyAlignment="1" applyProtection="1">
      <alignment vertical="center" wrapText="1"/>
    </xf>
    <xf numFmtId="1" fontId="21" fillId="25" borderId="237" xfId="0" applyNumberFormat="1" applyFont="1" applyFill="1" applyBorder="1" applyAlignment="1" applyProtection="1">
      <alignment horizontal="left" vertical="center" wrapText="1"/>
    </xf>
    <xf numFmtId="0" fontId="28" fillId="0" borderId="232" xfId="0" applyFont="1" applyBorder="1" applyAlignment="1" applyProtection="1">
      <alignment horizontal="center" vertical="center" wrapText="1"/>
    </xf>
    <xf numFmtId="0" fontId="66" fillId="0" borderId="752" xfId="4" applyNumberFormat="1" applyFont="1" applyBorder="1" applyAlignment="1">
      <alignment horizontal="center" vertical="center" wrapText="1"/>
    </xf>
    <xf numFmtId="0" fontId="87" fillId="0" borderId="0" xfId="6" applyFont="1" applyFill="1" applyBorder="1" applyAlignment="1" applyProtection="1">
      <alignment horizontal="left" vertical="center" wrapText="1"/>
    </xf>
    <xf numFmtId="1" fontId="21" fillId="0" borderId="732" xfId="0" applyNumberFormat="1" applyFont="1" applyBorder="1" applyAlignment="1" applyProtection="1">
      <alignment vertical="center" wrapText="1"/>
    </xf>
    <xf numFmtId="0" fontId="66" fillId="3" borderId="0" xfId="4" applyNumberFormat="1" applyFont="1" applyFill="1" applyBorder="1" applyAlignment="1">
      <alignment horizontal="center" vertical="center" wrapText="1"/>
    </xf>
    <xf numFmtId="0" fontId="23" fillId="0" borderId="753" xfId="0" applyFont="1" applyBorder="1" applyAlignment="1" applyProtection="1">
      <alignment horizontal="left" vertical="top" wrapText="1"/>
    </xf>
    <xf numFmtId="1" fontId="21" fillId="0" borderId="732" xfId="0" applyNumberFormat="1" applyFont="1" applyFill="1" applyBorder="1" applyAlignment="1" applyProtection="1">
      <alignment horizontal="left" vertical="center" wrapText="1"/>
    </xf>
    <xf numFmtId="0" fontId="20" fillId="35" borderId="531" xfId="6" applyFont="1" applyFill="1" applyBorder="1" applyAlignment="1" applyProtection="1">
      <alignment horizontal="left" vertical="center" wrapText="1"/>
    </xf>
    <xf numFmtId="0" fontId="22" fillId="0" borderId="252" xfId="0" applyFont="1" applyFill="1" applyBorder="1" applyAlignment="1" applyProtection="1">
      <alignment wrapText="1"/>
    </xf>
    <xf numFmtId="0" fontId="0" fillId="3" borderId="0" xfId="0" applyFont="1" applyFill="1" applyAlignment="1"/>
    <xf numFmtId="1" fontId="21" fillId="0" borderId="754" xfId="0" applyNumberFormat="1" applyFont="1" applyBorder="1" applyAlignment="1" applyProtection="1">
      <alignment horizontal="center" vertical="center" wrapText="1"/>
      <protection locked="0"/>
    </xf>
    <xf numFmtId="1" fontId="21" fillId="50" borderId="754" xfId="0" applyNumberFormat="1" applyFont="1" applyFill="1" applyBorder="1" applyAlignment="1" applyProtection="1">
      <alignment horizontal="center" vertical="center" wrapText="1"/>
      <protection locked="0"/>
    </xf>
    <xf numFmtId="1" fontId="21" fillId="0" borderId="755" xfId="0" applyNumberFormat="1" applyFont="1" applyBorder="1" applyAlignment="1" applyProtection="1">
      <alignment horizontal="center" vertical="center" wrapText="1"/>
      <protection locked="0"/>
    </xf>
    <xf numFmtId="1" fontId="21" fillId="50" borderId="755" xfId="0" applyNumberFormat="1" applyFont="1" applyFill="1" applyBorder="1" applyAlignment="1" applyProtection="1">
      <alignment horizontal="center" vertical="center" wrapText="1"/>
      <protection locked="0"/>
    </xf>
    <xf numFmtId="1" fontId="21" fillId="50" borderId="756" xfId="0" applyNumberFormat="1" applyFont="1" applyFill="1" applyBorder="1" applyAlignment="1" applyProtection="1">
      <alignment horizontal="center" vertical="center" wrapText="1"/>
      <protection locked="0"/>
    </xf>
    <xf numFmtId="1" fontId="21" fillId="0" borderId="236" xfId="0" applyNumberFormat="1" applyFont="1" applyFill="1" applyBorder="1" applyAlignment="1" applyProtection="1">
      <alignment vertical="center" wrapText="1"/>
      <protection locked="0"/>
    </xf>
    <xf numFmtId="0" fontId="22" fillId="0" borderId="232" xfId="0" applyFont="1" applyFill="1" applyBorder="1" applyAlignment="1" applyProtection="1">
      <alignment horizontal="center" vertical="center" wrapText="1"/>
      <protection locked="0"/>
    </xf>
    <xf numFmtId="0" fontId="50" fillId="0" borderId="0" xfId="6" applyFont="1" applyFill="1" applyBorder="1" applyAlignment="1" applyProtection="1">
      <alignment horizontal="left" vertical="center" wrapText="1"/>
    </xf>
    <xf numFmtId="0" fontId="22" fillId="0" borderId="732" xfId="0" applyFont="1" applyFill="1" applyBorder="1" applyAlignment="1" applyProtection="1">
      <alignment vertical="top" wrapText="1"/>
    </xf>
    <xf numFmtId="0" fontId="23" fillId="0" borderId="67" xfId="6" applyFont="1" applyFill="1" applyBorder="1" applyAlignment="1" applyProtection="1">
      <alignment horizontal="left" vertical="center" wrapText="1"/>
    </xf>
    <xf numFmtId="0" fontId="23" fillId="0" borderId="742" xfId="6" applyFont="1" applyFill="1" applyBorder="1" applyAlignment="1" applyProtection="1">
      <alignment horizontal="left" vertical="center" wrapText="1"/>
    </xf>
    <xf numFmtId="0" fontId="23" fillId="0" borderId="571" xfId="6" applyFont="1" applyFill="1" applyBorder="1" applyAlignment="1" applyProtection="1">
      <alignment horizontal="left" vertical="center" wrapText="1"/>
    </xf>
    <xf numFmtId="1" fontId="21" fillId="0" borderId="224" xfId="0" applyNumberFormat="1" applyFont="1" applyBorder="1" applyAlignment="1" applyProtection="1">
      <alignment horizontal="left" wrapText="1"/>
    </xf>
    <xf numFmtId="1" fontId="21" fillId="0" borderId="224" xfId="0" applyNumberFormat="1" applyFont="1" applyBorder="1" applyAlignment="1" applyProtection="1">
      <alignment horizontal="left" vertical="center" wrapText="1"/>
    </xf>
    <xf numFmtId="1" fontId="21" fillId="25" borderId="732" xfId="0" applyNumberFormat="1" applyFont="1" applyFill="1" applyBorder="1" applyAlignment="1" applyProtection="1">
      <alignment horizontal="left" vertical="center" wrapText="1"/>
    </xf>
    <xf numFmtId="1" fontId="21" fillId="0" borderId="237" xfId="0" applyNumberFormat="1" applyFont="1" applyBorder="1" applyAlignment="1" applyProtection="1">
      <alignment horizontal="left" vertical="center" wrapText="1"/>
    </xf>
    <xf numFmtId="1" fontId="15" fillId="0" borderId="241" xfId="0" applyNumberFormat="1" applyFont="1" applyFill="1" applyBorder="1" applyAlignment="1" applyProtection="1">
      <alignment horizontal="center" vertical="center" wrapText="1"/>
      <protection locked="0"/>
    </xf>
    <xf numFmtId="1" fontId="21" fillId="77" borderId="241" xfId="0" applyNumberFormat="1" applyFont="1" applyFill="1" applyBorder="1" applyAlignment="1" applyProtection="1">
      <alignment horizontal="center" vertical="center" wrapText="1"/>
    </xf>
    <xf numFmtId="0" fontId="0" fillId="0" borderId="0" xfId="0"/>
    <xf numFmtId="0" fontId="31" fillId="3" borderId="564" xfId="6" applyFont="1" applyFill="1" applyBorder="1" applyProtection="1">
      <alignment horizontal="center" vertical="center" wrapText="1"/>
    </xf>
    <xf numFmtId="0" fontId="28" fillId="3" borderId="101" xfId="6" applyFont="1" applyFill="1" applyBorder="1" applyProtection="1">
      <alignment horizontal="center" vertical="center" wrapText="1"/>
    </xf>
    <xf numFmtId="0" fontId="66" fillId="3" borderId="566" xfId="6" applyFont="1" applyFill="1" applyBorder="1" applyProtection="1">
      <alignment horizontal="center" vertical="center" wrapText="1"/>
    </xf>
    <xf numFmtId="49" fontId="31" fillId="0" borderId="0" xfId="16" applyFont="1" applyBorder="1">
      <alignment horizontal="center" vertical="center" wrapText="1"/>
    </xf>
    <xf numFmtId="0" fontId="28" fillId="0" borderId="240" xfId="0" applyFont="1" applyBorder="1" applyAlignment="1" applyProtection="1">
      <alignment horizontal="center" vertical="center" wrapText="1"/>
    </xf>
    <xf numFmtId="0" fontId="28" fillId="3" borderId="232" xfId="0" applyFont="1" applyFill="1" applyBorder="1" applyAlignment="1" applyProtection="1">
      <alignment horizontal="center" vertical="center" wrapText="1"/>
    </xf>
    <xf numFmtId="0" fontId="28" fillId="3" borderId="236" xfId="0" applyFont="1" applyFill="1" applyBorder="1" applyAlignment="1">
      <alignment horizontal="center" vertical="center"/>
    </xf>
    <xf numFmtId="0" fontId="28" fillId="3" borderId="236" xfId="0" applyFont="1" applyFill="1" applyBorder="1" applyAlignment="1" applyProtection="1">
      <alignment horizontal="center" vertical="center" wrapText="1"/>
    </xf>
    <xf numFmtId="1" fontId="21" fillId="42" borderId="236" xfId="0" applyNumberFormat="1" applyFont="1" applyFill="1" applyBorder="1" applyAlignment="1" applyProtection="1">
      <alignment horizontal="center" vertical="center" wrapText="1"/>
    </xf>
    <xf numFmtId="2" fontId="21" fillId="42" borderId="237" xfId="0" applyNumberFormat="1" applyFont="1" applyFill="1" applyBorder="1" applyAlignment="1" applyProtection="1">
      <alignment horizontal="left" vertical="center" wrapText="1"/>
      <protection locked="0"/>
    </xf>
    <xf numFmtId="0" fontId="21" fillId="77" borderId="245" xfId="0" applyFont="1" applyFill="1" applyBorder="1" applyAlignment="1" applyProtection="1">
      <alignment horizontal="center" vertical="center"/>
    </xf>
    <xf numFmtId="166" fontId="21" fillId="0" borderId="236" xfId="0" applyNumberFormat="1" applyFont="1" applyBorder="1" applyAlignment="1" applyProtection="1">
      <alignment horizontal="left" vertical="center" wrapText="1"/>
      <protection locked="0"/>
    </xf>
    <xf numFmtId="0" fontId="32" fillId="0" borderId="79" xfId="0" applyFont="1" applyBorder="1" applyAlignment="1" applyProtection="1">
      <alignment horizontal="center" vertical="center" wrapText="1"/>
    </xf>
    <xf numFmtId="0" fontId="32" fillId="0" borderId="488" xfId="0" applyFont="1" applyBorder="1" applyAlignment="1" applyProtection="1">
      <alignment horizontal="center" vertical="center" wrapText="1"/>
    </xf>
    <xf numFmtId="0" fontId="21" fillId="77" borderId="747" xfId="0" applyFont="1" applyFill="1" applyBorder="1" applyAlignment="1" applyProtection="1">
      <alignment vertical="center" wrapText="1"/>
    </xf>
    <xf numFmtId="2" fontId="21" fillId="3" borderId="237" xfId="0" applyNumberFormat="1" applyFont="1" applyFill="1" applyBorder="1" applyAlignment="1" applyProtection="1">
      <alignment horizontal="left" vertical="top" wrapText="1"/>
      <protection locked="0"/>
    </xf>
    <xf numFmtId="1" fontId="21" fillId="3" borderId="769" xfId="0" applyNumberFormat="1" applyFont="1" applyFill="1" applyBorder="1" applyAlignment="1" applyProtection="1">
      <alignment horizontal="left" vertical="top" wrapText="1"/>
    </xf>
    <xf numFmtId="0" fontId="23" fillId="23" borderId="237" xfId="0" applyFont="1" applyFill="1" applyBorder="1" applyAlignment="1" applyProtection="1">
      <alignment horizontal="left" vertical="top" wrapText="1"/>
    </xf>
    <xf numFmtId="0" fontId="80" fillId="0" borderId="0" xfId="0" applyFont="1"/>
    <xf numFmtId="2" fontId="23" fillId="0" borderId="0" xfId="0" applyNumberFormat="1" applyFont="1"/>
    <xf numFmtId="2" fontId="68" fillId="0" borderId="0" xfId="0" applyNumberFormat="1" applyFont="1"/>
    <xf numFmtId="1" fontId="21" fillId="77" borderId="245" xfId="0" applyNumberFormat="1" applyFont="1" applyFill="1" applyBorder="1" applyAlignment="1" applyProtection="1">
      <alignment horizontal="center" vertical="center"/>
    </xf>
    <xf numFmtId="1" fontId="21" fillId="78" borderId="755" xfId="0" applyNumberFormat="1" applyFont="1" applyFill="1" applyBorder="1" applyAlignment="1" applyProtection="1">
      <alignment horizontal="left" vertical="center" wrapText="1"/>
      <protection locked="0"/>
    </xf>
    <xf numFmtId="1" fontId="21" fillId="77" borderId="224" xfId="0" applyNumberFormat="1" applyFont="1" applyFill="1" applyBorder="1" applyAlignment="1" applyProtection="1">
      <alignment horizontal="center" vertical="center" wrapText="1"/>
    </xf>
    <xf numFmtId="0" fontId="55" fillId="0" borderId="753" xfId="0" applyFont="1" applyFill="1" applyBorder="1" applyAlignment="1" applyProtection="1">
      <alignment vertical="center" wrapText="1"/>
      <protection locked="0"/>
    </xf>
    <xf numFmtId="2" fontId="21" fillId="3" borderId="224" xfId="0" applyNumberFormat="1" applyFont="1" applyFill="1" applyBorder="1" applyAlignment="1" applyProtection="1">
      <alignment horizontal="left" vertical="center" wrapText="1"/>
    </xf>
    <xf numFmtId="1" fontId="21" fillId="3" borderId="753" xfId="0" applyNumberFormat="1" applyFont="1" applyFill="1" applyBorder="1" applyAlignment="1" applyProtection="1">
      <alignment horizontal="left" vertical="center" wrapText="1"/>
      <protection locked="0"/>
    </xf>
    <xf numFmtId="0" fontId="23" fillId="3" borderId="753" xfId="0" applyFont="1" applyFill="1" applyBorder="1" applyAlignment="1" applyProtection="1">
      <alignment horizontal="left" vertical="top" wrapText="1"/>
    </xf>
    <xf numFmtId="1" fontId="22" fillId="77" borderId="237" xfId="0" applyNumberFormat="1" applyFont="1" applyFill="1" applyBorder="1" applyAlignment="1" applyProtection="1">
      <alignment horizontal="center" vertical="center" wrapText="1"/>
    </xf>
    <xf numFmtId="1" fontId="16" fillId="77" borderId="237" xfId="0" applyNumberFormat="1" applyFont="1" applyFill="1" applyBorder="1" applyAlignment="1" applyProtection="1">
      <alignment horizontal="center" vertical="center" wrapText="1"/>
    </xf>
    <xf numFmtId="1" fontId="21" fillId="77" borderId="246" xfId="0" applyNumberFormat="1" applyFont="1" applyFill="1" applyBorder="1" applyAlignment="1" applyProtection="1">
      <alignment horizontal="center" vertical="center" wrapText="1"/>
    </xf>
    <xf numFmtId="1" fontId="21" fillId="76" borderId="246" xfId="0" applyNumberFormat="1" applyFont="1" applyFill="1" applyBorder="1" applyAlignment="1" applyProtection="1">
      <alignment horizontal="center" vertical="center" wrapText="1"/>
    </xf>
    <xf numFmtId="0" fontId="21" fillId="77" borderId="224" xfId="0" applyFont="1" applyFill="1" applyBorder="1" applyAlignment="1" applyProtection="1">
      <alignment horizontal="center" vertical="center" wrapText="1"/>
    </xf>
    <xf numFmtId="0" fontId="21" fillId="77" borderId="237" xfId="0" applyFont="1" applyFill="1" applyBorder="1" applyAlignment="1" applyProtection="1">
      <alignment horizontal="center" vertical="center" wrapText="1"/>
    </xf>
    <xf numFmtId="0" fontId="0" fillId="0" borderId="0" xfId="0"/>
    <xf numFmtId="1" fontId="15" fillId="0" borderId="738" xfId="0" applyNumberFormat="1" applyFont="1" applyFill="1" applyBorder="1" applyAlignment="1" applyProtection="1">
      <alignment horizontal="center" vertical="center" wrapText="1"/>
      <protection locked="0"/>
    </xf>
    <xf numFmtId="0" fontId="28" fillId="0" borderId="732" xfId="0" applyFont="1" applyBorder="1" applyAlignment="1" applyProtection="1">
      <alignment horizontal="center" vertical="center" wrapText="1"/>
    </xf>
    <xf numFmtId="1" fontId="21" fillId="42" borderId="732" xfId="0" applyNumberFormat="1" applyFont="1" applyFill="1" applyBorder="1" applyAlignment="1" applyProtection="1">
      <alignment horizontal="center" vertical="center" wrapText="1"/>
    </xf>
    <xf numFmtId="1" fontId="15" fillId="0" borderId="732" xfId="0" applyNumberFormat="1" applyFont="1" applyFill="1" applyBorder="1" applyAlignment="1" applyProtection="1">
      <alignment horizontal="center" vertical="center" wrapText="1"/>
      <protection locked="0"/>
    </xf>
    <xf numFmtId="1" fontId="21" fillId="77" borderId="738" xfId="0" applyNumberFormat="1" applyFont="1" applyFill="1" applyBorder="1" applyAlignment="1" applyProtection="1">
      <alignment horizontal="center" vertical="center" wrapText="1"/>
    </xf>
    <xf numFmtId="1" fontId="21" fillId="42" borderId="738" xfId="0" applyNumberFormat="1" applyFont="1" applyFill="1" applyBorder="1" applyAlignment="1" applyProtection="1">
      <alignment horizontal="center" vertical="center" wrapText="1"/>
      <protection locked="0"/>
    </xf>
    <xf numFmtId="0" fontId="21" fillId="0" borderId="734" xfId="0" applyFont="1" applyBorder="1" applyAlignment="1" applyProtection="1">
      <alignment horizontal="center" vertical="center" wrapText="1"/>
      <protection locked="0"/>
    </xf>
    <xf numFmtId="1" fontId="21" fillId="77" borderId="256" xfId="0" applyNumberFormat="1" applyFont="1" applyFill="1" applyBorder="1" applyAlignment="1" applyProtection="1">
      <alignment horizontal="center" vertical="center" wrapText="1"/>
    </xf>
    <xf numFmtId="1" fontId="21" fillId="77" borderId="241" xfId="0" applyNumberFormat="1" applyFont="1" applyFill="1" applyBorder="1" applyAlignment="1" applyProtection="1">
      <alignment horizontal="center" vertical="center"/>
    </xf>
    <xf numFmtId="1" fontId="21" fillId="77" borderId="237" xfId="0" applyNumberFormat="1" applyFont="1" applyFill="1" applyBorder="1" applyAlignment="1" applyProtection="1">
      <alignment horizontal="center" vertical="center" wrapText="1"/>
    </xf>
    <xf numFmtId="0" fontId="21" fillId="77" borderId="240" xfId="0" applyFont="1" applyFill="1" applyBorder="1" applyAlignment="1" applyProtection="1">
      <alignment horizontal="center" vertical="center" wrapText="1"/>
    </xf>
    <xf numFmtId="0" fontId="22" fillId="0" borderId="732" xfId="0" applyFont="1" applyFill="1" applyBorder="1" applyAlignment="1" applyProtection="1">
      <alignment horizontal="left" vertical="top" wrapText="1"/>
    </xf>
    <xf numFmtId="1" fontId="0" fillId="0" borderId="0" xfId="0" applyNumberFormat="1" applyFont="1" applyBorder="1" applyAlignment="1" applyProtection="1">
      <alignment horizontal="center" vertical="center"/>
      <protection locked="0"/>
    </xf>
    <xf numFmtId="1" fontId="21" fillId="3" borderId="246" xfId="0" applyNumberFormat="1" applyFont="1" applyFill="1" applyBorder="1" applyAlignment="1" applyProtection="1">
      <alignment horizontal="center" vertical="center" wrapText="1"/>
      <protection locked="0"/>
    </xf>
    <xf numFmtId="1" fontId="21" fillId="50" borderId="246" xfId="0" applyNumberFormat="1" applyFont="1" applyFill="1" applyBorder="1" applyAlignment="1" applyProtection="1">
      <alignment horizontal="center" vertical="center" wrapText="1"/>
      <protection locked="0"/>
    </xf>
    <xf numFmtId="0" fontId="80" fillId="0" borderId="732" xfId="0" applyFont="1" applyBorder="1" applyAlignment="1" applyProtection="1">
      <alignment horizontal="center" vertical="center" wrapText="1"/>
      <protection locked="0"/>
    </xf>
    <xf numFmtId="0" fontId="23" fillId="76" borderId="223" xfId="0" applyFont="1" applyFill="1" applyBorder="1" applyAlignment="1" applyProtection="1">
      <alignment horizontal="center" vertical="center" wrapText="1"/>
    </xf>
    <xf numFmtId="0" fontId="21" fillId="77" borderId="224" xfId="0" applyNumberFormat="1" applyFont="1" applyFill="1" applyBorder="1" applyAlignment="1" applyProtection="1">
      <alignment horizontal="center" vertical="center" wrapText="1"/>
    </xf>
    <xf numFmtId="0" fontId="15" fillId="0" borderId="224" xfId="0" applyNumberFormat="1" applyFont="1" applyFill="1" applyBorder="1" applyAlignment="1" applyProtection="1">
      <alignment horizontal="center" vertical="center" wrapText="1"/>
      <protection locked="0"/>
    </xf>
    <xf numFmtId="1" fontId="21" fillId="75" borderId="233" xfId="0" applyNumberFormat="1" applyFont="1" applyFill="1" applyBorder="1" applyAlignment="1" applyProtection="1">
      <alignment horizontal="center" vertical="center" wrapText="1"/>
    </xf>
    <xf numFmtId="1" fontId="21" fillId="0" borderId="734" xfId="0" applyNumberFormat="1" applyFont="1" applyBorder="1" applyAlignment="1" applyProtection="1">
      <alignment horizontal="center" vertical="center" wrapText="1"/>
      <protection locked="0"/>
    </xf>
    <xf numFmtId="0" fontId="21" fillId="77" borderId="233" xfId="0" applyFont="1" applyFill="1" applyBorder="1" applyAlignment="1" applyProtection="1">
      <alignment horizontal="center" vertical="center" wrapText="1"/>
    </xf>
    <xf numFmtId="1" fontId="21" fillId="77" borderId="245" xfId="0" applyNumberFormat="1" applyFont="1" applyFill="1" applyBorder="1" applyAlignment="1" applyProtection="1">
      <alignment horizontal="center" vertical="center" wrapText="1"/>
    </xf>
    <xf numFmtId="1" fontId="21" fillId="0" borderId="734" xfId="0" applyNumberFormat="1" applyFont="1" applyFill="1" applyBorder="1" applyAlignment="1" applyProtection="1">
      <alignment horizontal="center" vertical="center" wrapText="1"/>
    </xf>
    <xf numFmtId="1" fontId="21" fillId="0" borderId="240" xfId="0" applyNumberFormat="1" applyFont="1" applyBorder="1" applyAlignment="1" applyProtection="1">
      <alignment horizontal="center" vertical="center" wrapText="1"/>
      <protection locked="0"/>
    </xf>
    <xf numFmtId="1" fontId="21" fillId="75" borderId="734" xfId="0" applyNumberFormat="1" applyFont="1" applyFill="1" applyBorder="1" applyAlignment="1" applyProtection="1">
      <alignment horizontal="center" vertical="center" wrapText="1"/>
      <protection locked="0"/>
    </xf>
    <xf numFmtId="1" fontId="21" fillId="0" borderId="734" xfId="0" applyNumberFormat="1" applyFont="1" applyFill="1" applyBorder="1" applyAlignment="1" applyProtection="1">
      <alignment horizontal="center" vertical="center" wrapText="1"/>
      <protection locked="0"/>
    </xf>
    <xf numFmtId="1" fontId="21" fillId="80" borderId="747" xfId="0" applyNumberFormat="1" applyFont="1" applyFill="1" applyBorder="1" applyAlignment="1" applyProtection="1">
      <alignment vertical="center" wrapText="1"/>
    </xf>
    <xf numFmtId="0" fontId="23" fillId="77" borderId="237" xfId="0" applyFont="1" applyFill="1" applyBorder="1" applyAlignment="1" applyProtection="1">
      <alignment horizontal="center" vertical="center" wrapText="1"/>
    </xf>
    <xf numFmtId="0" fontId="21" fillId="76" borderId="224" xfId="0" applyFont="1" applyFill="1" applyBorder="1" applyAlignment="1" applyProtection="1">
      <alignment horizontal="center" vertical="center" wrapText="1"/>
    </xf>
    <xf numFmtId="0" fontId="21" fillId="77" borderId="233" xfId="0" applyNumberFormat="1" applyFont="1" applyFill="1" applyBorder="1" applyAlignment="1" applyProtection="1">
      <alignment horizontal="center" vertical="center" wrapText="1"/>
    </xf>
    <xf numFmtId="0" fontId="21" fillId="81" borderId="233" xfId="0" applyFont="1" applyFill="1" applyBorder="1" applyAlignment="1" applyProtection="1">
      <alignment horizontal="center" vertical="center" wrapText="1"/>
    </xf>
    <xf numFmtId="0" fontId="21" fillId="76" borderId="233" xfId="0" applyFont="1" applyFill="1" applyBorder="1" applyAlignment="1" applyProtection="1">
      <alignment horizontal="center" vertical="center" wrapText="1"/>
    </xf>
    <xf numFmtId="49" fontId="54" fillId="0" borderId="0" xfId="16" applyBorder="1" applyAlignment="1">
      <alignment horizontal="center" vertical="center" wrapText="1"/>
    </xf>
    <xf numFmtId="0" fontId="80" fillId="0" borderId="566" xfId="6" applyFont="1" applyFill="1" applyBorder="1" applyProtection="1">
      <alignment horizontal="center" vertical="center" wrapText="1"/>
    </xf>
    <xf numFmtId="0" fontId="0" fillId="0" borderId="0" xfId="0"/>
    <xf numFmtId="0" fontId="23" fillId="77" borderId="531" xfId="6" applyFont="1" applyFill="1" applyBorder="1" applyAlignment="1" applyProtection="1">
      <alignment horizontal="center" vertical="center" wrapText="1"/>
    </xf>
    <xf numFmtId="1" fontId="21" fillId="0" borderId="237" xfId="0" applyNumberFormat="1" applyFont="1" applyBorder="1" applyAlignment="1" applyProtection="1">
      <alignment horizontal="left" vertical="center" wrapText="1"/>
      <protection locked="0"/>
    </xf>
    <xf numFmtId="0" fontId="22" fillId="0" borderId="224" xfId="0" applyFont="1" applyFill="1" applyBorder="1" applyAlignment="1" applyProtection="1">
      <alignment vertical="top" wrapText="1"/>
      <protection locked="0"/>
    </xf>
    <xf numFmtId="0" fontId="21" fillId="0" borderId="252" xfId="0" applyFont="1" applyFill="1" applyBorder="1" applyAlignment="1" applyProtection="1">
      <alignment vertical="top" wrapText="1"/>
    </xf>
    <xf numFmtId="1" fontId="28" fillId="3" borderId="246" xfId="0" applyNumberFormat="1" applyFont="1" applyFill="1" applyBorder="1" applyAlignment="1" applyProtection="1">
      <alignment horizontal="left" vertical="center" wrapText="1"/>
      <protection locked="0"/>
    </xf>
    <xf numFmtId="1" fontId="21" fillId="0" borderId="232" xfId="0" applyNumberFormat="1" applyFont="1" applyBorder="1" applyAlignment="1" applyProtection="1">
      <alignment horizontal="center" vertical="center" wrapText="1"/>
      <protection locked="0"/>
    </xf>
    <xf numFmtId="1" fontId="21" fillId="78" borderId="755" xfId="0" applyNumberFormat="1" applyFont="1" applyFill="1" applyBorder="1" applyAlignment="1" applyProtection="1">
      <alignment horizontal="left" vertical="center" wrapText="1"/>
    </xf>
    <xf numFmtId="1" fontId="26" fillId="35" borderId="631" xfId="9" applyFont="1" applyFill="1" applyBorder="1" applyAlignment="1" applyProtection="1">
      <alignment horizontal="center" vertical="center"/>
    </xf>
    <xf numFmtId="0" fontId="0" fillId="0" borderId="0" xfId="0" applyBorder="1" applyAlignment="1"/>
    <xf numFmtId="0" fontId="0" fillId="0" borderId="0" xfId="0" applyBorder="1"/>
    <xf numFmtId="0" fontId="23" fillId="0" borderId="0" xfId="0" applyFont="1" applyBorder="1" applyAlignment="1" applyProtection="1">
      <alignment horizontal="left" vertical="center" wrapText="1"/>
    </xf>
    <xf numFmtId="0" fontId="0" fillId="0" borderId="0" xfId="0"/>
    <xf numFmtId="1" fontId="0" fillId="0" borderId="236" xfId="0" applyNumberFormat="1" applyBorder="1" applyAlignment="1" applyProtection="1">
      <alignment horizontal="left" vertical="center"/>
      <protection locked="0"/>
    </xf>
    <xf numFmtId="1" fontId="21" fillId="50" borderId="244" xfId="0" applyNumberFormat="1" applyFont="1" applyFill="1" applyBorder="1" applyAlignment="1" applyProtection="1">
      <alignment horizontal="center" vertical="center" wrapText="1"/>
      <protection locked="0"/>
    </xf>
    <xf numFmtId="0" fontId="13" fillId="0" borderId="0" xfId="0" applyFont="1" applyBorder="1" applyAlignment="1" applyProtection="1">
      <alignment horizontal="center" vertical="center" wrapText="1"/>
    </xf>
    <xf numFmtId="0" fontId="23" fillId="0" borderId="12" xfId="0" applyFont="1" applyBorder="1" applyAlignment="1" applyProtection="1">
      <alignment horizontal="left" vertical="top" wrapText="1"/>
    </xf>
    <xf numFmtId="0" fontId="23" fillId="0" borderId="0" xfId="0" applyFont="1" applyBorder="1" applyAlignment="1" applyProtection="1">
      <alignment horizontal="center" vertical="top"/>
    </xf>
    <xf numFmtId="0" fontId="22" fillId="0" borderId="235" xfId="0" applyFont="1" applyBorder="1" applyAlignment="1" applyProtection="1">
      <alignment horizontal="left" vertical="top" wrapText="1"/>
    </xf>
    <xf numFmtId="0" fontId="22" fillId="0" borderId="236" xfId="0" applyFont="1" applyBorder="1" applyAlignment="1" applyProtection="1">
      <alignment horizontal="center" vertical="center" wrapText="1"/>
    </xf>
    <xf numFmtId="0" fontId="23" fillId="3" borderId="237" xfId="0" applyFont="1" applyFill="1" applyBorder="1" applyAlignment="1" applyProtection="1">
      <alignment horizontal="left" vertical="top" wrapText="1"/>
    </xf>
    <xf numFmtId="0" fontId="23" fillId="3" borderId="545" xfId="0" applyFont="1" applyFill="1" applyBorder="1" applyAlignment="1" applyProtection="1">
      <alignment horizontal="left" vertical="top" wrapText="1"/>
    </xf>
    <xf numFmtId="1" fontId="21" fillId="0" borderId="223" xfId="0" applyNumberFormat="1" applyFont="1" applyBorder="1" applyAlignment="1" applyProtection="1">
      <alignment horizontal="center" vertical="center" wrapText="1"/>
    </xf>
    <xf numFmtId="0" fontId="22" fillId="0" borderId="223" xfId="0" applyFont="1" applyBorder="1" applyAlignment="1" applyProtection="1">
      <alignment horizontal="center" vertical="center" wrapText="1" shrinkToFit="1"/>
    </xf>
    <xf numFmtId="1" fontId="21" fillId="0" borderId="223" xfId="0" applyNumberFormat="1" applyFont="1" applyBorder="1" applyAlignment="1" applyProtection="1">
      <alignment horizontal="center" vertical="center"/>
    </xf>
    <xf numFmtId="0" fontId="22" fillId="35" borderId="734" xfId="0" applyFont="1" applyFill="1" applyBorder="1" applyAlignment="1" applyProtection="1">
      <alignment horizontal="center" vertical="center" wrapText="1" shrinkToFit="1"/>
    </xf>
    <xf numFmtId="1" fontId="21" fillId="35" borderId="734" xfId="0" applyNumberFormat="1" applyFont="1" applyFill="1" applyBorder="1" applyAlignment="1" applyProtection="1">
      <alignment horizontal="center" vertical="center"/>
    </xf>
    <xf numFmtId="1" fontId="21" fillId="35" borderId="753" xfId="0" applyNumberFormat="1" applyFont="1" applyFill="1" applyBorder="1" applyAlignment="1" applyProtection="1">
      <alignment horizontal="center" vertical="center"/>
    </xf>
    <xf numFmtId="14" fontId="0" fillId="0" borderId="432" xfId="0" applyNumberFormat="1" applyFill="1" applyBorder="1" applyProtection="1">
      <protection locked="0"/>
    </xf>
    <xf numFmtId="169" fontId="0" fillId="0" borderId="713" xfId="0" applyNumberFormat="1" applyFill="1" applyBorder="1" applyAlignment="1" applyProtection="1">
      <protection locked="0"/>
    </xf>
    <xf numFmtId="14" fontId="0" fillId="0" borderId="713" xfId="0" applyNumberFormat="1" applyFill="1" applyBorder="1" applyAlignment="1" applyProtection="1">
      <protection locked="0"/>
    </xf>
    <xf numFmtId="0" fontId="121" fillId="0" borderId="774" xfId="5" applyFont="1" applyBorder="1" applyAlignment="1" applyProtection="1">
      <protection locked="0"/>
    </xf>
    <xf numFmtId="0" fontId="0" fillId="0" borderId="774" xfId="0" applyBorder="1" applyAlignment="1" applyProtection="1">
      <protection locked="0"/>
    </xf>
    <xf numFmtId="0" fontId="0" fillId="0" borderId="731" xfId="0" applyBorder="1" applyAlignment="1" applyProtection="1">
      <alignment horizontal="left" vertical="top" wrapText="1"/>
      <protection locked="0"/>
    </xf>
    <xf numFmtId="0" fontId="0" fillId="0" borderId="730" xfId="0" applyBorder="1" applyAlignment="1" applyProtection="1">
      <alignment horizontal="left" vertical="top" wrapText="1"/>
      <protection locked="0"/>
    </xf>
    <xf numFmtId="0" fontId="0" fillId="0" borderId="773" xfId="0" applyBorder="1" applyAlignment="1" applyProtection="1">
      <alignment horizontal="right" vertical="top" wrapText="1"/>
    </xf>
    <xf numFmtId="0" fontId="0" fillId="0" borderId="731" xfId="0" applyBorder="1" applyAlignment="1" applyProtection="1">
      <alignment horizontal="left" vertical="top" wrapText="1"/>
    </xf>
    <xf numFmtId="0" fontId="0" fillId="0" borderId="777" xfId="0" applyBorder="1" applyAlignment="1" applyProtection="1">
      <alignment horizontal="left" vertical="top" wrapText="1"/>
    </xf>
    <xf numFmtId="0" fontId="0" fillId="0" borderId="776" xfId="0" applyBorder="1" applyAlignment="1" applyProtection="1">
      <alignment horizontal="left" vertical="top" wrapText="1"/>
    </xf>
    <xf numFmtId="0" fontId="0" fillId="0" borderId="362" xfId="0" applyBorder="1" applyAlignment="1" applyProtection="1">
      <alignment horizontal="right" vertical="top" wrapText="1"/>
    </xf>
    <xf numFmtId="0" fontId="23" fillId="0" borderId="731" xfId="0" applyFont="1" applyBorder="1" applyAlignment="1" applyProtection="1">
      <alignment horizontal="center" vertical="top" wrapText="1"/>
    </xf>
    <xf numFmtId="0" fontId="23" fillId="40" borderId="731" xfId="23" applyBorder="1">
      <alignment horizontal="left" vertical="top" wrapText="1"/>
      <protection locked="0"/>
    </xf>
    <xf numFmtId="0" fontId="15" fillId="0" borderId="781" xfId="12" applyFont="1" applyFill="1" applyBorder="1" applyAlignment="1" applyProtection="1">
      <alignment horizontal="center" vertical="center" wrapText="1"/>
      <protection locked="0"/>
    </xf>
    <xf numFmtId="49" fontId="23" fillId="0" borderId="0" xfId="0" applyNumberFormat="1" applyFont="1" applyBorder="1" applyAlignment="1" applyProtection="1">
      <alignment horizontal="center" vertical="top" wrapText="1"/>
    </xf>
    <xf numFmtId="2" fontId="23" fillId="0" borderId="12" xfId="0" applyNumberFormat="1" applyFont="1" applyBorder="1" applyAlignment="1" applyProtection="1">
      <alignment horizontal="left" vertical="top"/>
    </xf>
    <xf numFmtId="1" fontId="22" fillId="10" borderId="0" xfId="9" applyFont="1" applyBorder="1" applyAlignment="1" applyProtection="1">
      <alignment horizontal="center" vertical="center" wrapText="1"/>
      <protection locked="0"/>
    </xf>
    <xf numFmtId="49" fontId="23" fillId="0" borderId="0" xfId="0" applyNumberFormat="1" applyFont="1" applyBorder="1" applyAlignment="1" applyProtection="1">
      <alignment horizontal="center" vertical="top"/>
    </xf>
    <xf numFmtId="0" fontId="21" fillId="0" borderId="235" xfId="0" applyFont="1" applyBorder="1" applyAlignment="1" applyProtection="1">
      <alignment horizontal="left" vertical="top" wrapText="1" indent="4"/>
    </xf>
    <xf numFmtId="0" fontId="22" fillId="81" borderId="236" xfId="0" applyFont="1" applyFill="1" applyBorder="1" applyAlignment="1" applyProtection="1">
      <alignment horizontal="center" vertical="center" wrapText="1"/>
    </xf>
    <xf numFmtId="1" fontId="21" fillId="81" borderId="236" xfId="0" applyNumberFormat="1" applyFont="1" applyFill="1" applyBorder="1" applyAlignment="1" applyProtection="1">
      <alignment horizontal="center" vertical="center" wrapText="1"/>
    </xf>
    <xf numFmtId="0" fontId="23" fillId="81" borderId="237" xfId="0" applyFont="1" applyFill="1" applyBorder="1" applyAlignment="1" applyProtection="1">
      <alignment horizontal="left" vertical="top" wrapText="1"/>
    </xf>
    <xf numFmtId="0" fontId="23" fillId="81" borderId="545" xfId="0" applyFont="1" applyFill="1" applyBorder="1" applyAlignment="1" applyProtection="1">
      <alignment horizontal="left" vertical="top" wrapText="1"/>
    </xf>
    <xf numFmtId="1" fontId="21" fillId="81" borderId="237" xfId="0" applyNumberFormat="1" applyFont="1" applyFill="1" applyBorder="1" applyAlignment="1" applyProtection="1">
      <alignment horizontal="center" vertical="center" wrapText="1"/>
    </xf>
    <xf numFmtId="1" fontId="21" fillId="0" borderId="783" xfId="0" applyNumberFormat="1" applyFont="1" applyBorder="1" applyAlignment="1" applyProtection="1">
      <alignment horizontal="center" vertical="center" wrapText="1"/>
    </xf>
    <xf numFmtId="0" fontId="28" fillId="0" borderId="236" xfId="0" applyFont="1" applyFill="1" applyBorder="1" applyAlignment="1" applyProtection="1">
      <alignment horizontal="center" vertical="center" wrapText="1"/>
    </xf>
    <xf numFmtId="0" fontId="28" fillId="0" borderId="223" xfId="0" applyFont="1" applyFill="1" applyBorder="1" applyAlignment="1" applyProtection="1">
      <alignment horizontal="center" vertical="center" wrapText="1"/>
    </xf>
    <xf numFmtId="0" fontId="0" fillId="0" borderId="0" xfId="0" applyFont="1" applyAlignment="1" applyProtection="1">
      <alignment horizontal="left" vertical="top"/>
      <protection locked="0"/>
    </xf>
    <xf numFmtId="0" fontId="0" fillId="0" borderId="0" xfId="0" applyFont="1" applyProtection="1"/>
    <xf numFmtId="0" fontId="0" fillId="0" borderId="0" xfId="0" applyFont="1" applyAlignment="1" applyProtection="1">
      <alignment horizontal="left" vertical="top"/>
    </xf>
    <xf numFmtId="0" fontId="0" fillId="0" borderId="0" xfId="0" applyFont="1" applyFill="1" applyBorder="1" applyProtection="1">
      <protection locked="0"/>
    </xf>
    <xf numFmtId="0" fontId="0" fillId="0" borderId="0" xfId="0" applyFont="1" applyFill="1" applyProtection="1"/>
    <xf numFmtId="0" fontId="0" fillId="0" borderId="0" xfId="0" applyFont="1" applyFill="1" applyProtection="1">
      <protection locked="0"/>
    </xf>
    <xf numFmtId="0" fontId="148" fillId="8" borderId="26" xfId="6" applyFont="1" applyFill="1" applyBorder="1" applyAlignment="1" applyProtection="1">
      <alignment horizontal="left" vertical="center" wrapText="1"/>
    </xf>
    <xf numFmtId="0" fontId="30" fillId="8" borderId="26" xfId="0" applyFont="1" applyFill="1" applyBorder="1" applyAlignment="1">
      <alignment horizontal="center"/>
    </xf>
    <xf numFmtId="0" fontId="30" fillId="8" borderId="701" xfId="0" applyFont="1" applyFill="1" applyBorder="1"/>
    <xf numFmtId="0" fontId="80" fillId="0" borderId="531" xfId="6" applyFont="1" applyFill="1" applyBorder="1" applyAlignment="1" applyProtection="1">
      <alignment horizontal="center" vertical="center" wrapText="1"/>
      <protection locked="0"/>
    </xf>
    <xf numFmtId="0" fontId="55" fillId="0" borderId="0" xfId="0" applyFont="1" applyBorder="1" applyAlignment="1" applyProtection="1">
      <alignment horizontal="left" vertical="center"/>
    </xf>
    <xf numFmtId="0" fontId="5" fillId="3" borderId="0" xfId="4" applyFont="1" applyFill="1" applyBorder="1" applyAlignment="1">
      <alignment horizontal="left" vertical="top" wrapText="1"/>
    </xf>
    <xf numFmtId="0" fontId="30" fillId="0" borderId="140" xfId="0" applyFont="1" applyBorder="1" applyAlignment="1" applyProtection="1">
      <alignment horizontal="center" vertical="center" wrapText="1"/>
      <protection locked="0"/>
    </xf>
    <xf numFmtId="0" fontId="30" fillId="0" borderId="372" xfId="0" applyFont="1" applyBorder="1" applyAlignment="1" applyProtection="1">
      <alignment horizontal="center" vertical="center" wrapText="1"/>
      <protection locked="0"/>
    </xf>
    <xf numFmtId="0" fontId="30" fillId="0" borderId="343" xfId="0" applyFont="1" applyBorder="1" applyAlignment="1" applyProtection="1">
      <alignment horizontal="center" vertical="center" wrapText="1"/>
      <protection locked="0"/>
    </xf>
    <xf numFmtId="0" fontId="13" fillId="0" borderId="0" xfId="0" applyFont="1" applyBorder="1" applyAlignment="1" applyProtection="1">
      <alignment horizontal="center" vertical="center" wrapText="1"/>
    </xf>
    <xf numFmtId="0" fontId="30" fillId="0" borderId="13" xfId="0" applyFont="1" applyBorder="1" applyAlignment="1" applyProtection="1">
      <alignment horizontal="center" vertical="center" wrapText="1"/>
      <protection locked="0"/>
    </xf>
    <xf numFmtId="1" fontId="26" fillId="10" borderId="434" xfId="9" applyBorder="1">
      <alignment horizontal="center" vertical="center"/>
      <protection locked="0"/>
    </xf>
    <xf numFmtId="0" fontId="13" fillId="0" borderId="26" xfId="0" applyFont="1" applyBorder="1" applyAlignment="1">
      <alignment horizontal="center" vertical="center" wrapText="1"/>
    </xf>
    <xf numFmtId="1" fontId="26" fillId="10" borderId="15" xfId="9" applyBorder="1">
      <alignment horizontal="center" vertical="center"/>
      <protection locked="0"/>
    </xf>
    <xf numFmtId="167" fontId="23" fillId="0" borderId="26" xfId="0" applyNumberFormat="1" applyFont="1" applyBorder="1" applyAlignment="1">
      <alignment horizontal="center" vertical="top"/>
    </xf>
    <xf numFmtId="0" fontId="23" fillId="0" borderId="12" xfId="0" applyFont="1" applyBorder="1" applyAlignment="1">
      <alignment horizontal="left" vertical="top"/>
    </xf>
    <xf numFmtId="0" fontId="23" fillId="0" borderId="34" xfId="0" applyFont="1" applyBorder="1" applyAlignment="1">
      <alignment horizontal="center" vertical="top"/>
    </xf>
    <xf numFmtId="0" fontId="23" fillId="0" borderId="0" xfId="0" applyFont="1" applyBorder="1" applyAlignment="1">
      <alignment horizontal="center" vertical="top"/>
    </xf>
    <xf numFmtId="0" fontId="13" fillId="0" borderId="34" xfId="0" applyFont="1" applyBorder="1" applyAlignment="1">
      <alignment horizontal="center" vertical="center" wrapText="1"/>
    </xf>
    <xf numFmtId="0" fontId="13" fillId="0" borderId="0" xfId="0" applyFont="1" applyBorder="1" applyAlignment="1">
      <alignment horizontal="center" vertical="center" wrapText="1"/>
    </xf>
    <xf numFmtId="1" fontId="26" fillId="10" borderId="456" xfId="9" applyBorder="1">
      <alignment horizontal="center" vertical="center"/>
      <protection locked="0"/>
    </xf>
    <xf numFmtId="0" fontId="0" fillId="0" borderId="0" xfId="0" applyBorder="1"/>
    <xf numFmtId="0" fontId="21" fillId="0" borderId="34" xfId="4" quotePrefix="1" applyNumberFormat="1" applyFont="1" applyBorder="1" applyAlignment="1" applyProtection="1">
      <alignment horizontal="center" vertical="top"/>
    </xf>
    <xf numFmtId="0" fontId="21" fillId="0" borderId="34" xfId="4" quotePrefix="1" applyNumberFormat="1" applyFont="1" applyBorder="1" applyAlignment="1" applyProtection="1">
      <alignment horizontal="left" vertical="top"/>
    </xf>
    <xf numFmtId="0" fontId="21" fillId="0" borderId="0" xfId="4" applyNumberFormat="1" applyFont="1" applyBorder="1" applyAlignment="1">
      <alignment vertical="top" wrapText="1"/>
    </xf>
    <xf numFmtId="49" fontId="0" fillId="0" borderId="13" xfId="0" applyNumberFormat="1" applyBorder="1" applyAlignment="1" applyProtection="1">
      <alignment horizontal="center" vertical="center"/>
      <protection locked="0"/>
    </xf>
    <xf numFmtId="0" fontId="15" fillId="0" borderId="13" xfId="4" applyFont="1" applyBorder="1" applyAlignment="1" applyProtection="1">
      <alignment horizontal="center" vertical="center" wrapText="1"/>
      <protection locked="0"/>
    </xf>
    <xf numFmtId="0" fontId="21" fillId="0" borderId="0" xfId="4" applyNumberFormat="1" applyFont="1" applyBorder="1" applyAlignment="1" applyProtection="1">
      <alignment vertical="top" wrapText="1"/>
    </xf>
    <xf numFmtId="0" fontId="21" fillId="0" borderId="0" xfId="4" applyFont="1" applyBorder="1"/>
    <xf numFmtId="49" fontId="0" fillId="0" borderId="396" xfId="0" applyNumberFormat="1" applyBorder="1" applyAlignment="1" applyProtection="1">
      <alignment horizontal="center" vertical="center"/>
      <protection locked="0"/>
    </xf>
    <xf numFmtId="0" fontId="22" fillId="0" borderId="34" xfId="4" applyNumberFormat="1" applyFont="1" applyBorder="1" applyAlignment="1">
      <alignment horizontal="center" vertical="center" wrapText="1"/>
    </xf>
    <xf numFmtId="0" fontId="15" fillId="0" borderId="118" xfId="4" applyNumberFormat="1" applyFont="1" applyBorder="1" applyAlignment="1" applyProtection="1">
      <alignment horizontal="center" vertical="center" wrapText="1"/>
      <protection locked="0"/>
    </xf>
    <xf numFmtId="0" fontId="22" fillId="0" borderId="0" xfId="4" applyNumberFormat="1" applyFont="1" applyBorder="1" applyAlignment="1">
      <alignment horizontal="center" vertical="center" wrapText="1"/>
    </xf>
    <xf numFmtId="1" fontId="26" fillId="10" borderId="15" xfId="9" applyBorder="1" applyProtection="1">
      <alignment horizontal="center" vertical="center"/>
      <protection locked="0"/>
    </xf>
    <xf numFmtId="0" fontId="22" fillId="0" borderId="34" xfId="4" applyNumberFormat="1" applyFont="1" applyBorder="1" applyAlignment="1" applyProtection="1">
      <alignment horizontal="center" vertical="center" wrapText="1"/>
    </xf>
    <xf numFmtId="0" fontId="21" fillId="0" borderId="32" xfId="4" applyNumberFormat="1" applyFont="1" applyBorder="1" applyAlignment="1" applyProtection="1">
      <alignment vertical="top" wrapText="1"/>
    </xf>
    <xf numFmtId="0" fontId="23" fillId="0" borderId="0" xfId="0" applyFont="1" applyBorder="1" applyAlignment="1">
      <alignment horizontal="left" vertical="top"/>
    </xf>
    <xf numFmtId="0" fontId="23" fillId="0" borderId="118" xfId="0" applyFont="1" applyBorder="1" applyAlignment="1" applyProtection="1">
      <alignment vertical="top"/>
    </xf>
    <xf numFmtId="0" fontId="0" fillId="0" borderId="34" xfId="0" applyBorder="1" applyProtection="1"/>
    <xf numFmtId="0" fontId="13" fillId="15" borderId="120" xfId="15" applyBorder="1">
      <alignment horizontal="center" vertical="center"/>
    </xf>
    <xf numFmtId="0" fontId="0" fillId="0" borderId="69" xfId="0" applyBorder="1" applyProtection="1"/>
    <xf numFmtId="0" fontId="0" fillId="0" borderId="0" xfId="0" applyBorder="1" applyAlignment="1">
      <alignment horizontal="left" vertical="top"/>
    </xf>
    <xf numFmtId="0" fontId="13" fillId="15" borderId="364" xfId="15" applyBorder="1">
      <alignment horizontal="center" vertical="center"/>
    </xf>
    <xf numFmtId="0" fontId="22" fillId="0" borderId="67" xfId="4" applyNumberFormat="1" applyFont="1" applyBorder="1" applyAlignment="1" applyProtection="1">
      <alignment horizontal="center" vertical="center" wrapText="1"/>
    </xf>
    <xf numFmtId="0" fontId="22" fillId="0" borderId="0" xfId="4" applyNumberFormat="1" applyFont="1" applyBorder="1" applyAlignment="1" applyProtection="1">
      <alignment horizontal="center" vertical="center" wrapText="1"/>
    </xf>
    <xf numFmtId="0" fontId="23" fillId="0" borderId="0" xfId="0" applyFont="1" applyBorder="1" applyAlignment="1" applyProtection="1">
      <alignment horizontal="center" vertical="center" wrapText="1"/>
    </xf>
    <xf numFmtId="0" fontId="21" fillId="0" borderId="67" xfId="4" quotePrefix="1" applyNumberFormat="1" applyFont="1" applyBorder="1" applyAlignment="1">
      <alignment horizontal="left" vertical="top"/>
    </xf>
    <xf numFmtId="0" fontId="0" fillId="0" borderId="12" xfId="0" applyFont="1" applyBorder="1"/>
    <xf numFmtId="167" fontId="23" fillId="0" borderId="0" xfId="0" applyNumberFormat="1" applyFont="1" applyBorder="1" applyAlignment="1">
      <alignment horizontal="center" vertical="top"/>
    </xf>
    <xf numFmtId="1" fontId="22" fillId="0" borderId="0" xfId="4" applyNumberFormat="1" applyFont="1" applyBorder="1" applyAlignment="1">
      <alignment horizontal="center" vertical="center" wrapText="1"/>
    </xf>
    <xf numFmtId="0" fontId="21" fillId="0" borderId="34" xfId="4" quotePrefix="1" applyNumberFormat="1" applyFont="1" applyBorder="1" applyAlignment="1">
      <alignment horizontal="left" vertical="top"/>
    </xf>
    <xf numFmtId="0" fontId="30" fillId="0" borderId="0" xfId="0" applyFont="1" applyBorder="1" applyAlignment="1">
      <alignment horizontal="center" vertical="center" wrapText="1"/>
    </xf>
    <xf numFmtId="2" fontId="21" fillId="0" borderId="413" xfId="4" quotePrefix="1" applyNumberFormat="1" applyFont="1" applyBorder="1" applyAlignment="1">
      <alignment horizontal="left" vertical="top"/>
    </xf>
    <xf numFmtId="0" fontId="21" fillId="0" borderId="68" xfId="4" quotePrefix="1" applyNumberFormat="1" applyFont="1" applyBorder="1" applyAlignment="1" applyProtection="1">
      <alignment horizontal="left" vertical="top"/>
    </xf>
    <xf numFmtId="0" fontId="21" fillId="0" borderId="12" xfId="4" quotePrefix="1" applyNumberFormat="1" applyFont="1" applyBorder="1" applyAlignment="1">
      <alignment horizontal="left" vertical="top"/>
    </xf>
    <xf numFmtId="0" fontId="21" fillId="0" borderId="0" xfId="4" quotePrefix="1" applyNumberFormat="1" applyFont="1" applyBorder="1" applyAlignment="1">
      <alignment horizontal="left" vertical="top"/>
    </xf>
    <xf numFmtId="0" fontId="15" fillId="0" borderId="343" xfId="4" applyFont="1" applyBorder="1" applyAlignment="1" applyProtection="1">
      <alignment horizontal="center" vertical="center" wrapText="1"/>
      <protection locked="0"/>
    </xf>
    <xf numFmtId="0" fontId="23" fillId="0" borderId="67" xfId="0" applyFont="1" applyBorder="1" applyAlignment="1" applyProtection="1">
      <alignment horizontal="center" vertical="center" wrapText="1"/>
    </xf>
    <xf numFmtId="0" fontId="21" fillId="0" borderId="342" xfId="4" quotePrefix="1" applyNumberFormat="1" applyFont="1" applyBorder="1" applyAlignment="1">
      <alignment horizontal="left" vertical="top"/>
    </xf>
    <xf numFmtId="0" fontId="13" fillId="15" borderId="120" xfId="15" applyBorder="1" applyProtection="1">
      <alignment horizontal="center" vertical="center"/>
    </xf>
    <xf numFmtId="167" fontId="21" fillId="0" borderId="0" xfId="4" applyNumberFormat="1" applyFont="1" applyBorder="1" applyAlignment="1">
      <alignment horizontal="center" vertical="top"/>
    </xf>
    <xf numFmtId="0" fontId="23" fillId="0" borderId="32" xfId="0" applyFont="1" applyBorder="1" applyAlignment="1">
      <alignment vertical="top"/>
    </xf>
    <xf numFmtId="0" fontId="22" fillId="0" borderId="67" xfId="4" applyNumberFormat="1" applyFont="1" applyBorder="1" applyAlignment="1">
      <alignment horizontal="center" vertical="center" wrapText="1"/>
    </xf>
    <xf numFmtId="0" fontId="21" fillId="0" borderId="0" xfId="4" quotePrefix="1" applyNumberFormat="1" applyFont="1" applyBorder="1" applyAlignment="1">
      <alignment horizontal="center" vertical="top"/>
    </xf>
    <xf numFmtId="0" fontId="32" fillId="0" borderId="24" xfId="0" applyFont="1" applyBorder="1" applyAlignment="1">
      <alignment horizontal="right" vertical="center" wrapText="1"/>
    </xf>
    <xf numFmtId="0" fontId="23" fillId="0" borderId="0" xfId="0" applyFont="1" applyBorder="1" applyAlignment="1" applyProtection="1">
      <alignment vertical="top"/>
    </xf>
    <xf numFmtId="0" fontId="0" fillId="0" borderId="0" xfId="0" applyBorder="1" applyProtection="1"/>
    <xf numFmtId="0" fontId="23" fillId="0" borderId="32" xfId="0" applyFont="1" applyBorder="1" applyAlignment="1" applyProtection="1">
      <alignment vertical="top"/>
    </xf>
    <xf numFmtId="1" fontId="26" fillId="10" borderId="16" xfId="9" applyBorder="1" applyProtection="1">
      <alignment horizontal="center" vertical="center"/>
      <protection locked="0"/>
    </xf>
    <xf numFmtId="0" fontId="23" fillId="0" borderId="34" xfId="0" applyFont="1" applyBorder="1" applyAlignment="1">
      <alignment horizontal="center" vertical="center" wrapText="1"/>
    </xf>
    <xf numFmtId="0" fontId="23" fillId="0" borderId="0" xfId="0" applyFont="1" applyBorder="1" applyAlignment="1" applyProtection="1">
      <alignment horizontal="center" vertical="top"/>
    </xf>
    <xf numFmtId="0" fontId="23" fillId="0" borderId="67" xfId="0" applyFont="1" applyBorder="1" applyAlignment="1" applyProtection="1">
      <alignment horizontal="center" vertical="top"/>
    </xf>
    <xf numFmtId="0" fontId="13" fillId="0" borderId="67" xfId="0" applyFont="1" applyBorder="1" applyAlignment="1" applyProtection="1">
      <alignment horizontal="center" vertical="center" wrapText="1"/>
    </xf>
    <xf numFmtId="0" fontId="0" fillId="0" borderId="34" xfId="0" applyBorder="1"/>
    <xf numFmtId="0" fontId="23" fillId="0" borderId="0" xfId="0" applyFont="1" applyBorder="1" applyAlignment="1">
      <alignment horizontal="center" vertical="center" wrapText="1"/>
    </xf>
    <xf numFmtId="166" fontId="23" fillId="0" borderId="786" xfId="0" applyNumberFormat="1" applyFont="1" applyBorder="1" applyAlignment="1">
      <alignment horizontal="left" vertical="top"/>
    </xf>
    <xf numFmtId="167" fontId="21" fillId="0" borderId="730" xfId="4" applyNumberFormat="1" applyFont="1" applyBorder="1" applyAlignment="1">
      <alignment horizontal="center" vertical="top"/>
    </xf>
    <xf numFmtId="167" fontId="21" fillId="0" borderId="730" xfId="4" applyNumberFormat="1" applyFont="1" applyBorder="1" applyAlignment="1">
      <alignment vertical="top"/>
    </xf>
    <xf numFmtId="0" fontId="22" fillId="0" borderId="730" xfId="4" applyNumberFormat="1" applyFont="1" applyBorder="1" applyAlignment="1">
      <alignment horizontal="center" vertical="center" wrapText="1"/>
    </xf>
    <xf numFmtId="0" fontId="21" fillId="0" borderId="789" xfId="4" quotePrefix="1" applyNumberFormat="1" applyFont="1" applyBorder="1" applyAlignment="1">
      <alignment horizontal="center" vertical="top"/>
    </xf>
    <xf numFmtId="0" fontId="21" fillId="0" borderId="789" xfId="4" quotePrefix="1" applyNumberFormat="1" applyFont="1" applyBorder="1" applyAlignment="1">
      <alignment horizontal="left" vertical="top"/>
    </xf>
    <xf numFmtId="0" fontId="22" fillId="0" borderId="789" xfId="4" applyNumberFormat="1" applyFont="1" applyBorder="1" applyAlignment="1">
      <alignment horizontal="center" vertical="center" wrapText="1"/>
    </xf>
    <xf numFmtId="1" fontId="22" fillId="10" borderId="790" xfId="9" applyFont="1" applyBorder="1" applyProtection="1">
      <alignment horizontal="center" vertical="center"/>
      <protection locked="0"/>
    </xf>
    <xf numFmtId="0" fontId="21" fillId="0" borderId="791" xfId="4" quotePrefix="1" applyNumberFormat="1" applyFont="1" applyBorder="1" applyAlignment="1">
      <alignment horizontal="left" vertical="top"/>
    </xf>
    <xf numFmtId="1" fontId="22" fillId="0" borderId="730" xfId="4" applyNumberFormat="1" applyFont="1" applyBorder="1" applyAlignment="1">
      <alignment horizontal="center" vertical="center" wrapText="1"/>
    </xf>
    <xf numFmtId="0" fontId="21" fillId="0" borderId="791" xfId="4" quotePrefix="1" applyNumberFormat="1" applyFont="1" applyBorder="1" applyAlignment="1" applyProtection="1">
      <alignment horizontal="left" vertical="top"/>
    </xf>
    <xf numFmtId="0" fontId="21" fillId="0" borderId="792" xfId="4" applyFont="1" applyBorder="1" applyAlignment="1" applyProtection="1">
      <alignment horizontal="center"/>
    </xf>
    <xf numFmtId="0" fontId="21" fillId="0" borderId="778" xfId="4" applyNumberFormat="1" applyFont="1" applyBorder="1" applyAlignment="1" applyProtection="1">
      <alignment horizontal="center" vertical="top" wrapText="1"/>
    </xf>
    <xf numFmtId="0" fontId="21" fillId="0" borderId="793" xfId="4" applyNumberFormat="1" applyFont="1" applyBorder="1" applyAlignment="1" applyProtection="1">
      <alignment vertical="top" wrapText="1"/>
    </xf>
    <xf numFmtId="0" fontId="21" fillId="0" borderId="794" xfId="4" applyFont="1" applyBorder="1" applyAlignment="1" applyProtection="1">
      <alignment vertical="top" wrapText="1"/>
    </xf>
    <xf numFmtId="166" fontId="23" fillId="0" borderId="786" xfId="0" applyNumberFormat="1" applyFont="1" applyBorder="1" applyAlignment="1" applyProtection="1">
      <alignment horizontal="left" vertical="top"/>
    </xf>
    <xf numFmtId="0" fontId="0" fillId="0" borderId="796" xfId="0" applyBorder="1"/>
    <xf numFmtId="0" fontId="23" fillId="0" borderId="797" xfId="0" applyFont="1" applyBorder="1" applyAlignment="1" applyProtection="1">
      <alignment horizontal="left" vertical="top"/>
    </xf>
    <xf numFmtId="0" fontId="23" fillId="0" borderId="785" xfId="0" applyFont="1" applyBorder="1" applyAlignment="1" applyProtection="1">
      <alignment horizontal="center" vertical="top"/>
    </xf>
    <xf numFmtId="0" fontId="13" fillId="0" borderId="785" xfId="0" applyFont="1" applyBorder="1" applyAlignment="1" applyProtection="1">
      <alignment horizontal="center" vertical="center" wrapText="1"/>
    </xf>
    <xf numFmtId="0" fontId="23" fillId="0" borderId="785" xfId="0" applyFont="1" applyBorder="1" applyAlignment="1">
      <alignment horizontal="center" vertical="center" wrapText="1"/>
    </xf>
    <xf numFmtId="0" fontId="23" fillId="0" borderId="730" xfId="0" applyFont="1" applyBorder="1" applyAlignment="1" applyProtection="1">
      <alignment horizontal="center" vertical="top"/>
    </xf>
    <xf numFmtId="0" fontId="13" fillId="0" borderId="799" xfId="0" applyFont="1" applyBorder="1" applyAlignment="1" applyProtection="1">
      <alignment horizontal="center" vertical="center" wrapText="1"/>
    </xf>
    <xf numFmtId="49" fontId="0" fillId="0" borderId="781" xfId="0" applyNumberFormat="1" applyBorder="1" applyAlignment="1" applyProtection="1">
      <alignment horizontal="center" vertical="center"/>
      <protection locked="0"/>
    </xf>
    <xf numFmtId="49" fontId="21" fillId="0" borderId="785" xfId="4" quotePrefix="1" applyNumberFormat="1" applyFont="1" applyBorder="1" applyAlignment="1">
      <alignment vertical="top"/>
    </xf>
    <xf numFmtId="0" fontId="22" fillId="0" borderId="785" xfId="4" applyNumberFormat="1" applyFont="1" applyBorder="1" applyAlignment="1">
      <alignment horizontal="center" vertical="center" wrapText="1"/>
    </xf>
    <xf numFmtId="0" fontId="23" fillId="0" borderId="791" xfId="0" applyFont="1" applyBorder="1" applyAlignment="1">
      <alignment horizontal="left" vertical="top"/>
    </xf>
    <xf numFmtId="167" fontId="23" fillId="0" borderId="785" xfId="0" applyNumberFormat="1" applyFont="1" applyBorder="1" applyAlignment="1">
      <alignment horizontal="center" vertical="top"/>
    </xf>
    <xf numFmtId="0" fontId="23" fillId="0" borderId="785" xfId="0" applyFont="1" applyBorder="1" applyAlignment="1">
      <alignment horizontal="center" vertical="top"/>
    </xf>
    <xf numFmtId="0" fontId="13" fillId="0" borderId="785" xfId="0" applyFont="1" applyBorder="1" applyAlignment="1">
      <alignment horizontal="center" vertical="center" wrapText="1"/>
    </xf>
    <xf numFmtId="0" fontId="0" fillId="0" borderId="476" xfId="0" applyBorder="1"/>
    <xf numFmtId="49" fontId="54" fillId="0" borderId="785" xfId="16" applyBorder="1">
      <alignment horizontal="center" vertical="center" wrapText="1"/>
    </xf>
    <xf numFmtId="0" fontId="30" fillId="0" borderId="801" xfId="0" applyFont="1" applyBorder="1" applyAlignment="1" applyProtection="1">
      <alignment horizontal="center" vertical="center" wrapText="1"/>
      <protection locked="0"/>
    </xf>
    <xf numFmtId="0" fontId="30" fillId="0" borderId="781" xfId="0" applyFont="1" applyBorder="1" applyAlignment="1" applyProtection="1">
      <alignment horizontal="center" vertical="center" wrapText="1"/>
      <protection locked="0"/>
    </xf>
    <xf numFmtId="0" fontId="22" fillId="0" borderId="800" xfId="4" applyFont="1" applyBorder="1" applyAlignment="1">
      <alignment horizontal="center" vertical="center"/>
    </xf>
    <xf numFmtId="0" fontId="90" fillId="0" borderId="785" xfId="16" applyNumberFormat="1" applyFont="1" applyBorder="1">
      <alignment horizontal="center" vertical="center" wrapText="1"/>
    </xf>
    <xf numFmtId="0" fontId="15" fillId="0" borderId="781" xfId="4" applyFont="1" applyBorder="1" applyAlignment="1" applyProtection="1">
      <alignment horizontal="center" vertical="center" wrapText="1"/>
      <protection locked="0"/>
    </xf>
    <xf numFmtId="166" fontId="21" fillId="0" borderId="791" xfId="4" quotePrefix="1" applyNumberFormat="1" applyFont="1" applyBorder="1" applyAlignment="1">
      <alignment horizontal="left" vertical="top"/>
    </xf>
    <xf numFmtId="1" fontId="26" fillId="45" borderId="804" xfId="9" applyFill="1" applyBorder="1" applyAlignment="1" applyProtection="1">
      <alignment horizontal="center" vertical="center" wrapText="1"/>
      <protection locked="0"/>
    </xf>
    <xf numFmtId="49" fontId="0" fillId="0" borderId="805" xfId="0" applyNumberFormat="1" applyBorder="1" applyAlignment="1" applyProtection="1">
      <alignment horizontal="center" vertical="center"/>
      <protection locked="0"/>
    </xf>
    <xf numFmtId="0" fontId="21" fillId="0" borderId="794" xfId="4" applyFont="1" applyBorder="1" applyAlignment="1" applyProtection="1">
      <alignment horizontal="left" vertical="top" wrapText="1"/>
    </xf>
    <xf numFmtId="0" fontId="21" fillId="0" borderId="807" xfId="4" quotePrefix="1" applyNumberFormat="1" applyFont="1" applyBorder="1" applyAlignment="1">
      <alignment horizontal="center" vertical="center" wrapText="1"/>
    </xf>
    <xf numFmtId="0" fontId="21" fillId="0" borderId="810" xfId="4" applyNumberFormat="1" applyFont="1" applyBorder="1" applyAlignment="1">
      <alignment horizontal="center" vertical="center" wrapText="1"/>
    </xf>
    <xf numFmtId="0" fontId="21" fillId="0" borderId="813" xfId="4" quotePrefix="1" applyNumberFormat="1" applyFont="1" applyBorder="1" applyAlignment="1">
      <alignment horizontal="center" vertical="center" wrapText="1"/>
    </xf>
    <xf numFmtId="0" fontId="21" fillId="0" borderId="816" xfId="4" quotePrefix="1" applyNumberFormat="1" applyFont="1" applyBorder="1" applyAlignment="1">
      <alignment horizontal="center" vertical="center" wrapText="1"/>
    </xf>
    <xf numFmtId="0" fontId="21" fillId="0" borderId="819" xfId="4" applyNumberFormat="1" applyFont="1" applyBorder="1" applyAlignment="1">
      <alignment horizontal="center" vertical="center" wrapText="1"/>
    </xf>
    <xf numFmtId="1" fontId="26" fillId="10" borderId="804" xfId="9" applyBorder="1" applyProtection="1">
      <alignment horizontal="center" vertical="center"/>
      <protection locked="0"/>
    </xf>
    <xf numFmtId="1" fontId="26" fillId="10" borderId="790" xfId="9" applyBorder="1" applyProtection="1">
      <alignment horizontal="center" vertical="center"/>
      <protection locked="0"/>
    </xf>
    <xf numFmtId="167" fontId="21" fillId="0" borderId="730" xfId="4" applyNumberFormat="1" applyFont="1" applyBorder="1" applyAlignment="1">
      <alignment horizontal="right" vertical="top"/>
    </xf>
    <xf numFmtId="0" fontId="48" fillId="0" borderId="800" xfId="4" applyNumberFormat="1" applyFont="1" applyBorder="1" applyAlignment="1">
      <alignment horizontal="center" vertical="center" wrapText="1"/>
    </xf>
    <xf numFmtId="0" fontId="15" fillId="0" borderId="734" xfId="4" applyFont="1" applyBorder="1" applyAlignment="1">
      <alignment horizontal="center" vertical="center"/>
    </xf>
    <xf numFmtId="0" fontId="30" fillId="0" borderId="734" xfId="0" applyFont="1" applyBorder="1" applyAlignment="1">
      <alignment horizontal="center" vertical="center" wrapText="1"/>
    </xf>
    <xf numFmtId="0" fontId="30" fillId="0" borderId="778" xfId="0" applyFont="1" applyBorder="1" applyAlignment="1">
      <alignment horizontal="center" vertical="center" wrapText="1"/>
    </xf>
    <xf numFmtId="0" fontId="15" fillId="0" borderId="826" xfId="4" applyFont="1" applyBorder="1" applyAlignment="1">
      <alignment horizontal="center" vertical="center"/>
    </xf>
    <xf numFmtId="0" fontId="30" fillId="0" borderId="826" xfId="0" applyFont="1" applyBorder="1" applyAlignment="1">
      <alignment horizontal="center" vertical="center" wrapText="1"/>
    </xf>
    <xf numFmtId="0" fontId="30" fillId="0" borderId="827" xfId="0" applyFont="1" applyBorder="1" applyAlignment="1">
      <alignment horizontal="center" vertical="center" wrapText="1"/>
    </xf>
    <xf numFmtId="0" fontId="22" fillId="0" borderId="800" xfId="4" applyNumberFormat="1" applyFont="1" applyBorder="1" applyAlignment="1">
      <alignment horizontal="center" vertical="center" wrapText="1"/>
    </xf>
    <xf numFmtId="167" fontId="21" fillId="0" borderId="828" xfId="4" applyNumberFormat="1" applyFont="1" applyBorder="1" applyAlignment="1">
      <alignment horizontal="center" vertical="top"/>
    </xf>
    <xf numFmtId="167" fontId="21" fillId="0" borderId="828" xfId="4" applyNumberFormat="1" applyFont="1" applyBorder="1" applyAlignment="1">
      <alignment vertical="top"/>
    </xf>
    <xf numFmtId="0" fontId="22" fillId="0" borderId="828" xfId="4" applyNumberFormat="1" applyFont="1" applyBorder="1" applyAlignment="1">
      <alignment horizontal="center" vertical="center" wrapText="1"/>
    </xf>
    <xf numFmtId="0" fontId="23" fillId="7" borderId="3" xfId="0" applyFont="1" applyFill="1" applyBorder="1" applyAlignment="1">
      <alignment horizontal="center" vertical="center"/>
    </xf>
    <xf numFmtId="0" fontId="15" fillId="7" borderId="3" xfId="4" applyFont="1" applyFill="1" applyBorder="1" applyAlignment="1">
      <alignment horizontal="center" vertical="center"/>
    </xf>
    <xf numFmtId="0" fontId="15" fillId="7" borderId="3" xfId="4" applyNumberFormat="1" applyFont="1" applyFill="1" applyBorder="1" applyAlignment="1">
      <alignment horizontal="center" vertical="center" wrapText="1"/>
    </xf>
    <xf numFmtId="0" fontId="21" fillId="3" borderId="0" xfId="4" applyFont="1" applyFill="1" applyBorder="1" applyAlignment="1"/>
    <xf numFmtId="0" fontId="0" fillId="3" borderId="0" xfId="0" applyFill="1" applyProtection="1"/>
    <xf numFmtId="0" fontId="13" fillId="7" borderId="3" xfId="0" applyFont="1" applyFill="1" applyBorder="1" applyAlignment="1">
      <alignment horizontal="center" vertical="center"/>
    </xf>
    <xf numFmtId="1" fontId="22" fillId="7" borderId="3" xfId="4" applyNumberFormat="1" applyFont="1" applyFill="1" applyBorder="1" applyAlignment="1">
      <alignment horizontal="center" vertical="center" wrapText="1"/>
    </xf>
    <xf numFmtId="0" fontId="22" fillId="7" borderId="3" xfId="4" applyNumberFormat="1" applyFont="1" applyFill="1" applyBorder="1" applyAlignment="1">
      <alignment horizontal="center" vertical="center" wrapText="1"/>
    </xf>
    <xf numFmtId="1" fontId="14" fillId="7" borderId="3" xfId="4" applyNumberFormat="1" applyFont="1" applyFill="1" applyBorder="1" applyAlignment="1">
      <alignment horizontal="center" vertical="center" wrapText="1"/>
    </xf>
    <xf numFmtId="0" fontId="14" fillId="7" borderId="3" xfId="4" applyNumberFormat="1" applyFont="1" applyFill="1" applyBorder="1" applyAlignment="1">
      <alignment horizontal="center" vertical="center" wrapText="1"/>
    </xf>
    <xf numFmtId="1" fontId="22" fillId="7" borderId="3" xfId="4" applyNumberFormat="1" applyFont="1" applyFill="1" applyBorder="1" applyAlignment="1">
      <alignment horizontal="center" vertical="center"/>
    </xf>
    <xf numFmtId="0" fontId="21" fillId="7" borderId="3" xfId="4" applyFont="1" applyFill="1" applyBorder="1" applyAlignment="1">
      <alignment horizontal="center" vertical="center"/>
    </xf>
    <xf numFmtId="0" fontId="3" fillId="3" borderId="0" xfId="0" applyFont="1" applyFill="1" applyAlignment="1">
      <alignment vertical="top" wrapText="1"/>
    </xf>
    <xf numFmtId="0" fontId="3" fillId="3" borderId="708" xfId="0" applyFont="1" applyFill="1" applyBorder="1" applyAlignment="1">
      <alignment vertical="top" wrapText="1"/>
    </xf>
    <xf numFmtId="0" fontId="3" fillId="3" borderId="362" xfId="0" applyFont="1" applyFill="1" applyBorder="1" applyAlignment="1">
      <alignment horizontal="center" vertical="center" wrapText="1"/>
    </xf>
    <xf numFmtId="0" fontId="23" fillId="3" borderId="346" xfId="0" applyNumberFormat="1" applyFont="1" applyFill="1" applyBorder="1" applyAlignment="1">
      <alignment wrapText="1"/>
    </xf>
    <xf numFmtId="0" fontId="23" fillId="3" borderId="507" xfId="0" applyNumberFormat="1" applyFont="1" applyFill="1" applyBorder="1" applyAlignment="1">
      <alignment wrapText="1"/>
    </xf>
    <xf numFmtId="0" fontId="78" fillId="0" borderId="0" xfId="0" applyFont="1" applyAlignment="1">
      <alignment vertical="top" wrapText="1"/>
    </xf>
    <xf numFmtId="0" fontId="23" fillId="0" borderId="8" xfId="0" applyFont="1" applyBorder="1" applyAlignment="1">
      <alignment vertical="center" wrapText="1"/>
    </xf>
    <xf numFmtId="1" fontId="147" fillId="3" borderId="0" xfId="0" applyNumberFormat="1" applyFont="1" applyFill="1" applyAlignment="1">
      <alignment vertical="center" wrapText="1"/>
    </xf>
    <xf numFmtId="0" fontId="41" fillId="0" borderId="0" xfId="4" applyFont="1" applyBorder="1" applyAlignment="1">
      <alignment vertical="top"/>
    </xf>
    <xf numFmtId="0" fontId="23" fillId="3" borderId="0" xfId="0" applyFont="1" applyFill="1" applyBorder="1" applyAlignment="1">
      <alignment vertical="center"/>
    </xf>
    <xf numFmtId="0" fontId="23" fillId="3" borderId="0" xfId="0" applyFont="1" applyFill="1" applyBorder="1" applyAlignment="1">
      <alignment horizontal="right" vertical="center"/>
    </xf>
    <xf numFmtId="0" fontId="0" fillId="3" borderId="0" xfId="0" applyFont="1" applyFill="1" applyProtection="1"/>
    <xf numFmtId="1" fontId="143" fillId="3" borderId="0" xfId="0" applyNumberFormat="1" applyFont="1" applyFill="1" applyAlignment="1">
      <alignment horizontal="center" vertical="center" wrapText="1"/>
    </xf>
    <xf numFmtId="0" fontId="6" fillId="0" borderId="0" xfId="2" applyFill="1" applyAlignment="1">
      <alignment horizontal="left" vertical="center"/>
    </xf>
    <xf numFmtId="0" fontId="0" fillId="0" borderId="0" xfId="0" applyBorder="1" applyAlignment="1">
      <alignment horizontal="left" vertical="center" wrapText="1" indent="1"/>
    </xf>
    <xf numFmtId="0" fontId="0" fillId="0" borderId="13" xfId="0" applyBorder="1" applyAlignment="1">
      <alignment horizontal="left" vertical="center" wrapText="1" indent="1"/>
    </xf>
    <xf numFmtId="0" fontId="0" fillId="0" borderId="0" xfId="0" applyBorder="1" applyAlignment="1">
      <alignment horizontal="right" vertical="center" wrapText="1"/>
    </xf>
    <xf numFmtId="0" fontId="3" fillId="0" borderId="12" xfId="0" applyFont="1" applyBorder="1" applyAlignment="1">
      <alignment horizontal="right" vertical="center"/>
    </xf>
    <xf numFmtId="0" fontId="3" fillId="0" borderId="0" xfId="0" applyFont="1" applyBorder="1" applyAlignment="1">
      <alignment horizontal="right" vertical="center"/>
    </xf>
    <xf numFmtId="0" fontId="3" fillId="0" borderId="0" xfId="0" applyFont="1" applyBorder="1" applyAlignment="1">
      <alignment horizontal="right"/>
    </xf>
    <xf numFmtId="0" fontId="3" fillId="0" borderId="12" xfId="0" applyFont="1" applyBorder="1" applyAlignment="1">
      <alignment horizontal="right" vertical="top" wrapText="1"/>
    </xf>
    <xf numFmtId="0" fontId="3" fillId="0" borderId="0" xfId="0" applyFont="1" applyBorder="1" applyAlignment="1">
      <alignment horizontal="right" vertical="top" wrapText="1"/>
    </xf>
    <xf numFmtId="0" fontId="3" fillId="0" borderId="0" xfId="0" applyFont="1" applyBorder="1" applyAlignment="1">
      <alignment horizontal="right" vertical="top"/>
    </xf>
    <xf numFmtId="0" fontId="0" fillId="0" borderId="0" xfId="0" applyBorder="1" applyAlignment="1">
      <alignment horizontal="left" vertical="top" wrapText="1"/>
    </xf>
    <xf numFmtId="0" fontId="0" fillId="0" borderId="13" xfId="0" applyBorder="1" applyAlignment="1">
      <alignment horizontal="left" vertical="top" wrapText="1"/>
    </xf>
    <xf numFmtId="0" fontId="23" fillId="0" borderId="0" xfId="0" applyFont="1" applyBorder="1" applyAlignment="1">
      <alignment horizontal="left" vertical="top" wrapText="1"/>
    </xf>
    <xf numFmtId="0" fontId="23" fillId="0" borderId="0" xfId="0" applyFont="1" applyBorder="1" applyAlignment="1">
      <alignment horizontal="left" vertical="top"/>
    </xf>
    <xf numFmtId="0" fontId="0" fillId="0" borderId="0" xfId="0" applyBorder="1" applyAlignment="1">
      <alignment horizontal="left" vertical="top"/>
    </xf>
    <xf numFmtId="0" fontId="0" fillId="0" borderId="0" xfId="0" applyBorder="1" applyAlignment="1">
      <alignment horizontal="right" vertical="center"/>
    </xf>
    <xf numFmtId="0" fontId="152" fillId="0" borderId="0" xfId="0" applyFont="1" applyAlignment="1">
      <alignment horizontal="center" vertical="center"/>
    </xf>
    <xf numFmtId="0" fontId="23" fillId="0" borderId="734" xfId="0" applyFont="1" applyBorder="1" applyAlignment="1">
      <alignment horizontal="center" vertical="center" wrapText="1"/>
    </xf>
    <xf numFmtId="0" fontId="22" fillId="0" borderId="236" xfId="0" applyFont="1" applyBorder="1" applyAlignment="1" applyProtection="1">
      <alignment horizontal="center" vertical="center" wrapText="1"/>
    </xf>
    <xf numFmtId="0" fontId="22" fillId="0" borderId="223" xfId="0" applyFont="1" applyBorder="1" applyAlignment="1" applyProtection="1">
      <alignment horizontal="center" vertical="center" wrapText="1"/>
    </xf>
    <xf numFmtId="0" fontId="23" fillId="3" borderId="237" xfId="0" applyFont="1" applyFill="1" applyBorder="1" applyAlignment="1" applyProtection="1">
      <alignment horizontal="left" vertical="top" wrapText="1"/>
    </xf>
    <xf numFmtId="0" fontId="22" fillId="0" borderId="252" xfId="0" applyFont="1" applyBorder="1" applyAlignment="1" applyProtection="1">
      <alignment horizontal="center" vertical="center" wrapText="1"/>
    </xf>
    <xf numFmtId="0" fontId="22" fillId="3" borderId="223" xfId="0" applyFont="1" applyFill="1" applyBorder="1" applyAlignment="1" applyProtection="1">
      <alignment horizontal="center" vertical="center" wrapText="1"/>
    </xf>
    <xf numFmtId="0" fontId="23" fillId="23" borderId="224" xfId="0" applyFont="1" applyFill="1" applyBorder="1" applyAlignment="1" applyProtection="1">
      <alignment horizontal="left" vertical="top" wrapText="1"/>
    </xf>
    <xf numFmtId="0" fontId="23" fillId="3" borderId="574" xfId="6" applyFont="1" applyFill="1" applyBorder="1" applyAlignment="1" applyProtection="1">
      <alignment horizontal="left" vertical="top" wrapText="1"/>
    </xf>
    <xf numFmtId="1" fontId="21" fillId="35" borderId="252" xfId="0" applyNumberFormat="1" applyFont="1" applyFill="1" applyBorder="1" applyAlignment="1" applyProtection="1">
      <alignment horizontal="center" vertical="center" wrapText="1"/>
    </xf>
    <xf numFmtId="1" fontId="21" fillId="35" borderId="223" xfId="0" applyNumberFormat="1" applyFont="1" applyFill="1" applyBorder="1" applyAlignment="1" applyProtection="1">
      <alignment horizontal="center" vertical="center" wrapText="1"/>
    </xf>
    <xf numFmtId="1" fontId="21" fillId="0" borderId="732" xfId="0" applyNumberFormat="1" applyFont="1" applyBorder="1" applyAlignment="1" applyProtection="1">
      <alignment horizontal="center" vertical="center" wrapText="1"/>
    </xf>
    <xf numFmtId="1" fontId="21" fillId="0" borderId="236" xfId="0" applyNumberFormat="1" applyFont="1" applyBorder="1" applyAlignment="1" applyProtection="1">
      <alignment horizontal="center" vertical="center" wrapText="1"/>
    </xf>
    <xf numFmtId="1" fontId="21" fillId="0" borderId="245" xfId="0" applyNumberFormat="1" applyFont="1" applyFill="1" applyBorder="1" applyAlignment="1" applyProtection="1">
      <alignment horizontal="center" vertical="center" wrapText="1"/>
      <protection locked="0"/>
    </xf>
    <xf numFmtId="1" fontId="21" fillId="0" borderId="236" xfId="0" applyNumberFormat="1" applyFont="1" applyBorder="1" applyAlignment="1" applyProtection="1">
      <alignment horizontal="left" vertical="center" wrapText="1"/>
      <protection locked="0"/>
    </xf>
    <xf numFmtId="1" fontId="21" fillId="50" borderId="732" xfId="0" applyNumberFormat="1" applyFont="1" applyFill="1" applyBorder="1" applyAlignment="1" applyProtection="1">
      <alignment horizontal="center" vertical="center" wrapText="1"/>
      <protection locked="0"/>
    </xf>
    <xf numFmtId="0" fontId="23" fillId="3" borderId="738" xfId="0" applyFont="1" applyFill="1" applyBorder="1" applyAlignment="1" applyProtection="1">
      <alignment horizontal="left" vertical="top" wrapText="1"/>
    </xf>
    <xf numFmtId="1" fontId="21" fillId="0" borderId="223" xfId="0" applyNumberFormat="1" applyFont="1" applyBorder="1" applyAlignment="1" applyProtection="1">
      <alignment horizontal="center" vertical="center" wrapText="1"/>
    </xf>
    <xf numFmtId="1" fontId="21" fillId="0" borderId="732" xfId="0" applyNumberFormat="1" applyFont="1" applyFill="1" applyBorder="1" applyAlignment="1" applyProtection="1">
      <alignment horizontal="center" vertical="center" wrapText="1"/>
      <protection locked="0"/>
    </xf>
    <xf numFmtId="0" fontId="22" fillId="0" borderId="732" xfId="0" applyFont="1" applyBorder="1" applyAlignment="1" applyProtection="1">
      <alignment horizontal="center" vertical="center" wrapText="1"/>
    </xf>
    <xf numFmtId="1" fontId="21" fillId="0" borderId="740" xfId="0" applyNumberFormat="1" applyFont="1" applyBorder="1" applyAlignment="1" applyProtection="1">
      <alignment horizontal="left" vertical="center" wrapText="1"/>
      <protection locked="0"/>
    </xf>
    <xf numFmtId="1" fontId="21" fillId="0" borderId="252" xfId="0" applyNumberFormat="1" applyFont="1" applyBorder="1" applyAlignment="1" applyProtection="1">
      <alignment horizontal="center" vertical="center" wrapText="1"/>
    </xf>
    <xf numFmtId="0" fontId="22" fillId="0" borderId="732" xfId="0" applyFont="1" applyBorder="1" applyAlignment="1" applyProtection="1">
      <alignment horizontal="center" vertical="center"/>
    </xf>
    <xf numFmtId="0" fontId="22" fillId="0" borderId="223" xfId="0" applyFont="1" applyBorder="1" applyAlignment="1" applyProtection="1">
      <alignment horizontal="center" vertical="center"/>
    </xf>
    <xf numFmtId="1" fontId="21" fillId="0" borderId="732" xfId="0" applyNumberFormat="1" applyFont="1" applyBorder="1" applyAlignment="1" applyProtection="1">
      <alignment horizontal="left" vertical="center" wrapText="1"/>
    </xf>
    <xf numFmtId="1" fontId="21" fillId="0" borderId="732" xfId="0" applyNumberFormat="1" applyFont="1" applyBorder="1" applyAlignment="1" applyProtection="1">
      <alignment horizontal="center" vertical="center"/>
      <protection locked="0"/>
    </xf>
    <xf numFmtId="1" fontId="21" fillId="77" borderId="732" xfId="0" applyNumberFormat="1" applyFont="1" applyFill="1" applyBorder="1" applyAlignment="1" applyProtection="1">
      <alignment horizontal="center" vertical="center"/>
    </xf>
    <xf numFmtId="1" fontId="21" fillId="0" borderId="738" xfId="0" applyNumberFormat="1" applyFont="1" applyBorder="1" applyAlignment="1" applyProtection="1">
      <alignment horizontal="center" vertical="center" wrapText="1"/>
      <protection locked="0"/>
    </xf>
    <xf numFmtId="1" fontId="21" fillId="0" borderId="224" xfId="0" applyNumberFormat="1" applyFont="1" applyBorder="1" applyAlignment="1" applyProtection="1">
      <alignment horizontal="center" vertical="center" wrapText="1"/>
      <protection locked="0"/>
    </xf>
    <xf numFmtId="0" fontId="21" fillId="0" borderId="732" xfId="0" applyFont="1" applyBorder="1" applyAlignment="1" applyProtection="1">
      <alignment horizontal="center" vertical="center" wrapText="1"/>
    </xf>
    <xf numFmtId="0" fontId="21" fillId="0" borderId="223" xfId="0" applyFont="1" applyBorder="1" applyAlignment="1" applyProtection="1">
      <alignment horizontal="center" vertical="center" wrapText="1"/>
    </xf>
    <xf numFmtId="0" fontId="22" fillId="3" borderId="732" xfId="0" applyFont="1" applyFill="1" applyBorder="1" applyAlignment="1" applyProtection="1">
      <alignment horizontal="center" vertical="center" wrapText="1"/>
    </xf>
    <xf numFmtId="0" fontId="23" fillId="3" borderId="224" xfId="0" applyFont="1" applyFill="1" applyBorder="1" applyAlignment="1" applyProtection="1">
      <alignment horizontal="center" vertical="top" wrapText="1"/>
    </xf>
    <xf numFmtId="1" fontId="21" fillId="3" borderId="732" xfId="0" applyNumberFormat="1" applyFont="1" applyFill="1" applyBorder="1" applyAlignment="1" applyProtection="1">
      <alignment horizontal="center" vertical="center" wrapText="1"/>
    </xf>
    <xf numFmtId="1" fontId="21" fillId="3" borderId="236" xfId="0" applyNumberFormat="1" applyFont="1" applyFill="1" applyBorder="1" applyAlignment="1" applyProtection="1">
      <alignment horizontal="center" vertical="center" wrapText="1"/>
    </xf>
    <xf numFmtId="1" fontId="21" fillId="0" borderId="732" xfId="0" applyNumberFormat="1" applyFont="1" applyFill="1" applyBorder="1" applyAlignment="1" applyProtection="1">
      <alignment horizontal="center" vertical="center" wrapText="1"/>
    </xf>
    <xf numFmtId="1" fontId="21" fillId="0" borderId="738" xfId="0" applyNumberFormat="1" applyFont="1" applyFill="1" applyBorder="1" applyAlignment="1" applyProtection="1">
      <alignment horizontal="center" vertical="center" wrapText="1"/>
      <protection locked="0"/>
    </xf>
    <xf numFmtId="1" fontId="21" fillId="50" borderId="738" xfId="0" applyNumberFormat="1" applyFont="1" applyFill="1" applyBorder="1" applyAlignment="1" applyProtection="1">
      <alignment horizontal="center" vertical="center" wrapText="1"/>
      <protection locked="0"/>
    </xf>
    <xf numFmtId="0" fontId="0" fillId="0" borderId="236" xfId="0" applyBorder="1" applyAlignment="1" applyProtection="1">
      <alignment horizontal="center" vertical="center" wrapText="1"/>
      <protection locked="0"/>
    </xf>
    <xf numFmtId="1" fontId="21" fillId="35" borderId="246" xfId="0" applyNumberFormat="1" applyFont="1" applyFill="1" applyBorder="1" applyAlignment="1" applyProtection="1">
      <alignment horizontal="center" vertical="center" wrapText="1"/>
    </xf>
    <xf numFmtId="1" fontId="21" fillId="35" borderId="224" xfId="0" applyNumberFormat="1" applyFont="1" applyFill="1" applyBorder="1" applyAlignment="1" applyProtection="1">
      <alignment horizontal="center" vertical="center" wrapText="1"/>
    </xf>
    <xf numFmtId="1" fontId="21" fillId="76" borderId="224" xfId="0" applyNumberFormat="1" applyFont="1" applyFill="1" applyBorder="1" applyAlignment="1" applyProtection="1">
      <alignment horizontal="center" vertical="center" wrapText="1"/>
    </xf>
    <xf numFmtId="0" fontId="0" fillId="0" borderId="0" xfId="0" applyFont="1" applyBorder="1"/>
    <xf numFmtId="0" fontId="28" fillId="3" borderId="0" xfId="0" applyFont="1" applyFill="1" applyBorder="1" applyAlignment="1" applyProtection="1">
      <alignment horizontal="center" vertical="center"/>
    </xf>
    <xf numFmtId="0" fontId="3" fillId="3" borderId="738" xfId="0" applyFont="1" applyFill="1" applyBorder="1" applyAlignment="1" applyProtection="1">
      <alignment vertical="top" wrapText="1"/>
    </xf>
    <xf numFmtId="0" fontId="22" fillId="0" borderId="237" xfId="0" applyFont="1" applyBorder="1" applyAlignment="1" applyProtection="1">
      <alignment horizontal="right"/>
    </xf>
    <xf numFmtId="0" fontId="22" fillId="0" borderId="237" xfId="0" applyFont="1" applyBorder="1" applyAlignment="1" applyProtection="1">
      <alignment horizontal="right" vertical="center"/>
    </xf>
    <xf numFmtId="0" fontId="22" fillId="0" borderId="237" xfId="0" applyFont="1" applyFill="1" applyBorder="1" applyAlignment="1" applyProtection="1">
      <alignment horizontal="right"/>
    </xf>
    <xf numFmtId="0" fontId="148" fillId="8" borderId="785" xfId="6" applyFont="1" applyBorder="1" applyAlignment="1" applyProtection="1">
      <alignment horizontal="center" vertical="center" wrapText="1"/>
    </xf>
    <xf numFmtId="0" fontId="148" fillId="8" borderId="845" xfId="6" applyFont="1" applyBorder="1" applyAlignment="1" applyProtection="1">
      <alignment horizontal="center" vertical="center" wrapText="1"/>
    </xf>
    <xf numFmtId="0" fontId="148" fillId="8" borderId="738" xfId="6" applyFont="1" applyBorder="1" applyAlignment="1" applyProtection="1">
      <alignment horizontal="left" vertical="center" wrapText="1"/>
    </xf>
    <xf numFmtId="0" fontId="148" fillId="8" borderId="785" xfId="6" applyFont="1" applyFill="1" applyBorder="1" applyAlignment="1" applyProtection="1">
      <alignment horizontal="left" vertical="center" wrapText="1"/>
    </xf>
    <xf numFmtId="0" fontId="30" fillId="8" borderId="785" xfId="0" applyFont="1" applyFill="1" applyBorder="1"/>
    <xf numFmtId="0" fontId="30" fillId="8" borderId="847" xfId="0" applyFont="1" applyFill="1" applyBorder="1"/>
    <xf numFmtId="0" fontId="148" fillId="8" borderId="224" xfId="6" applyFont="1" applyBorder="1" applyAlignment="1" applyProtection="1">
      <alignment horizontal="left" vertical="center" wrapText="1"/>
    </xf>
    <xf numFmtId="0" fontId="22" fillId="0" borderId="734" xfId="0" applyFont="1" applyBorder="1" applyAlignment="1" applyProtection="1">
      <alignment horizontal="left" vertical="top" wrapText="1" indent="4"/>
    </xf>
    <xf numFmtId="0" fontId="22" fillId="0" borderId="734" xfId="0" applyFont="1" applyBorder="1" applyAlignment="1" applyProtection="1">
      <alignment horizontal="center" vertical="center" wrapText="1"/>
    </xf>
    <xf numFmtId="1" fontId="21" fillId="0" borderId="734" xfId="0" applyNumberFormat="1" applyFont="1" applyBorder="1" applyAlignment="1" applyProtection="1">
      <alignment horizontal="center" vertical="center" wrapText="1"/>
    </xf>
    <xf numFmtId="1" fontId="21" fillId="0" borderId="753" xfId="0" applyNumberFormat="1" applyFont="1" applyBorder="1" applyAlignment="1" applyProtection="1">
      <alignment horizontal="center" vertical="center" wrapText="1"/>
      <protection locked="0"/>
    </xf>
    <xf numFmtId="1" fontId="21" fillId="50" borderId="734" xfId="0" applyNumberFormat="1" applyFont="1" applyFill="1" applyBorder="1" applyAlignment="1" applyProtection="1">
      <alignment horizontal="center" vertical="center" wrapText="1"/>
      <protection locked="0"/>
    </xf>
    <xf numFmtId="1" fontId="21" fillId="0" borderId="753" xfId="0" applyNumberFormat="1" applyFont="1" applyBorder="1" applyAlignment="1" applyProtection="1">
      <alignment horizontal="left" vertical="center" wrapText="1"/>
      <protection locked="0"/>
    </xf>
    <xf numFmtId="0" fontId="22" fillId="0" borderId="732" xfId="0" applyFont="1" applyBorder="1" applyAlignment="1" applyProtection="1">
      <alignment horizontal="left" vertical="top" wrapText="1" indent="4"/>
    </xf>
    <xf numFmtId="0" fontId="21" fillId="0" borderId="732" xfId="0" applyFont="1" applyFill="1" applyBorder="1" applyAlignment="1" applyProtection="1">
      <alignment horizontal="left" vertical="top" wrapText="1"/>
    </xf>
    <xf numFmtId="0" fontId="22" fillId="0" borderId="734" xfId="0" applyFont="1" applyBorder="1" applyAlignment="1" applyProtection="1">
      <alignment horizontal="left" vertical="top" wrapText="1"/>
    </xf>
    <xf numFmtId="1" fontId="21" fillId="50" borderId="753" xfId="0" applyNumberFormat="1" applyFont="1" applyFill="1" applyBorder="1" applyAlignment="1" applyProtection="1">
      <alignment horizontal="center" vertical="center" wrapText="1"/>
      <protection locked="0"/>
    </xf>
    <xf numFmtId="0" fontId="22" fillId="0" borderId="732" xfId="0" applyFont="1" applyBorder="1" applyAlignment="1" applyProtection="1">
      <alignment horizontal="left" vertical="top" wrapText="1"/>
    </xf>
    <xf numFmtId="1" fontId="21" fillId="0" borderId="738" xfId="0" applyNumberFormat="1" applyFont="1" applyBorder="1" applyAlignment="1" applyProtection="1">
      <alignment horizontal="left" vertical="center" wrapText="1"/>
      <protection locked="0"/>
    </xf>
    <xf numFmtId="0" fontId="22" fillId="0" borderId="734" xfId="0" applyFont="1" applyFill="1" applyBorder="1" applyAlignment="1" applyProtection="1">
      <alignment horizontal="center" vertical="center" wrapText="1"/>
    </xf>
    <xf numFmtId="0" fontId="21" fillId="0" borderId="734" xfId="0" applyFont="1" applyFill="1" applyBorder="1" applyAlignment="1" applyProtection="1">
      <alignment horizontal="center" vertical="center" wrapText="1"/>
    </xf>
    <xf numFmtId="0" fontId="21" fillId="0" borderId="753" xfId="0" applyFont="1" applyFill="1" applyBorder="1" applyAlignment="1" applyProtection="1">
      <alignment horizontal="center" vertical="center" wrapText="1"/>
      <protection locked="0"/>
    </xf>
    <xf numFmtId="0" fontId="21" fillId="23" borderId="738" xfId="0" applyFont="1" applyFill="1" applyBorder="1" applyAlignment="1" applyProtection="1">
      <alignment horizontal="left" vertical="top" wrapText="1" indent="4"/>
    </xf>
    <xf numFmtId="0" fontId="22" fillId="0" borderId="734" xfId="0" applyFont="1" applyBorder="1" applyAlignment="1" applyProtection="1">
      <alignment horizontal="left" vertical="top" wrapText="1" indent="6"/>
    </xf>
    <xf numFmtId="1" fontId="21" fillId="0" borderId="753" xfId="0" applyNumberFormat="1" applyFont="1" applyFill="1" applyBorder="1" applyAlignment="1" applyProtection="1">
      <alignment horizontal="center" vertical="center" wrapText="1"/>
      <protection locked="0"/>
    </xf>
    <xf numFmtId="0" fontId="22" fillId="0" borderId="734" xfId="0" applyFont="1" applyBorder="1" applyAlignment="1" applyProtection="1">
      <alignment horizontal="center" vertical="center"/>
    </xf>
    <xf numFmtId="0" fontId="22" fillId="0" borderId="734" xfId="0" applyFont="1" applyFill="1" applyBorder="1" applyAlignment="1" applyProtection="1">
      <alignment horizontal="center" vertical="center"/>
    </xf>
    <xf numFmtId="0" fontId="22" fillId="0" borderId="734" xfId="0" applyFont="1" applyBorder="1" applyAlignment="1" applyProtection="1">
      <alignment horizontal="left" vertical="top" wrapText="1" indent="1"/>
    </xf>
    <xf numFmtId="0" fontId="22" fillId="23" borderId="738" xfId="0" applyFont="1" applyFill="1" applyBorder="1" applyAlignment="1" applyProtection="1">
      <alignment horizontal="left" vertical="top" wrapText="1" indent="4"/>
    </xf>
    <xf numFmtId="0" fontId="22" fillId="0" borderId="232" xfId="0" applyFont="1" applyBorder="1" applyAlignment="1" applyProtection="1">
      <alignment horizontal="left" vertical="top" wrapText="1"/>
    </xf>
    <xf numFmtId="0" fontId="21" fillId="23" borderId="738" xfId="0" applyFont="1" applyFill="1" applyBorder="1" applyAlignment="1" applyProtection="1">
      <alignment horizontal="left" indent="4"/>
    </xf>
    <xf numFmtId="1" fontId="22" fillId="0" borderId="734" xfId="0" applyNumberFormat="1" applyFont="1" applyBorder="1" applyAlignment="1" applyProtection="1">
      <alignment horizontal="center" vertical="center" wrapText="1"/>
    </xf>
    <xf numFmtId="0" fontId="21" fillId="0" borderId="734" xfId="0" applyNumberFormat="1" applyFont="1" applyBorder="1" applyAlignment="1" applyProtection="1">
      <alignment horizontal="center" vertical="center" wrapText="1"/>
    </xf>
    <xf numFmtId="0" fontId="22" fillId="0" borderId="240" xfId="0" applyFont="1" applyBorder="1" applyAlignment="1" applyProtection="1">
      <alignment horizontal="left" vertical="top" wrapText="1"/>
    </xf>
    <xf numFmtId="1" fontId="21" fillId="0" borderId="848" xfId="0" applyNumberFormat="1" applyFont="1" applyBorder="1" applyAlignment="1" applyProtection="1">
      <alignment horizontal="center" vertical="center" wrapText="1"/>
      <protection locked="0"/>
    </xf>
    <xf numFmtId="0" fontId="22" fillId="0" borderId="739" xfId="0" applyFont="1" applyBorder="1" applyAlignment="1" applyProtection="1">
      <alignment horizontal="center" vertical="center"/>
    </xf>
    <xf numFmtId="1" fontId="21" fillId="35" borderId="738" xfId="0" applyNumberFormat="1" applyFont="1" applyFill="1" applyBorder="1" applyAlignment="1" applyProtection="1">
      <alignment horizontal="center" vertical="center" wrapText="1"/>
    </xf>
    <xf numFmtId="0" fontId="22" fillId="0" borderId="240" xfId="0" applyFont="1" applyBorder="1" applyAlignment="1" applyProtection="1">
      <alignment horizontal="left" vertical="top" wrapText="1" indent="6"/>
    </xf>
    <xf numFmtId="0" fontId="13" fillId="0" borderId="734" xfId="0" applyFont="1" applyBorder="1" applyAlignment="1">
      <alignment horizontal="left" indent="4"/>
    </xf>
    <xf numFmtId="0" fontId="13" fillId="0" borderId="734" xfId="0" applyFont="1" applyBorder="1" applyAlignment="1">
      <alignment horizontal="center" vertical="center"/>
    </xf>
    <xf numFmtId="1" fontId="0" fillId="0" borderId="734" xfId="0" applyNumberFormat="1" applyFont="1" applyBorder="1" applyAlignment="1">
      <alignment horizontal="center" vertical="center"/>
    </xf>
    <xf numFmtId="1" fontId="0" fillId="0" borderId="732" xfId="0" applyNumberFormat="1" applyFont="1" applyBorder="1" applyAlignment="1" applyProtection="1">
      <alignment vertical="center"/>
    </xf>
    <xf numFmtId="0" fontId="13" fillId="0" borderId="732" xfId="0" applyFont="1" applyBorder="1" applyAlignment="1">
      <alignment horizontal="left" indent="4"/>
    </xf>
    <xf numFmtId="0" fontId="13" fillId="0" borderId="732" xfId="0" applyFont="1" applyBorder="1" applyAlignment="1">
      <alignment horizontal="center" vertical="center"/>
    </xf>
    <xf numFmtId="1" fontId="0" fillId="0" borderId="732" xfId="0" applyNumberFormat="1" applyFont="1" applyBorder="1" applyAlignment="1">
      <alignment horizontal="center" vertical="center"/>
    </xf>
    <xf numFmtId="1" fontId="0" fillId="0" borderId="835" xfId="0" applyNumberFormat="1" applyFont="1" applyBorder="1" applyAlignment="1" applyProtection="1">
      <alignment horizontal="left" vertical="center"/>
    </xf>
    <xf numFmtId="0" fontId="13" fillId="0" borderId="252" xfId="0" applyFont="1" applyBorder="1" applyAlignment="1">
      <alignment horizontal="left"/>
    </xf>
    <xf numFmtId="0" fontId="13" fillId="0" borderId="232" xfId="0" applyFont="1" applyFill="1" applyBorder="1" applyAlignment="1">
      <alignment horizontal="left" vertical="top" wrapText="1"/>
    </xf>
    <xf numFmtId="0" fontId="22" fillId="0" borderId="734" xfId="0" applyFont="1" applyBorder="1" applyAlignment="1" applyProtection="1">
      <alignment horizontal="left" vertical="center" indent="4"/>
    </xf>
    <xf numFmtId="0" fontId="22" fillId="0" borderId="240" xfId="0" applyFont="1" applyBorder="1" applyAlignment="1" applyProtection="1">
      <alignment horizontal="left" vertical="top" wrapText="1" indent="4"/>
    </xf>
    <xf numFmtId="0" fontId="22" fillId="0" borderId="244" xfId="0" applyFont="1" applyBorder="1" applyAlignment="1" applyProtection="1">
      <alignment vertical="top" wrapText="1"/>
    </xf>
    <xf numFmtId="0" fontId="22" fillId="0" borderId="232" xfId="0" applyFont="1" applyBorder="1" applyAlignment="1" applyProtection="1">
      <alignment vertical="top" wrapText="1"/>
    </xf>
    <xf numFmtId="0" fontId="21" fillId="0" borderId="734" xfId="0" applyFont="1" applyBorder="1" applyAlignment="1" applyProtection="1">
      <alignment horizontal="left" vertical="top" wrapText="1" indent="4"/>
    </xf>
    <xf numFmtId="0" fontId="21" fillId="0" borderId="734" xfId="0" applyFont="1" applyBorder="1" applyAlignment="1" applyProtection="1">
      <alignment horizontal="center" vertical="center" wrapText="1"/>
    </xf>
    <xf numFmtId="0" fontId="21" fillId="0" borderId="240" xfId="0" applyFont="1" applyBorder="1" applyAlignment="1" applyProtection="1">
      <alignment horizontal="left" vertical="top" wrapText="1" indent="4"/>
    </xf>
    <xf numFmtId="0" fontId="90" fillId="3" borderId="734" xfId="6" applyFont="1" applyFill="1" applyBorder="1" applyAlignment="1" applyProtection="1">
      <alignment horizontal="left" vertical="top" wrapText="1"/>
    </xf>
    <xf numFmtId="0" fontId="90" fillId="3" borderId="855" xfId="6" applyFont="1" applyFill="1" applyBorder="1" applyAlignment="1" applyProtection="1">
      <alignment horizontal="left" vertical="top" wrapText="1"/>
    </xf>
    <xf numFmtId="0" fontId="90" fillId="3" borderId="863" xfId="6" applyFont="1" applyFill="1" applyBorder="1" applyAlignment="1" applyProtection="1">
      <alignment horizontal="left" vertical="top" wrapText="1"/>
    </xf>
    <xf numFmtId="0" fontId="90" fillId="3" borderId="864" xfId="6" applyFont="1" applyFill="1" applyBorder="1" applyAlignment="1" applyProtection="1">
      <alignment horizontal="left" vertical="top" wrapText="1"/>
    </xf>
    <xf numFmtId="0" fontId="23" fillId="3" borderId="840" xfId="6" applyFont="1" applyFill="1" applyBorder="1" applyAlignment="1" applyProtection="1">
      <alignment horizontal="left" vertical="top" wrapText="1"/>
    </xf>
    <xf numFmtId="0" fontId="90" fillId="3" borderId="863" xfId="6" applyFont="1" applyFill="1" applyBorder="1" applyAlignment="1" applyProtection="1">
      <alignment horizontal="left" vertical="top" wrapText="1" indent="4"/>
    </xf>
    <xf numFmtId="0" fontId="90" fillId="3" borderId="864" xfId="6" applyFont="1" applyFill="1" applyBorder="1" applyAlignment="1" applyProtection="1">
      <alignment horizontal="left" vertical="top" wrapText="1" indent="4"/>
    </xf>
    <xf numFmtId="0" fontId="90" fillId="0" borderId="866" xfId="6" applyFont="1" applyFill="1" applyBorder="1" applyAlignment="1" applyProtection="1">
      <alignment horizontal="left" vertical="top" wrapText="1"/>
    </xf>
    <xf numFmtId="0" fontId="90" fillId="0" borderId="863" xfId="6" applyFont="1" applyFill="1" applyBorder="1" applyAlignment="1" applyProtection="1">
      <alignment horizontal="left" vertical="top" wrapText="1" indent="4"/>
    </xf>
    <xf numFmtId="0" fontId="90" fillId="0" borderId="864" xfId="6" applyFont="1" applyFill="1" applyBorder="1" applyAlignment="1" applyProtection="1">
      <alignment horizontal="left" vertical="top" wrapText="1" indent="4"/>
    </xf>
    <xf numFmtId="0" fontId="140" fillId="0" borderId="734" xfId="0" applyFont="1" applyBorder="1" applyAlignment="1" applyProtection="1">
      <alignment horizontal="center" vertical="center" wrapText="1"/>
    </xf>
    <xf numFmtId="1" fontId="21" fillId="77" borderId="753" xfId="0" applyNumberFormat="1" applyFont="1" applyFill="1" applyBorder="1" applyAlignment="1" applyProtection="1">
      <alignment horizontal="center" vertical="center" wrapText="1"/>
    </xf>
    <xf numFmtId="1" fontId="21" fillId="35" borderId="753" xfId="0" applyNumberFormat="1" applyFont="1" applyFill="1" applyBorder="1" applyAlignment="1" applyProtection="1">
      <alignment horizontal="center" vertical="center" wrapText="1"/>
    </xf>
    <xf numFmtId="0" fontId="22" fillId="0" borderId="734" xfId="0" applyFont="1" applyBorder="1" applyAlignment="1" applyProtection="1">
      <alignment horizontal="left" vertical="top" wrapText="1" indent="3"/>
    </xf>
    <xf numFmtId="0" fontId="22" fillId="0" borderId="244" xfId="0" applyFont="1" applyBorder="1" applyAlignment="1" applyProtection="1">
      <alignment horizontal="left" vertical="top" wrapText="1"/>
    </xf>
    <xf numFmtId="0" fontId="13" fillId="3" borderId="734" xfId="6" applyFont="1" applyFill="1" applyBorder="1" applyProtection="1">
      <alignment horizontal="center" vertical="center" wrapText="1"/>
    </xf>
    <xf numFmtId="0" fontId="28" fillId="0" borderId="734" xfId="0" applyFont="1" applyBorder="1" applyAlignment="1" applyProtection="1">
      <alignment horizontal="center" vertical="center" wrapText="1"/>
    </xf>
    <xf numFmtId="0" fontId="22" fillId="0" borderId="252" xfId="0" applyFont="1" applyBorder="1" applyAlignment="1" applyProtection="1">
      <alignment vertical="top" wrapText="1"/>
    </xf>
    <xf numFmtId="1" fontId="21" fillId="0" borderId="738" xfId="0" applyNumberFormat="1" applyFont="1" applyBorder="1" applyAlignment="1" applyProtection="1">
      <alignment horizontal="left" vertical="center" wrapText="1"/>
    </xf>
    <xf numFmtId="0" fontId="22" fillId="0" borderId="236" xfId="0" applyFont="1" applyBorder="1" applyAlignment="1" applyProtection="1">
      <alignment vertical="top" wrapText="1"/>
    </xf>
    <xf numFmtId="1" fontId="21" fillId="25" borderId="734" xfId="0" applyNumberFormat="1" applyFont="1" applyFill="1" applyBorder="1" applyAlignment="1" applyProtection="1">
      <alignment horizontal="center" vertical="center" wrapText="1"/>
    </xf>
    <xf numFmtId="0" fontId="22" fillId="0" borderId="732" xfId="0" applyFont="1" applyBorder="1" applyAlignment="1" applyProtection="1">
      <alignment vertical="top" wrapText="1"/>
    </xf>
    <xf numFmtId="1" fontId="16" fillId="0" borderId="732" xfId="0" applyNumberFormat="1" applyFont="1" applyBorder="1" applyAlignment="1" applyProtection="1">
      <alignment horizontal="center" vertical="center" wrapText="1"/>
      <protection locked="0"/>
    </xf>
    <xf numFmtId="0" fontId="66" fillId="0" borderId="734" xfId="4" applyNumberFormat="1" applyFont="1" applyBorder="1" applyAlignment="1">
      <alignment horizontal="center" vertical="center" wrapText="1"/>
    </xf>
    <xf numFmtId="1" fontId="55" fillId="0" borderId="734" xfId="0" applyNumberFormat="1" applyFont="1" applyBorder="1" applyAlignment="1" applyProtection="1">
      <alignment horizontal="center" vertical="center" wrapText="1"/>
    </xf>
    <xf numFmtId="0" fontId="22" fillId="0" borderId="734" xfId="4" applyNumberFormat="1" applyFont="1" applyBorder="1" applyAlignment="1">
      <alignment horizontal="center" vertical="center" wrapText="1"/>
    </xf>
    <xf numFmtId="0" fontId="23" fillId="0" borderId="747" xfId="0" applyFont="1" applyBorder="1" applyAlignment="1" applyProtection="1">
      <alignment horizontal="left" vertical="top" wrapText="1"/>
    </xf>
    <xf numFmtId="0" fontId="22" fillId="0" borderId="734" xfId="0" applyFont="1" applyBorder="1" applyAlignment="1" applyProtection="1">
      <alignment vertical="top" wrapText="1"/>
    </xf>
    <xf numFmtId="0" fontId="22" fillId="23" borderId="734" xfId="0" applyFont="1" applyFill="1" applyBorder="1" applyAlignment="1" applyProtection="1">
      <alignment vertical="top" wrapText="1"/>
    </xf>
    <xf numFmtId="0" fontId="22" fillId="23" borderId="753" xfId="0" applyFont="1" applyFill="1" applyBorder="1" applyAlignment="1" applyProtection="1">
      <alignment vertical="center" wrapText="1"/>
    </xf>
    <xf numFmtId="0" fontId="22" fillId="23" borderId="753" xfId="0" applyFont="1" applyFill="1" applyBorder="1" applyAlignment="1" applyProtection="1">
      <alignment vertical="top" wrapText="1"/>
    </xf>
    <xf numFmtId="0" fontId="15" fillId="0" borderId="734" xfId="0" applyFont="1" applyFill="1" applyBorder="1" applyAlignment="1" applyProtection="1">
      <alignment horizontal="center" vertical="center" wrapText="1"/>
    </xf>
    <xf numFmtId="0" fontId="22" fillId="0" borderId="232" xfId="0" applyFont="1" applyBorder="1" applyAlignment="1" applyProtection="1">
      <alignment vertical="top"/>
    </xf>
    <xf numFmtId="0" fontId="22" fillId="0" borderId="734" xfId="0" applyFont="1" applyBorder="1" applyAlignment="1" applyProtection="1">
      <alignment horizontal="left" vertical="top" indent="2"/>
    </xf>
    <xf numFmtId="0" fontId="22" fillId="23" borderId="734" xfId="0" applyFont="1" applyFill="1" applyBorder="1" applyAlignment="1" applyProtection="1">
      <alignment horizontal="left" vertical="top" indent="2"/>
    </xf>
    <xf numFmtId="0" fontId="22" fillId="23" borderId="753" xfId="0" applyFont="1" applyFill="1" applyBorder="1" applyAlignment="1" applyProtection="1">
      <alignment horizontal="left" vertical="center"/>
    </xf>
    <xf numFmtId="0" fontId="22" fillId="23" borderId="753" xfId="0" applyFont="1" applyFill="1" applyBorder="1" applyAlignment="1" applyProtection="1">
      <alignment horizontal="left" vertical="top" indent="2"/>
    </xf>
    <xf numFmtId="0" fontId="22" fillId="0" borderId="232" xfId="0" applyFont="1" applyBorder="1" applyAlignment="1" applyProtection="1">
      <alignment horizontal="left" vertical="top" indent="2"/>
    </xf>
    <xf numFmtId="1" fontId="21" fillId="42" borderId="734" xfId="0" applyNumberFormat="1" applyFont="1" applyFill="1" applyBorder="1" applyAlignment="1" applyProtection="1">
      <alignment horizontal="center" vertical="center" wrapText="1"/>
    </xf>
    <xf numFmtId="1" fontId="21" fillId="42" borderId="753" xfId="0" applyNumberFormat="1" applyFont="1" applyFill="1" applyBorder="1" applyAlignment="1" applyProtection="1">
      <alignment horizontal="center" vertical="center" wrapText="1"/>
      <protection locked="0"/>
    </xf>
    <xf numFmtId="0" fontId="28" fillId="3" borderId="734" xfId="0" applyFont="1" applyFill="1" applyBorder="1" applyAlignment="1" applyProtection="1">
      <alignment horizontal="center" vertical="center"/>
    </xf>
    <xf numFmtId="0" fontId="23" fillId="3" borderId="747" xfId="0" applyFont="1" applyFill="1" applyBorder="1" applyAlignment="1" applyProtection="1">
      <alignment horizontal="left" vertical="top" wrapText="1"/>
    </xf>
    <xf numFmtId="1" fontId="21" fillId="35" borderId="732" xfId="0" applyNumberFormat="1" applyFont="1" applyFill="1" applyBorder="1" applyAlignment="1" applyProtection="1">
      <alignment horizontal="center" vertical="center" wrapText="1"/>
    </xf>
    <xf numFmtId="1" fontId="21" fillId="35" borderId="738" xfId="0" applyNumberFormat="1" applyFont="1" applyFill="1" applyBorder="1" applyAlignment="1" applyProtection="1">
      <alignment horizontal="center" vertical="center" wrapText="1"/>
      <protection locked="0"/>
    </xf>
    <xf numFmtId="1" fontId="21" fillId="42" borderId="738" xfId="0" applyNumberFormat="1" applyFont="1" applyFill="1" applyBorder="1" applyAlignment="1" applyProtection="1">
      <alignment horizontal="left" vertical="center" wrapText="1"/>
    </xf>
    <xf numFmtId="0" fontId="22" fillId="0" borderId="734" xfId="0" applyFont="1" applyBorder="1" applyAlignment="1" applyProtection="1">
      <alignment horizontal="left" vertical="top" wrapText="1" indent="8"/>
    </xf>
    <xf numFmtId="0" fontId="28" fillId="3" borderId="734" xfId="0" applyFont="1" applyFill="1" applyBorder="1" applyAlignment="1" applyProtection="1">
      <alignment horizontal="center" vertical="center" wrapText="1"/>
    </xf>
    <xf numFmtId="0" fontId="21" fillId="3" borderId="734" xfId="0" applyFont="1" applyFill="1" applyBorder="1" applyAlignment="1" applyProtection="1">
      <alignment horizontal="center" vertical="center"/>
    </xf>
    <xf numFmtId="0" fontId="21" fillId="3" borderId="753" xfId="0" applyFont="1" applyFill="1" applyBorder="1" applyAlignment="1" applyProtection="1">
      <alignment horizontal="center" vertical="center"/>
      <protection locked="0"/>
    </xf>
    <xf numFmtId="0" fontId="21" fillId="50" borderId="753" xfId="0" applyFont="1" applyFill="1" applyBorder="1" applyAlignment="1" applyProtection="1">
      <alignment horizontal="center" vertical="center"/>
      <protection locked="0"/>
    </xf>
    <xf numFmtId="0" fontId="21" fillId="3" borderId="732" xfId="0" applyFont="1" applyFill="1" applyBorder="1" applyAlignment="1" applyProtection="1">
      <alignment horizontal="center" vertical="center" wrapText="1"/>
    </xf>
    <xf numFmtId="0" fontId="21" fillId="0" borderId="738" xfId="0" applyFont="1" applyFill="1" applyBorder="1" applyAlignment="1" applyProtection="1">
      <alignment horizontal="center" vertical="center" wrapText="1"/>
      <protection locked="0"/>
    </xf>
    <xf numFmtId="0" fontId="21" fillId="3" borderId="738" xfId="0" applyFont="1" applyFill="1" applyBorder="1" applyAlignment="1" applyProtection="1">
      <alignment horizontal="center" vertical="center" wrapText="1"/>
      <protection locked="0"/>
    </xf>
    <xf numFmtId="0" fontId="22" fillId="0" borderId="232" xfId="0" applyFont="1" applyBorder="1" applyAlignment="1" applyProtection="1">
      <alignment horizontal="left" vertical="top" wrapText="1" indent="2"/>
    </xf>
    <xf numFmtId="0" fontId="22" fillId="0" borderId="223" xfId="0" applyFont="1" applyBorder="1" applyAlignment="1" applyProtection="1">
      <alignment vertical="top" wrapText="1"/>
    </xf>
    <xf numFmtId="1" fontId="67" fillId="0" borderId="738" xfId="0" applyNumberFormat="1" applyFont="1" applyBorder="1" applyAlignment="1" applyProtection="1">
      <alignment horizontal="left" vertical="center" wrapText="1"/>
    </xf>
    <xf numFmtId="0" fontId="22" fillId="0" borderId="223" xfId="0" applyFont="1" applyBorder="1" applyAlignment="1" applyProtection="1"/>
    <xf numFmtId="0" fontId="22" fillId="0" borderId="734" xfId="0" applyFont="1" applyBorder="1" applyAlignment="1" applyProtection="1">
      <alignment horizontal="left" vertical="top" wrapText="1" indent="2"/>
    </xf>
    <xf numFmtId="0" fontId="22" fillId="35" borderId="734" xfId="0" applyFont="1" applyFill="1" applyBorder="1" applyAlignment="1" applyProtection="1">
      <alignment horizontal="center" vertical="center" wrapText="1"/>
    </xf>
    <xf numFmtId="1" fontId="21" fillId="35" borderId="734" xfId="0" applyNumberFormat="1" applyFont="1" applyFill="1" applyBorder="1" applyAlignment="1" applyProtection="1">
      <alignment horizontal="center" vertical="center" wrapText="1"/>
    </xf>
    <xf numFmtId="0" fontId="22" fillId="0" borderId="734" xfId="0" applyFont="1" applyBorder="1" applyAlignment="1" applyProtection="1">
      <alignment horizontal="left" vertical="center" wrapText="1" indent="4"/>
    </xf>
    <xf numFmtId="0" fontId="22" fillId="0" borderId="732" xfId="0" applyFont="1" applyBorder="1" applyAlignment="1" applyProtection="1">
      <alignment horizontal="left" vertical="center" wrapText="1" indent="4"/>
    </xf>
    <xf numFmtId="0" fontId="22" fillId="0" borderId="732" xfId="0" applyFont="1" applyBorder="1" applyAlignment="1" applyProtection="1">
      <alignment horizontal="left" vertical="top" wrapText="1" indent="2"/>
    </xf>
    <xf numFmtId="0" fontId="22" fillId="0" borderId="244" xfId="0" applyFont="1" applyBorder="1" applyAlignment="1" applyProtection="1">
      <alignment horizontal="left" vertical="top" wrapText="1" indent="2"/>
    </xf>
    <xf numFmtId="0" fontId="23" fillId="3" borderId="740" xfId="0" applyFont="1" applyFill="1" applyBorder="1" applyAlignment="1" applyProtection="1">
      <alignment horizontal="left" vertical="top" wrapText="1"/>
    </xf>
    <xf numFmtId="0" fontId="23" fillId="23" borderId="740" xfId="0" applyFont="1" applyFill="1" applyBorder="1" applyAlignment="1" applyProtection="1">
      <alignment horizontal="left" vertical="top" wrapText="1"/>
    </xf>
    <xf numFmtId="0" fontId="3" fillId="3" borderId="734" xfId="0" applyFont="1" applyFill="1" applyBorder="1" applyAlignment="1">
      <alignment horizontal="center" vertical="center"/>
    </xf>
    <xf numFmtId="1" fontId="21" fillId="0" borderId="835" xfId="0" applyNumberFormat="1" applyFont="1" applyBorder="1" applyAlignment="1" applyProtection="1">
      <alignment vertical="center" wrapText="1"/>
    </xf>
    <xf numFmtId="0" fontId="22" fillId="0" borderId="232" xfId="0" applyFont="1" applyBorder="1" applyProtection="1"/>
    <xf numFmtId="1" fontId="21" fillId="0" borderId="734" xfId="0" applyNumberFormat="1" applyFont="1" applyFill="1" applyBorder="1" applyAlignment="1" applyProtection="1">
      <alignment horizontal="center" vertical="center"/>
    </xf>
    <xf numFmtId="1" fontId="21" fillId="0" borderId="738" xfId="0" applyNumberFormat="1" applyFont="1" applyFill="1" applyBorder="1" applyAlignment="1" applyProtection="1">
      <alignment horizontal="center" vertical="center"/>
      <protection locked="0"/>
    </xf>
    <xf numFmtId="0" fontId="13" fillId="0" borderId="734" xfId="0" applyFont="1" applyBorder="1" applyAlignment="1" applyProtection="1">
      <alignment horizontal="left" vertical="center" wrapText="1" indent="4"/>
    </xf>
    <xf numFmtId="0" fontId="13" fillId="0" borderId="240" xfId="0" applyFont="1" applyBorder="1" applyAlignment="1" applyProtection="1">
      <alignment horizontal="left" vertical="center" wrapText="1" indent="4"/>
    </xf>
    <xf numFmtId="1" fontId="21" fillId="0" borderId="848" xfId="0" applyNumberFormat="1" applyFont="1" applyFill="1" applyBorder="1" applyAlignment="1" applyProtection="1">
      <alignment horizontal="center" vertical="center"/>
      <protection locked="0"/>
    </xf>
    <xf numFmtId="0" fontId="22" fillId="0" borderId="240" xfId="0" applyFont="1" applyBorder="1" applyAlignment="1" applyProtection="1">
      <alignment horizontal="left" vertical="top" wrapText="1" indent="2"/>
    </xf>
    <xf numFmtId="1" fontId="21" fillId="0" borderId="835" xfId="0" applyNumberFormat="1" applyFont="1" applyBorder="1" applyAlignment="1" applyProtection="1">
      <alignment vertical="center" wrapText="1"/>
      <protection locked="0"/>
    </xf>
    <xf numFmtId="0" fontId="22" fillId="0" borderId="223" xfId="0" applyFont="1" applyBorder="1" applyAlignment="1" applyProtection="1">
      <alignment horizontal="left" vertical="top" wrapText="1" indent="2"/>
    </xf>
    <xf numFmtId="0" fontId="22" fillId="23" borderId="734" xfId="0" applyFont="1" applyFill="1" applyBorder="1" applyAlignment="1" applyProtection="1">
      <alignment horizontal="left" vertical="top" wrapText="1" indent="2"/>
    </xf>
    <xf numFmtId="0" fontId="22" fillId="23" borderId="753" xfId="0" applyFont="1" applyFill="1" applyBorder="1" applyAlignment="1" applyProtection="1">
      <alignment horizontal="left" vertical="center" wrapText="1"/>
    </xf>
    <xf numFmtId="0" fontId="22" fillId="23" borderId="753" xfId="0" applyFont="1" applyFill="1" applyBorder="1" applyAlignment="1" applyProtection="1">
      <alignment horizontal="left" vertical="top" wrapText="1" indent="2"/>
    </xf>
    <xf numFmtId="0" fontId="13" fillId="0" borderId="732" xfId="0" applyFont="1" applyBorder="1" applyAlignment="1" applyProtection="1">
      <alignment horizontal="left" vertical="center" wrapText="1" indent="4"/>
    </xf>
    <xf numFmtId="0" fontId="22" fillId="0" borderId="739" xfId="0" applyFont="1" applyBorder="1" applyAlignment="1" applyProtection="1">
      <alignment horizontal="center" vertical="center" wrapText="1"/>
    </xf>
    <xf numFmtId="0" fontId="22" fillId="35" borderId="734" xfId="0" applyFont="1" applyFill="1" applyBorder="1" applyAlignment="1" applyProtection="1">
      <alignment horizontal="left" vertical="top" wrapText="1" indent="2"/>
    </xf>
    <xf numFmtId="0" fontId="22" fillId="35" borderId="753" xfId="0" applyFont="1" applyFill="1" applyBorder="1" applyAlignment="1" applyProtection="1">
      <alignment horizontal="left" vertical="center" wrapText="1"/>
    </xf>
    <xf numFmtId="0" fontId="22" fillId="35" borderId="753" xfId="0" applyFont="1" applyFill="1" applyBorder="1" applyAlignment="1" applyProtection="1">
      <alignment horizontal="left" vertical="top" wrapText="1" indent="2"/>
    </xf>
    <xf numFmtId="0" fontId="22" fillId="0" borderId="236" xfId="0" applyFont="1" applyBorder="1" applyAlignment="1" applyProtection="1">
      <alignment horizontal="left" vertical="top" wrapText="1"/>
    </xf>
    <xf numFmtId="0" fontId="23" fillId="3" borderId="785" xfId="0" applyFont="1" applyFill="1" applyBorder="1" applyAlignment="1" applyProtection="1">
      <alignment horizontal="left" vertical="top" wrapText="1"/>
    </xf>
    <xf numFmtId="0" fontId="23" fillId="3" borderId="739" xfId="0" applyFont="1" applyFill="1" applyBorder="1" applyAlignment="1" applyProtection="1">
      <alignment horizontal="left" vertical="top" wrapText="1"/>
    </xf>
    <xf numFmtId="0" fontId="26" fillId="3" borderId="734" xfId="6" applyFont="1" applyFill="1" applyBorder="1" applyAlignment="1" applyProtection="1">
      <alignment horizontal="left" vertical="center" wrapText="1"/>
    </xf>
    <xf numFmtId="0" fontId="50" fillId="35" borderId="734" xfId="6" applyFont="1" applyFill="1" applyBorder="1" applyProtection="1">
      <alignment horizontal="center" vertical="center" wrapText="1"/>
    </xf>
    <xf numFmtId="0" fontId="50" fillId="35" borderId="753" xfId="6" applyFont="1" applyFill="1" applyBorder="1" applyAlignment="1" applyProtection="1">
      <alignment horizontal="center" vertical="center" wrapText="1"/>
    </xf>
    <xf numFmtId="0" fontId="50" fillId="35" borderId="753" xfId="6" applyFont="1" applyFill="1" applyBorder="1" applyProtection="1">
      <alignment horizontal="center" vertical="center" wrapText="1"/>
    </xf>
    <xf numFmtId="0" fontId="22" fillId="0" borderId="223" xfId="0" applyFont="1" applyBorder="1" applyAlignment="1" applyProtection="1">
      <alignment horizontal="left" vertical="top" wrapText="1" indent="4"/>
    </xf>
    <xf numFmtId="0" fontId="22" fillId="3" borderId="734" xfId="0" applyFont="1" applyFill="1" applyBorder="1" applyAlignment="1" applyProtection="1">
      <alignment horizontal="center" vertical="center" wrapText="1"/>
    </xf>
    <xf numFmtId="0" fontId="21" fillId="3" borderId="734" xfId="0" applyFont="1" applyFill="1" applyBorder="1" applyAlignment="1" applyProtection="1">
      <alignment horizontal="center" vertical="center" wrapText="1"/>
    </xf>
    <xf numFmtId="0" fontId="21" fillId="77" borderId="753" xfId="0" applyFont="1" applyFill="1" applyBorder="1" applyAlignment="1" applyProtection="1">
      <alignment horizontal="center" vertical="center" wrapText="1"/>
    </xf>
    <xf numFmtId="0" fontId="21" fillId="3" borderId="753" xfId="0" applyFont="1" applyFill="1" applyBorder="1" applyAlignment="1" applyProtection="1">
      <alignment horizontal="center" vertical="center" wrapText="1"/>
      <protection locked="0"/>
    </xf>
    <xf numFmtId="0" fontId="21" fillId="0" borderId="734" xfId="0" applyFont="1" applyFill="1" applyBorder="1" applyAlignment="1" applyProtection="1">
      <alignment horizontal="left" vertical="top" wrapText="1"/>
    </xf>
    <xf numFmtId="0" fontId="23" fillId="23" borderId="381" xfId="0" applyFont="1" applyFill="1" applyBorder="1" applyAlignment="1" applyProtection="1">
      <alignment horizontal="left" vertical="top" wrapText="1"/>
    </xf>
    <xf numFmtId="1" fontId="21" fillId="35" borderId="753" xfId="0" applyNumberFormat="1" applyFont="1" applyFill="1" applyBorder="1" applyAlignment="1" applyProtection="1">
      <alignment horizontal="left" vertical="center" wrapText="1"/>
    </xf>
    <xf numFmtId="0" fontId="23" fillId="35" borderId="753" xfId="0" applyFont="1" applyFill="1" applyBorder="1" applyAlignment="1" applyProtection="1">
      <alignment horizontal="left" vertical="top" wrapText="1"/>
    </xf>
    <xf numFmtId="0" fontId="23" fillId="35" borderId="747" xfId="0" applyFont="1" applyFill="1" applyBorder="1" applyAlignment="1" applyProtection="1">
      <alignment horizontal="left" vertical="top" wrapText="1"/>
    </xf>
    <xf numFmtId="1" fontId="21" fillId="3" borderId="734" xfId="0" applyNumberFormat="1" applyFont="1" applyFill="1" applyBorder="1" applyAlignment="1" applyProtection="1">
      <alignment horizontal="center" vertical="center" wrapText="1"/>
    </xf>
    <xf numFmtId="166" fontId="21" fillId="3" borderId="738" xfId="0" applyNumberFormat="1" applyFont="1" applyFill="1" applyBorder="1" applyAlignment="1" applyProtection="1">
      <alignment horizontal="left" vertical="center" wrapText="1"/>
      <protection locked="0"/>
    </xf>
    <xf numFmtId="0" fontId="23" fillId="3" borderId="381" xfId="0" applyFont="1" applyFill="1" applyBorder="1" applyAlignment="1" applyProtection="1">
      <alignment horizontal="center" vertical="top" wrapText="1"/>
    </xf>
    <xf numFmtId="1" fontId="21" fillId="3" borderId="753" xfId="0" applyNumberFormat="1" applyFont="1" applyFill="1" applyBorder="1" applyAlignment="1" applyProtection="1">
      <alignment horizontal="center" vertical="center" wrapText="1"/>
      <protection locked="0"/>
    </xf>
    <xf numFmtId="0" fontId="3" fillId="0" borderId="740" xfId="0" applyFont="1" applyFill="1" applyBorder="1" applyAlignment="1">
      <alignment vertical="center"/>
    </xf>
    <xf numFmtId="1" fontId="16" fillId="0" borderId="734" xfId="0" applyNumberFormat="1" applyFont="1" applyBorder="1" applyAlignment="1" applyProtection="1">
      <alignment horizontal="center" vertical="center" wrapText="1"/>
    </xf>
    <xf numFmtId="0" fontId="22" fillId="0" borderId="240" xfId="0" applyFont="1" applyBorder="1" applyAlignment="1" applyProtection="1">
      <alignment horizontal="left" vertical="center" wrapText="1" indent="4"/>
    </xf>
    <xf numFmtId="1" fontId="16" fillId="77" borderId="848" xfId="0" applyNumberFormat="1" applyFont="1" applyFill="1" applyBorder="1" applyAlignment="1" applyProtection="1">
      <alignment horizontal="center" vertical="center" wrapText="1"/>
    </xf>
    <xf numFmtId="0" fontId="21" fillId="50" borderId="848" xfId="0" applyFont="1" applyFill="1" applyBorder="1" applyAlignment="1" applyProtection="1">
      <alignment horizontal="center" vertical="center" wrapText="1"/>
      <protection locked="0"/>
    </xf>
    <xf numFmtId="0" fontId="21" fillId="0" borderId="848" xfId="0" applyFont="1" applyBorder="1" applyAlignment="1" applyProtection="1">
      <alignment horizontal="center" vertical="center" wrapText="1"/>
      <protection locked="0"/>
    </xf>
    <xf numFmtId="0" fontId="21" fillId="35" borderId="734" xfId="0" applyFont="1" applyFill="1" applyBorder="1" applyAlignment="1" applyProtection="1">
      <alignment horizontal="center" vertical="center" wrapText="1"/>
    </xf>
    <xf numFmtId="0" fontId="21" fillId="77" borderId="738" xfId="0" applyFont="1" applyFill="1" applyBorder="1" applyAlignment="1" applyProtection="1">
      <alignment horizontal="center" vertical="center" wrapText="1"/>
    </xf>
    <xf numFmtId="0" fontId="21" fillId="50" borderId="734" xfId="0" applyFont="1" applyFill="1" applyBorder="1" applyAlignment="1" applyProtection="1">
      <alignment horizontal="center" vertical="center" wrapText="1"/>
      <protection locked="0"/>
    </xf>
    <xf numFmtId="0" fontId="21" fillId="77" borderId="732" xfId="0" applyFont="1" applyFill="1" applyBorder="1" applyAlignment="1" applyProtection="1">
      <alignment horizontal="center" vertical="center" wrapText="1"/>
    </xf>
    <xf numFmtId="0" fontId="21" fillId="0" borderId="732" xfId="0" applyFont="1" applyBorder="1" applyAlignment="1" applyProtection="1">
      <alignment horizontal="center" vertical="center" wrapText="1"/>
      <protection locked="0"/>
    </xf>
    <xf numFmtId="0" fontId="22" fillId="0" borderId="223" xfId="0" applyFont="1" applyBorder="1" applyAlignment="1" applyProtection="1">
      <alignment wrapText="1"/>
    </xf>
    <xf numFmtId="0" fontId="22" fillId="23" borderId="734" xfId="0" applyFont="1" applyFill="1" applyBorder="1" applyAlignment="1" applyProtection="1">
      <alignment horizontal="left" wrapText="1" indent="2"/>
    </xf>
    <xf numFmtId="0" fontId="22" fillId="23" borderId="753" xfId="0" applyFont="1" applyFill="1" applyBorder="1" applyAlignment="1" applyProtection="1">
      <alignment horizontal="left" wrapText="1" indent="2"/>
    </xf>
    <xf numFmtId="0" fontId="23" fillId="0" borderId="734" xfId="15" applyFont="1" applyFill="1" applyBorder="1" applyAlignment="1">
      <alignment horizontal="center" vertical="center" wrapText="1"/>
    </xf>
    <xf numFmtId="0" fontId="21" fillId="0" borderId="734" xfId="0" applyFont="1" applyBorder="1" applyAlignment="1" applyProtection="1">
      <alignment horizontal="left" vertical="top" wrapText="1" indent="8"/>
    </xf>
    <xf numFmtId="0" fontId="0" fillId="0" borderId="734" xfId="0" applyFont="1" applyBorder="1" applyAlignment="1">
      <alignment horizontal="center" vertical="center" wrapText="1"/>
    </xf>
    <xf numFmtId="0" fontId="22" fillId="0" borderId="732" xfId="0" applyFont="1" applyBorder="1" applyAlignment="1" applyProtection="1">
      <alignment horizontal="left" vertical="top" wrapText="1" indent="8"/>
    </xf>
    <xf numFmtId="1" fontId="21" fillId="0" borderId="873" xfId="0" applyNumberFormat="1" applyFont="1" applyBorder="1" applyAlignment="1" applyProtection="1">
      <alignment horizontal="center" vertical="center" wrapText="1"/>
    </xf>
    <xf numFmtId="1" fontId="26" fillId="35" borderId="795" xfId="9" applyFont="1" applyFill="1" applyBorder="1" applyAlignment="1" applyProtection="1">
      <alignment horizontal="center" vertical="center"/>
    </xf>
    <xf numFmtId="0" fontId="22" fillId="0" borderId="734" xfId="0" applyFont="1" applyBorder="1" applyAlignment="1" applyProtection="1">
      <alignment horizontal="left" wrapText="1" indent="4"/>
    </xf>
    <xf numFmtId="0" fontId="22" fillId="0" borderId="732" xfId="0" applyFont="1" applyBorder="1" applyAlignment="1" applyProtection="1">
      <alignment horizontal="left" wrapText="1" indent="4"/>
    </xf>
    <xf numFmtId="0" fontId="22" fillId="0" borderId="734" xfId="0" applyFont="1" applyBorder="1" applyAlignment="1" applyProtection="1">
      <alignment horizontal="center" vertical="center" wrapText="1" shrinkToFit="1"/>
    </xf>
    <xf numFmtId="1" fontId="21" fillId="0" borderId="734" xfId="0" applyNumberFormat="1" applyFont="1" applyBorder="1" applyAlignment="1" applyProtection="1">
      <alignment horizontal="center" vertical="center"/>
    </xf>
    <xf numFmtId="0" fontId="22" fillId="0" borderId="732" xfId="0" applyFont="1" applyBorder="1" applyAlignment="1" applyProtection="1">
      <alignment horizontal="center" vertical="center" wrapText="1" shrinkToFit="1"/>
    </xf>
    <xf numFmtId="1" fontId="21" fillId="0" borderId="732" xfId="0" applyNumberFormat="1" applyFont="1" applyBorder="1" applyAlignment="1" applyProtection="1">
      <alignment horizontal="center" vertical="center"/>
    </xf>
    <xf numFmtId="0" fontId="22" fillId="0" borderId="240" xfId="0" applyFont="1" applyBorder="1" applyAlignment="1" applyProtection="1">
      <alignment horizontal="left" vertical="top" wrapText="1" indent="8"/>
    </xf>
    <xf numFmtId="0" fontId="22" fillId="0" borderId="734" xfId="0" applyFont="1" applyBorder="1" applyAlignment="1" applyProtection="1">
      <alignment horizontal="left" vertical="top" wrapText="1" indent="12"/>
    </xf>
    <xf numFmtId="0" fontId="22" fillId="0" borderId="223" xfId="0" applyFont="1" applyBorder="1" applyAlignment="1" applyProtection="1">
      <alignment horizontal="left" vertical="top" wrapText="1" indent="8"/>
    </xf>
    <xf numFmtId="0" fontId="22" fillId="0" borderId="76" xfId="0" applyFont="1" applyBorder="1" applyAlignment="1" applyProtection="1">
      <alignment horizontal="left" vertical="top" wrapText="1" indent="4"/>
    </xf>
    <xf numFmtId="0" fontId="22" fillId="3" borderId="734" xfId="0" applyFont="1" applyFill="1" applyBorder="1" applyAlignment="1" applyProtection="1">
      <alignment horizontal="center" vertical="center"/>
    </xf>
    <xf numFmtId="0" fontId="21" fillId="77" borderId="753" xfId="0" applyFont="1" applyFill="1" applyBorder="1" applyAlignment="1" applyProtection="1">
      <alignment horizontal="center" vertical="center"/>
    </xf>
    <xf numFmtId="0" fontId="22" fillId="35" borderId="734" xfId="0" applyFont="1" applyFill="1" applyBorder="1" applyAlignment="1" applyProtection="1">
      <alignment horizontal="center" vertical="center"/>
    </xf>
    <xf numFmtId="0" fontId="21" fillId="35" borderId="734" xfId="0" applyFont="1" applyFill="1" applyBorder="1" applyAlignment="1" applyProtection="1">
      <alignment horizontal="center" vertical="center"/>
    </xf>
    <xf numFmtId="0" fontId="21" fillId="35" borderId="753" xfId="0" applyFont="1" applyFill="1" applyBorder="1" applyAlignment="1" applyProtection="1">
      <alignment horizontal="center" vertical="center"/>
    </xf>
    <xf numFmtId="0" fontId="22" fillId="35" borderId="732" xfId="0" applyFont="1" applyFill="1" applyBorder="1" applyAlignment="1" applyProtection="1">
      <alignment horizontal="center" vertical="center"/>
    </xf>
    <xf numFmtId="0" fontId="22" fillId="3" borderId="732" xfId="0" applyFont="1" applyFill="1" applyBorder="1" applyAlignment="1" applyProtection="1">
      <alignment horizontal="center" vertical="center"/>
    </xf>
    <xf numFmtId="0" fontId="22" fillId="3" borderId="734" xfId="0" applyFont="1" applyFill="1" applyBorder="1" applyAlignment="1" applyProtection="1">
      <alignment horizontal="left" vertical="top" wrapText="1" indent="4"/>
    </xf>
    <xf numFmtId="0" fontId="21" fillId="3" borderId="734" xfId="0" applyFont="1" applyFill="1" applyBorder="1" applyAlignment="1" applyProtection="1">
      <alignment horizontal="center" vertical="top" wrapText="1"/>
    </xf>
    <xf numFmtId="0" fontId="21" fillId="77" borderId="734" xfId="0" applyFont="1" applyFill="1" applyBorder="1" applyAlignment="1" applyProtection="1">
      <alignment horizontal="center" vertical="center" wrapText="1"/>
    </xf>
    <xf numFmtId="0" fontId="21" fillId="3" borderId="734" xfId="0" applyFont="1" applyFill="1" applyBorder="1" applyAlignment="1" applyProtection="1">
      <alignment horizontal="center" vertical="center" wrapText="1"/>
      <protection locked="0"/>
    </xf>
    <xf numFmtId="0" fontId="21" fillId="3" borderId="734" xfId="0" applyFont="1" applyFill="1" applyBorder="1" applyAlignment="1" applyProtection="1">
      <alignment horizontal="center" vertical="top" wrapText="1"/>
      <protection locked="0"/>
    </xf>
    <xf numFmtId="0" fontId="22" fillId="3" borderId="240" xfId="0" applyFont="1" applyFill="1" applyBorder="1" applyAlignment="1" applyProtection="1">
      <alignment horizontal="left" vertical="top" wrapText="1" indent="4"/>
    </xf>
    <xf numFmtId="0" fontId="22" fillId="0" borderId="223" xfId="0" applyFont="1" applyBorder="1" applyAlignment="1" applyProtection="1">
      <alignment horizontal="left" vertical="top" wrapText="1"/>
    </xf>
    <xf numFmtId="0" fontId="22" fillId="0" borderId="734" xfId="0" applyFont="1" applyBorder="1" applyAlignment="1" applyProtection="1">
      <alignment horizontal="left" wrapText="1"/>
    </xf>
    <xf numFmtId="0" fontId="21" fillId="0" borderId="732" xfId="0" applyFont="1" applyBorder="1" applyAlignment="1" applyProtection="1">
      <alignment horizontal="left" vertical="top" wrapText="1" indent="8"/>
    </xf>
    <xf numFmtId="0" fontId="80" fillId="0" borderId="734" xfId="0" applyFont="1" applyBorder="1" applyAlignment="1">
      <alignment horizontal="center" vertical="center" wrapText="1"/>
    </xf>
    <xf numFmtId="1" fontId="55" fillId="0" borderId="734" xfId="0" applyNumberFormat="1" applyFont="1" applyFill="1" applyBorder="1" applyAlignment="1" applyProtection="1">
      <alignment horizontal="center" vertical="center" wrapText="1"/>
    </xf>
    <xf numFmtId="1" fontId="55" fillId="0" borderId="738" xfId="0" applyNumberFormat="1" applyFont="1" applyFill="1" applyBorder="1" applyAlignment="1" applyProtection="1">
      <alignment horizontal="center" vertical="center" wrapText="1"/>
      <protection locked="0"/>
    </xf>
    <xf numFmtId="0" fontId="21" fillId="0" borderId="734" xfId="0" applyNumberFormat="1" applyFont="1" applyFill="1" applyBorder="1" applyAlignment="1" applyProtection="1">
      <alignment horizontal="center" vertical="center" wrapText="1"/>
    </xf>
    <xf numFmtId="0" fontId="21" fillId="50" borderId="753" xfId="0" applyNumberFormat="1" applyFont="1" applyFill="1" applyBorder="1" applyAlignment="1" applyProtection="1">
      <alignment horizontal="center" vertical="center" wrapText="1"/>
    </xf>
    <xf numFmtId="0" fontId="21" fillId="76" borderId="753" xfId="0" applyNumberFormat="1" applyFont="1" applyFill="1" applyBorder="1" applyAlignment="1" applyProtection="1">
      <alignment horizontal="center" vertical="center" wrapText="1"/>
    </xf>
    <xf numFmtId="0" fontId="21" fillId="0" borderId="753" xfId="0" applyNumberFormat="1" applyFont="1" applyFill="1" applyBorder="1" applyAlignment="1" applyProtection="1">
      <alignment horizontal="center" vertical="center" wrapText="1"/>
      <protection locked="0"/>
    </xf>
    <xf numFmtId="1" fontId="21" fillId="50" borderId="753" xfId="0" applyNumberFormat="1" applyFont="1" applyFill="1" applyBorder="1" applyAlignment="1" applyProtection="1">
      <alignment horizontal="center" vertical="center" wrapText="1"/>
    </xf>
    <xf numFmtId="0" fontId="22" fillId="0" borderId="223" xfId="0" applyNumberFormat="1" applyFont="1" applyBorder="1" applyAlignment="1" applyProtection="1">
      <alignment horizontal="left" vertical="top" wrapText="1" indent="4"/>
    </xf>
    <xf numFmtId="0" fontId="22" fillId="23" borderId="734" xfId="0" applyFont="1" applyFill="1" applyBorder="1" applyAlignment="1" applyProtection="1">
      <alignment horizontal="center" vertical="center" wrapText="1"/>
    </xf>
    <xf numFmtId="0" fontId="22" fillId="23" borderId="734" xfId="0" applyFont="1" applyFill="1" applyBorder="1" applyAlignment="1" applyProtection="1">
      <alignment horizontal="left" vertical="top" wrapText="1" indent="4"/>
    </xf>
    <xf numFmtId="0" fontId="22" fillId="23" borderId="753" xfId="0" applyFont="1" applyFill="1" applyBorder="1" applyAlignment="1" applyProtection="1">
      <alignment horizontal="left" vertical="top" wrapText="1" indent="4"/>
    </xf>
    <xf numFmtId="1" fontId="21" fillId="77" borderId="848" xfId="0" applyNumberFormat="1" applyFont="1" applyFill="1" applyBorder="1" applyAlignment="1" applyProtection="1">
      <alignment horizontal="center" vertical="center" wrapText="1"/>
    </xf>
    <xf numFmtId="0" fontId="21" fillId="0" borderId="236" xfId="0" applyFont="1" applyBorder="1" applyAlignment="1" applyProtection="1">
      <alignment vertical="top" wrapText="1"/>
    </xf>
    <xf numFmtId="0" fontId="23" fillId="81" borderId="740" xfId="0" applyFont="1" applyFill="1" applyBorder="1" applyAlignment="1" applyProtection="1">
      <alignment horizontal="left" vertical="top" wrapText="1"/>
    </xf>
    <xf numFmtId="0" fontId="21" fillId="0" borderId="236" xfId="0" applyFont="1" applyBorder="1" applyAlignment="1" applyProtection="1">
      <alignment horizontal="left" vertical="top" wrapText="1" indent="4"/>
    </xf>
    <xf numFmtId="0" fontId="22" fillId="0" borderId="835" xfId="0" applyFont="1" applyBorder="1" applyAlignment="1" applyProtection="1">
      <alignment vertical="top" wrapText="1"/>
    </xf>
    <xf numFmtId="0" fontId="22" fillId="23" borderId="835" xfId="0" applyFont="1" applyFill="1" applyBorder="1" applyAlignment="1" applyProtection="1">
      <alignment vertical="top" wrapText="1"/>
    </xf>
    <xf numFmtId="0" fontId="22" fillId="23" borderId="848" xfId="0" applyFont="1" applyFill="1" applyBorder="1" applyAlignment="1" applyProtection="1">
      <alignment vertical="center" wrapText="1"/>
    </xf>
    <xf numFmtId="0" fontId="22" fillId="23" borderId="848" xfId="0" applyFont="1" applyFill="1" applyBorder="1" applyAlignment="1" applyProtection="1">
      <alignment vertical="top" wrapText="1"/>
    </xf>
    <xf numFmtId="1" fontId="55" fillId="0" borderId="753" xfId="0" applyNumberFormat="1" applyFont="1" applyFill="1" applyBorder="1" applyAlignment="1" applyProtection="1">
      <alignment horizontal="center" vertical="center" wrapText="1"/>
      <protection locked="0"/>
    </xf>
    <xf numFmtId="0" fontId="21" fillId="23" borderId="734" xfId="0" applyFont="1" applyFill="1" applyBorder="1" applyAlignment="1" applyProtection="1">
      <alignment horizontal="center" vertical="center" wrapText="1"/>
    </xf>
    <xf numFmtId="0" fontId="21" fillId="23" borderId="734" xfId="0" applyFont="1" applyFill="1" applyBorder="1" applyAlignment="1" applyProtection="1">
      <alignment horizontal="left" wrapText="1" indent="2"/>
    </xf>
    <xf numFmtId="0" fontId="21" fillId="23" borderId="753" xfId="0" applyFont="1" applyFill="1" applyBorder="1" applyAlignment="1" applyProtection="1">
      <alignment horizontal="left" vertical="center" wrapText="1"/>
    </xf>
    <xf numFmtId="0" fontId="21" fillId="23" borderId="753" xfId="0" applyFont="1" applyFill="1" applyBorder="1" applyAlignment="1" applyProtection="1">
      <alignment horizontal="left" wrapText="1" indent="2"/>
    </xf>
    <xf numFmtId="0" fontId="28" fillId="0" borderId="734" xfId="0" applyFont="1" applyFill="1" applyBorder="1" applyAlignment="1" applyProtection="1">
      <alignment horizontal="center" vertical="center" wrapText="1"/>
    </xf>
    <xf numFmtId="0" fontId="21" fillId="76" borderId="738" xfId="0" applyFont="1" applyFill="1" applyBorder="1" applyAlignment="1" applyProtection="1">
      <alignment horizontal="center" vertical="center" wrapText="1"/>
    </xf>
    <xf numFmtId="1" fontId="21" fillId="0" borderId="848" xfId="0" applyNumberFormat="1" applyFont="1" applyFill="1" applyBorder="1" applyAlignment="1" applyProtection="1">
      <alignment horizontal="center" vertical="center" wrapText="1"/>
    </xf>
    <xf numFmtId="0" fontId="55" fillId="3" borderId="734" xfId="0" applyFont="1" applyFill="1" applyBorder="1" applyAlignment="1" applyProtection="1">
      <alignment horizontal="center" vertical="center" wrapText="1"/>
    </xf>
    <xf numFmtId="0" fontId="55" fillId="50" borderId="753" xfId="0" applyFont="1" applyFill="1" applyBorder="1" applyAlignment="1" applyProtection="1">
      <alignment horizontal="center" vertical="center" wrapText="1"/>
    </xf>
    <xf numFmtId="0" fontId="55" fillId="75" borderId="753" xfId="0" applyFont="1" applyFill="1" applyBorder="1" applyAlignment="1" applyProtection="1">
      <alignment horizontal="center" vertical="center" wrapText="1"/>
    </xf>
    <xf numFmtId="0" fontId="21" fillId="3" borderId="753" xfId="0" applyFont="1" applyFill="1" applyBorder="1" applyAlignment="1" applyProtection="1">
      <alignment horizontal="center" vertical="center" wrapText="1"/>
    </xf>
    <xf numFmtId="1" fontId="21" fillId="50" borderId="738" xfId="0" applyNumberFormat="1" applyFont="1" applyFill="1" applyBorder="1" applyAlignment="1" applyProtection="1">
      <alignment horizontal="center" vertical="center" wrapText="1"/>
    </xf>
    <xf numFmtId="1" fontId="21" fillId="0" borderId="738" xfId="0" applyNumberFormat="1" applyFont="1" applyFill="1" applyBorder="1" applyAlignment="1" applyProtection="1">
      <alignment horizontal="left" vertical="center" wrapText="1"/>
      <protection locked="0"/>
    </xf>
    <xf numFmtId="1" fontId="21" fillId="23" borderId="734" xfId="0" applyNumberFormat="1" applyFont="1" applyFill="1" applyBorder="1" applyAlignment="1" applyProtection="1">
      <alignment horizontal="center" vertical="center" wrapText="1"/>
    </xf>
    <xf numFmtId="1" fontId="21" fillId="23" borderId="753" xfId="0" applyNumberFormat="1" applyFont="1" applyFill="1" applyBorder="1" applyAlignment="1" applyProtection="1">
      <alignment horizontal="center" vertical="center" wrapText="1"/>
    </xf>
    <xf numFmtId="0" fontId="22" fillId="0" borderId="734" xfId="0" applyNumberFormat="1" applyFont="1" applyBorder="1" applyAlignment="1" applyProtection="1">
      <alignment horizontal="center" vertical="center" wrapText="1"/>
    </xf>
    <xf numFmtId="0" fontId="22" fillId="0" borderId="732" xfId="0" applyNumberFormat="1" applyFont="1" applyBorder="1" applyAlignment="1" applyProtection="1">
      <alignment horizontal="center" vertical="center" wrapText="1"/>
    </xf>
    <xf numFmtId="1" fontId="21" fillId="13" borderId="734" xfId="0" applyNumberFormat="1" applyFont="1" applyFill="1" applyBorder="1" applyAlignment="1" applyProtection="1">
      <alignment horizontal="center" vertical="center" wrapText="1"/>
    </xf>
    <xf numFmtId="1" fontId="21" fillId="81" borderId="753" xfId="0" applyNumberFormat="1" applyFont="1" applyFill="1" applyBorder="1" applyAlignment="1" applyProtection="1">
      <alignment horizontal="center" vertical="center" wrapText="1"/>
    </xf>
    <xf numFmtId="1" fontId="21" fillId="81" borderId="738" xfId="0" applyNumberFormat="1" applyFont="1" applyFill="1" applyBorder="1" applyAlignment="1" applyProtection="1">
      <alignment horizontal="center" vertical="center" wrapText="1"/>
    </xf>
    <xf numFmtId="0" fontId="22" fillId="0" borderId="734" xfId="0" quotePrefix="1" applyFont="1" applyBorder="1" applyAlignment="1" applyProtection="1">
      <alignment horizontal="center" vertical="center" wrapText="1"/>
    </xf>
    <xf numFmtId="0" fontId="13" fillId="0" borderId="734" xfId="0" applyFont="1" applyBorder="1" applyAlignment="1" applyProtection="1">
      <alignment horizontal="center" vertical="center" wrapText="1"/>
    </xf>
    <xf numFmtId="0" fontId="17" fillId="3" borderId="12" xfId="5" applyFont="1" applyFill="1" applyBorder="1" applyAlignment="1">
      <alignment wrapText="1"/>
    </xf>
    <xf numFmtId="0" fontId="17" fillId="3" borderId="0" xfId="5" applyFont="1" applyFill="1" applyBorder="1" applyAlignment="1">
      <alignment wrapText="1"/>
    </xf>
    <xf numFmtId="0" fontId="17" fillId="0" borderId="13" xfId="5" applyFill="1" applyBorder="1" applyAlignment="1" applyProtection="1">
      <alignment horizontal="center" vertical="center" wrapText="1"/>
      <protection locked="0"/>
    </xf>
    <xf numFmtId="0" fontId="156" fillId="0" borderId="876" xfId="0" applyFont="1" applyBorder="1" applyAlignment="1">
      <alignment horizontal="center" vertical="center" wrapText="1"/>
    </xf>
    <xf numFmtId="0" fontId="155" fillId="0" borderId="515" xfId="0" applyFont="1" applyBorder="1" applyAlignment="1">
      <alignment horizontal="center" vertical="center" wrapText="1"/>
    </xf>
    <xf numFmtId="0" fontId="155" fillId="0" borderId="877" xfId="0" applyFont="1" applyBorder="1" applyAlignment="1">
      <alignment horizontal="center" vertical="center" wrapText="1"/>
    </xf>
    <xf numFmtId="0" fontId="156" fillId="0" borderId="879" xfId="0" applyFont="1" applyBorder="1" applyAlignment="1">
      <alignment horizontal="center" vertical="center" wrapText="1"/>
    </xf>
    <xf numFmtId="0" fontId="156" fillId="0" borderId="512" xfId="0" applyFont="1" applyBorder="1" applyAlignment="1">
      <alignment horizontal="center" vertical="center" wrapText="1"/>
    </xf>
    <xf numFmtId="0" fontId="156" fillId="0" borderId="875" xfId="0" applyFont="1" applyBorder="1" applyAlignment="1">
      <alignment horizontal="center" vertical="center" wrapText="1"/>
    </xf>
    <xf numFmtId="0" fontId="156" fillId="0" borderId="877" xfId="0" applyFont="1" applyBorder="1" applyAlignment="1">
      <alignment horizontal="center" vertical="center" wrapText="1"/>
    </xf>
    <xf numFmtId="0" fontId="156" fillId="82" borderId="875" xfId="0" applyFont="1" applyFill="1" applyBorder="1" applyAlignment="1">
      <alignment horizontal="center" vertical="center" wrapText="1"/>
    </xf>
    <xf numFmtId="0" fontId="156" fillId="82" borderId="877" xfId="0" applyFont="1" applyFill="1" applyBorder="1" applyAlignment="1">
      <alignment horizontal="center" vertical="center" wrapText="1"/>
    </xf>
    <xf numFmtId="0" fontId="156" fillId="0" borderId="515" xfId="0" applyFont="1" applyBorder="1" applyAlignment="1">
      <alignment horizontal="center" vertical="center" wrapText="1"/>
    </xf>
    <xf numFmtId="0" fontId="156" fillId="0" borderId="0" xfId="0" applyFont="1" applyAlignment="1">
      <alignment horizontal="left" vertical="center" indent="2"/>
    </xf>
    <xf numFmtId="0" fontId="156" fillId="0" borderId="0" xfId="0" applyFont="1" applyAlignment="1">
      <alignment horizontal="left" vertical="center"/>
    </xf>
    <xf numFmtId="0" fontId="17" fillId="0" borderId="13" xfId="5" applyBorder="1" applyProtection="1">
      <protection locked="0"/>
    </xf>
    <xf numFmtId="0" fontId="0" fillId="0" borderId="12" xfId="0" applyFont="1" applyBorder="1" applyAlignment="1" applyProtection="1">
      <alignment horizontal="left" vertical="top" wrapText="1"/>
      <protection locked="0"/>
    </xf>
    <xf numFmtId="1" fontId="55" fillId="0" borderId="245" xfId="0" applyNumberFormat="1" applyFont="1" applyBorder="1" applyAlignment="1" applyProtection="1">
      <alignment horizontal="center" vertical="center" wrapText="1"/>
      <protection locked="0"/>
    </xf>
    <xf numFmtId="1" fontId="94" fillId="10" borderId="15" xfId="9" applyFont="1" applyBorder="1" applyAlignment="1">
      <alignment horizontal="center" vertical="center" wrapText="1"/>
      <protection locked="0"/>
    </xf>
    <xf numFmtId="1" fontId="64" fillId="35" borderId="753" xfId="0" applyNumberFormat="1" applyFont="1" applyFill="1" applyBorder="1" applyAlignment="1" applyProtection="1">
      <alignment horizontal="left"/>
    </xf>
    <xf numFmtId="49" fontId="160" fillId="8" borderId="26" xfId="6" applyNumberFormat="1" applyFont="1" applyBorder="1" applyAlignment="1" applyProtection="1">
      <alignment horizontal="center" vertical="center" wrapText="1"/>
    </xf>
    <xf numFmtId="0" fontId="0" fillId="0" borderId="0" xfId="0"/>
    <xf numFmtId="2" fontId="0" fillId="0" borderId="0" xfId="0" applyNumberFormat="1"/>
    <xf numFmtId="0" fontId="0" fillId="0" borderId="778" xfId="0" applyBorder="1" applyAlignment="1" applyProtection="1">
      <alignment vertical="top" wrapText="1"/>
      <protection locked="0"/>
    </xf>
    <xf numFmtId="0" fontId="120" fillId="0" borderId="174" xfId="0" applyFont="1" applyBorder="1" applyAlignment="1" applyProtection="1">
      <alignment horizontal="right" wrapText="1"/>
    </xf>
    <xf numFmtId="0" fontId="117" fillId="0" borderId="428" xfId="0" applyFont="1" applyBorder="1" applyAlignment="1" applyProtection="1">
      <alignment horizontal="right"/>
    </xf>
    <xf numFmtId="0" fontId="120" fillId="0" borderId="778" xfId="0" applyFont="1" applyBorder="1" applyAlignment="1" applyProtection="1">
      <alignment horizontal="center" wrapText="1"/>
    </xf>
    <xf numFmtId="49" fontId="160" fillId="8" borderId="692" xfId="6" applyNumberFormat="1" applyFont="1" applyBorder="1" applyAlignment="1" applyProtection="1">
      <alignment horizontal="center" vertical="center" wrapText="1"/>
    </xf>
    <xf numFmtId="0" fontId="148" fillId="8" borderId="700" xfId="6" applyFont="1" applyBorder="1" applyAlignment="1" applyProtection="1">
      <alignment vertical="center" wrapText="1"/>
    </xf>
    <xf numFmtId="0" fontId="148" fillId="8" borderId="740" xfId="6" applyFont="1" applyBorder="1" applyAlignment="1" applyProtection="1">
      <alignment vertical="center" wrapText="1"/>
    </xf>
    <xf numFmtId="0" fontId="148" fillId="8" borderId="692" xfId="6" applyFont="1" applyBorder="1" applyAlignment="1" applyProtection="1">
      <alignment vertical="center" wrapText="1"/>
    </xf>
    <xf numFmtId="0" fontId="148" fillId="8" borderId="381" xfId="6" applyFont="1" applyBorder="1" applyAlignment="1" applyProtection="1">
      <alignment vertical="center" wrapText="1"/>
    </xf>
    <xf numFmtId="1" fontId="21" fillId="0" borderId="785" xfId="0" applyNumberFormat="1" applyFont="1" applyBorder="1" applyAlignment="1" applyProtection="1">
      <alignment horizontal="center" vertical="center" wrapText="1"/>
    </xf>
    <xf numFmtId="0" fontId="23" fillId="40" borderId="26" xfId="23" applyBorder="1">
      <alignment horizontal="left" vertical="top" wrapText="1"/>
      <protection locked="0"/>
    </xf>
    <xf numFmtId="0" fontId="23" fillId="40" borderId="58" xfId="23" applyBorder="1">
      <alignment horizontal="left" vertical="top" wrapText="1"/>
      <protection locked="0"/>
    </xf>
    <xf numFmtId="0" fontId="23" fillId="40" borderId="455" xfId="23" applyBorder="1">
      <alignment horizontal="left" vertical="top" wrapText="1"/>
      <protection locked="0"/>
    </xf>
    <xf numFmtId="0" fontId="23" fillId="40" borderId="90" xfId="23" applyBorder="1">
      <alignment horizontal="left" vertical="top" wrapText="1"/>
      <protection locked="0"/>
    </xf>
    <xf numFmtId="0" fontId="32" fillId="6" borderId="1" xfId="0" applyFont="1" applyFill="1" applyBorder="1" applyAlignment="1">
      <alignment horizontal="center" vertical="center"/>
    </xf>
    <xf numFmtId="0" fontId="14" fillId="6" borderId="1" xfId="4" applyNumberFormat="1" applyFont="1" applyFill="1" applyBorder="1" applyAlignment="1">
      <alignment horizontal="center" vertical="center" wrapText="1"/>
    </xf>
    <xf numFmtId="0" fontId="32" fillId="7" borderId="3" xfId="0" applyFont="1" applyFill="1" applyBorder="1" applyAlignment="1">
      <alignment horizontal="center" vertical="center"/>
    </xf>
    <xf numFmtId="0" fontId="148" fillId="8" borderId="137" xfId="6" applyFont="1" applyBorder="1" applyProtection="1">
      <alignment horizontal="center" vertical="center" wrapText="1"/>
    </xf>
    <xf numFmtId="0" fontId="148" fillId="8" borderId="136" xfId="6" applyFont="1" applyBorder="1" applyAlignment="1" applyProtection="1">
      <alignment horizontal="center" vertical="center"/>
    </xf>
    <xf numFmtId="0" fontId="79" fillId="51" borderId="137" xfId="6" applyFont="1" applyFill="1" applyBorder="1">
      <alignment horizontal="center" vertical="center" wrapText="1"/>
    </xf>
    <xf numFmtId="0" fontId="79" fillId="51" borderId="136" xfId="6" applyFont="1" applyFill="1" applyBorder="1" applyAlignment="1">
      <alignment horizontal="center" vertical="center"/>
    </xf>
    <xf numFmtId="0" fontId="148" fillId="8" borderId="137" xfId="6" applyFont="1" applyBorder="1" applyAlignment="1">
      <alignment horizontal="center" vertical="center" wrapText="1"/>
    </xf>
    <xf numFmtId="0" fontId="148" fillId="8" borderId="136" xfId="6" applyFont="1" applyBorder="1" applyAlignment="1">
      <alignment horizontal="center" vertical="center"/>
    </xf>
    <xf numFmtId="0" fontId="79" fillId="8" borderId="137" xfId="6" applyFont="1" applyBorder="1">
      <alignment horizontal="center" vertical="center" wrapText="1"/>
    </xf>
    <xf numFmtId="0" fontId="79" fillId="8" borderId="136" xfId="6" applyFont="1" applyBorder="1" applyAlignment="1">
      <alignment horizontal="center" vertical="center"/>
    </xf>
    <xf numFmtId="1" fontId="164" fillId="3" borderId="785" xfId="0" applyNumberFormat="1" applyFont="1" applyFill="1" applyBorder="1" applyAlignment="1" applyProtection="1">
      <alignment horizontal="center" vertical="center" wrapText="1"/>
    </xf>
    <xf numFmtId="0" fontId="13" fillId="3" borderId="8" xfId="0" applyFont="1" applyFill="1" applyBorder="1" applyAlignment="1">
      <alignment horizontal="center" vertical="center" wrapText="1"/>
    </xf>
    <xf numFmtId="0" fontId="148" fillId="8" borderId="219" xfId="6" applyFont="1" applyBorder="1" applyAlignment="1" applyProtection="1">
      <alignment horizontal="center" vertical="center" wrapText="1"/>
    </xf>
    <xf numFmtId="0" fontId="148" fillId="8" borderId="220" xfId="6" applyFont="1" applyBorder="1" applyAlignment="1" applyProtection="1">
      <alignment horizontal="center" vertical="center"/>
    </xf>
    <xf numFmtId="0" fontId="66" fillId="23" borderId="223" xfId="0" applyFont="1" applyFill="1" applyBorder="1" applyAlignment="1" applyProtection="1">
      <alignment vertical="top" wrapText="1"/>
    </xf>
    <xf numFmtId="1" fontId="21" fillId="76" borderId="224" xfId="0" applyNumberFormat="1" applyFont="1" applyFill="1" applyBorder="1" applyAlignment="1" applyProtection="1">
      <alignment horizontal="center" vertical="center" wrapText="1"/>
    </xf>
    <xf numFmtId="0" fontId="0" fillId="10" borderId="887" xfId="0" applyFont="1" applyFill="1" applyBorder="1" applyProtection="1">
      <protection locked="0"/>
    </xf>
    <xf numFmtId="0" fontId="0" fillId="10" borderId="887" xfId="0" applyFill="1" applyBorder="1" applyProtection="1">
      <protection locked="0"/>
    </xf>
    <xf numFmtId="0" fontId="0" fillId="10" borderId="887" xfId="0" applyFont="1" applyFill="1" applyBorder="1" applyAlignment="1" applyProtection="1">
      <alignment horizontal="left" vertical="top"/>
      <protection locked="0"/>
    </xf>
    <xf numFmtId="0" fontId="0" fillId="10" borderId="887" xfId="0" applyFont="1" applyFill="1" applyBorder="1" applyAlignment="1" applyProtection="1">
      <protection locked="0"/>
    </xf>
    <xf numFmtId="1" fontId="0" fillId="10" borderId="887" xfId="0" applyNumberFormat="1" applyFont="1" applyFill="1" applyBorder="1" applyProtection="1">
      <protection locked="0"/>
    </xf>
    <xf numFmtId="0" fontId="3" fillId="10" borderId="887" xfId="0" applyFont="1" applyFill="1" applyBorder="1" applyAlignment="1" applyProtection="1">
      <alignment vertical="center"/>
      <protection locked="0"/>
    </xf>
    <xf numFmtId="0" fontId="21" fillId="10" borderId="887" xfId="0" applyFont="1" applyFill="1" applyBorder="1" applyAlignment="1" applyProtection="1">
      <alignment vertical="top" wrapText="1"/>
      <protection locked="0"/>
    </xf>
    <xf numFmtId="0" fontId="13" fillId="10" borderId="887" xfId="0" applyFont="1" applyFill="1" applyBorder="1" applyAlignment="1" applyProtection="1">
      <alignment horizontal="left" vertical="top" wrapText="1"/>
      <protection locked="0"/>
    </xf>
    <xf numFmtId="1" fontId="21" fillId="0" borderId="738" xfId="0" applyNumberFormat="1" applyFont="1" applyFill="1" applyBorder="1" applyAlignment="1" applyProtection="1">
      <alignment horizontal="center" vertical="center" wrapText="1"/>
    </xf>
    <xf numFmtId="1" fontId="22" fillId="0" borderId="738" xfId="0" applyNumberFormat="1" applyFont="1" applyFill="1" applyBorder="1" applyAlignment="1" applyProtection="1">
      <alignment horizontal="center" vertical="center"/>
      <protection locked="0"/>
    </xf>
    <xf numFmtId="1" fontId="0" fillId="32" borderId="734" xfId="0" applyNumberFormat="1" applyFont="1" applyFill="1" applyBorder="1" applyAlignment="1" applyProtection="1">
      <alignment horizontal="center"/>
    </xf>
    <xf numFmtId="0" fontId="0" fillId="32" borderId="730" xfId="0" applyFont="1" applyFill="1" applyBorder="1" applyAlignment="1" applyProtection="1"/>
    <xf numFmtId="0" fontId="22" fillId="77" borderId="245" xfId="0" applyFont="1" applyFill="1" applyBorder="1" applyAlignment="1" applyProtection="1">
      <alignment vertical="center" wrapText="1"/>
    </xf>
    <xf numFmtId="0" fontId="140" fillId="0" borderId="0" xfId="0" applyFont="1" applyBorder="1" applyAlignment="1" applyProtection="1">
      <alignment horizontal="center" vertical="center" wrapText="1"/>
    </xf>
    <xf numFmtId="1" fontId="21" fillId="0" borderId="252" xfId="0" applyNumberFormat="1" applyFont="1" applyBorder="1" applyAlignment="1" applyProtection="1">
      <alignment horizontal="left" vertical="center" wrapText="1"/>
    </xf>
    <xf numFmtId="170" fontId="26" fillId="45" borderId="194" xfId="1" applyNumberFormat="1" applyFont="1" applyFill="1" applyBorder="1" applyAlignment="1" applyProtection="1">
      <alignment horizontal="center" vertical="center" wrapText="1"/>
      <protection locked="0"/>
    </xf>
    <xf numFmtId="0" fontId="0" fillId="0" borderId="0" xfId="0" applyAlignment="1">
      <alignment vertical="center"/>
    </xf>
    <xf numFmtId="0" fontId="23" fillId="0" borderId="0" xfId="0" applyFont="1" applyFill="1"/>
    <xf numFmtId="1" fontId="21" fillId="0" borderId="738" xfId="0" applyNumberFormat="1" applyFont="1" applyFill="1" applyBorder="1" applyAlignment="1" applyProtection="1">
      <alignment horizontal="left" vertical="center" wrapText="1"/>
    </xf>
    <xf numFmtId="2" fontId="21" fillId="0" borderId="738" xfId="0" applyNumberFormat="1" applyFont="1" applyFill="1" applyBorder="1" applyAlignment="1" applyProtection="1">
      <alignment horizontal="left" vertical="center" wrapText="1"/>
      <protection locked="0"/>
    </xf>
    <xf numFmtId="1" fontId="55" fillId="0" borderId="754" xfId="0" applyNumberFormat="1" applyFont="1" applyFill="1" applyBorder="1" applyAlignment="1" applyProtection="1">
      <alignment horizontal="left" vertical="center" wrapText="1"/>
    </xf>
    <xf numFmtId="2" fontId="21" fillId="0" borderId="755" xfId="0" applyNumberFormat="1" applyFont="1" applyFill="1" applyBorder="1" applyAlignment="1" applyProtection="1">
      <alignment horizontal="left" vertical="center" wrapText="1"/>
      <protection locked="0"/>
    </xf>
    <xf numFmtId="1" fontId="21" fillId="0" borderId="754" xfId="0" applyNumberFormat="1" applyFont="1" applyFill="1" applyBorder="1" applyAlignment="1" applyProtection="1">
      <alignment horizontal="left" vertical="center" wrapText="1"/>
    </xf>
    <xf numFmtId="166" fontId="21" fillId="0" borderId="770" xfId="0" applyNumberFormat="1" applyFont="1" applyFill="1" applyBorder="1" applyAlignment="1" applyProtection="1">
      <alignment horizontal="left" vertical="center" wrapText="1"/>
      <protection locked="0"/>
    </xf>
    <xf numFmtId="1" fontId="22" fillId="23" borderId="233" xfId="0" applyNumberFormat="1" applyFont="1" applyFill="1" applyBorder="1" applyAlignment="1" applyProtection="1">
      <alignment vertical="top" wrapText="1"/>
    </xf>
    <xf numFmtId="1" fontId="21" fillId="0" borderId="755" xfId="0" applyNumberFormat="1" applyFont="1" applyFill="1" applyBorder="1" applyAlignment="1" applyProtection="1">
      <alignment horizontal="left" vertical="center" wrapText="1"/>
      <protection locked="0"/>
    </xf>
    <xf numFmtId="0" fontId="57" fillId="22" borderId="237" xfId="0" applyFont="1" applyFill="1" applyBorder="1" applyAlignment="1" applyProtection="1"/>
    <xf numFmtId="0" fontId="0" fillId="0" borderId="0" xfId="0" applyFont="1" applyProtection="1">
      <protection hidden="1"/>
    </xf>
    <xf numFmtId="0" fontId="0" fillId="0" borderId="0" xfId="0" applyProtection="1">
      <protection hidden="1"/>
    </xf>
    <xf numFmtId="0" fontId="39" fillId="10" borderId="887" xfId="0" applyFont="1" applyFill="1" applyBorder="1" applyAlignment="1" applyProtection="1">
      <protection locked="0"/>
    </xf>
    <xf numFmtId="0" fontId="18" fillId="0" borderId="829" xfId="5" applyFont="1" applyBorder="1" applyAlignment="1" applyProtection="1">
      <alignment vertical="center" wrapText="1"/>
    </xf>
    <xf numFmtId="0" fontId="32" fillId="0" borderId="829" xfId="5" applyFont="1" applyBorder="1" applyAlignment="1" applyProtection="1">
      <alignment horizontal="right" vertical="center" wrapText="1"/>
    </xf>
    <xf numFmtId="0" fontId="0" fillId="0" borderId="0" xfId="0"/>
    <xf numFmtId="0" fontId="0" fillId="0" borderId="0" xfId="0"/>
    <xf numFmtId="0" fontId="0" fillId="0" borderId="0" xfId="0"/>
    <xf numFmtId="0" fontId="23" fillId="0" borderId="734" xfId="0" applyFont="1" applyBorder="1" applyAlignment="1">
      <alignment horizontal="center" vertical="center" wrapText="1"/>
    </xf>
    <xf numFmtId="0" fontId="0" fillId="0" borderId="0" xfId="0"/>
    <xf numFmtId="1" fontId="0" fillId="0" borderId="0" xfId="0" applyNumberFormat="1" applyFont="1" applyAlignment="1">
      <alignment horizontal="center" vertical="center"/>
    </xf>
    <xf numFmtId="0" fontId="0" fillId="0" borderId="734" xfId="0" applyFont="1" applyBorder="1" applyAlignment="1">
      <alignment horizontal="center"/>
    </xf>
    <xf numFmtId="0" fontId="166" fillId="0" borderId="0" xfId="5" applyFont="1" applyAlignment="1" applyProtection="1">
      <alignment horizontal="center"/>
      <protection locked="0"/>
    </xf>
    <xf numFmtId="0" fontId="0" fillId="0" borderId="0" xfId="0" applyFont="1" applyFill="1" applyBorder="1"/>
    <xf numFmtId="1" fontId="0" fillId="0" borderId="0" xfId="0" applyNumberFormat="1" applyFont="1" applyAlignment="1">
      <alignment horizontal="left" vertical="center"/>
    </xf>
    <xf numFmtId="0" fontId="0" fillId="0" borderId="237" xfId="0" applyFont="1" applyBorder="1" applyAlignment="1">
      <alignment horizontal="right"/>
    </xf>
    <xf numFmtId="0" fontId="3" fillId="0" borderId="734" xfId="0" applyFont="1" applyBorder="1"/>
    <xf numFmtId="0" fontId="0" fillId="0" borderId="734" xfId="0" applyBorder="1" applyAlignment="1">
      <alignment horizontal="center" vertical="center"/>
    </xf>
    <xf numFmtId="0" fontId="0" fillId="0" borderId="734" xfId="0" applyBorder="1" applyAlignment="1" applyProtection="1">
      <alignment horizontal="center" vertical="center"/>
    </xf>
    <xf numFmtId="0" fontId="3" fillId="0" borderId="734" xfId="0" applyFont="1" applyBorder="1" applyAlignment="1">
      <alignment horizontal="center"/>
    </xf>
    <xf numFmtId="0" fontId="0" fillId="0" borderId="734" xfId="0" applyBorder="1" applyAlignment="1"/>
    <xf numFmtId="0" fontId="0" fillId="0" borderId="0" xfId="0" applyFont="1" applyAlignment="1">
      <alignment vertical="top"/>
    </xf>
    <xf numFmtId="0" fontId="0" fillId="0" borderId="734" xfId="0" applyBorder="1" applyProtection="1">
      <protection locked="0"/>
    </xf>
    <xf numFmtId="0" fontId="0" fillId="0" borderId="734" xfId="0" applyFont="1" applyBorder="1" applyAlignment="1" applyProtection="1">
      <alignment horizontal="center" vertical="center"/>
    </xf>
    <xf numFmtId="0" fontId="0" fillId="0" borderId="0" xfId="0"/>
    <xf numFmtId="0" fontId="167" fillId="85" borderId="0" xfId="0" applyFont="1" applyFill="1"/>
    <xf numFmtId="0" fontId="168" fillId="0" borderId="0" xfId="0" applyFont="1"/>
    <xf numFmtId="0" fontId="168" fillId="0" borderId="0" xfId="0" applyFont="1" applyAlignment="1"/>
    <xf numFmtId="0" fontId="3" fillId="3" borderId="785" xfId="0" applyFont="1" applyFill="1" applyBorder="1" applyAlignment="1" applyProtection="1">
      <alignment vertical="top" wrapText="1"/>
    </xf>
    <xf numFmtId="0" fontId="23" fillId="0" borderId="0" xfId="0" applyFont="1" applyBorder="1" applyAlignment="1" applyProtection="1">
      <alignment horizontal="left" vertical="center" wrapText="1"/>
    </xf>
    <xf numFmtId="0" fontId="0" fillId="0" borderId="0" xfId="0"/>
    <xf numFmtId="0" fontId="0" fillId="0" borderId="0" xfId="0" applyProtection="1"/>
    <xf numFmtId="0" fontId="104" fillId="0" borderId="0" xfId="0" applyFont="1" applyAlignment="1">
      <alignment horizontal="left" vertical="top" wrapText="1"/>
    </xf>
    <xf numFmtId="0" fontId="23" fillId="0" borderId="0" xfId="0" applyFont="1" applyBorder="1" applyAlignment="1" applyProtection="1">
      <alignment horizontal="left" vertical="top" indent="1"/>
    </xf>
    <xf numFmtId="0" fontId="163" fillId="0" borderId="0" xfId="0" applyFont="1"/>
    <xf numFmtId="0" fontId="163" fillId="0" borderId="734" xfId="0" applyFont="1" applyBorder="1" applyAlignment="1">
      <alignment horizontal="center" vertical="center"/>
    </xf>
    <xf numFmtId="0" fontId="169" fillId="0" borderId="0" xfId="0" applyFont="1" applyAlignment="1">
      <alignment vertical="top" wrapText="1"/>
    </xf>
    <xf numFmtId="0" fontId="23" fillId="0" borderId="830" xfId="0" applyFont="1" applyBorder="1" applyAlignment="1" applyProtection="1">
      <alignment vertical="center"/>
    </xf>
    <xf numFmtId="0" fontId="23" fillId="0" borderId="0" xfId="0" applyFont="1" applyBorder="1" applyAlignment="1" applyProtection="1">
      <alignment vertical="center" wrapText="1"/>
    </xf>
    <xf numFmtId="0" fontId="21" fillId="0" borderId="0" xfId="0" applyFont="1" applyBorder="1" applyAlignment="1" applyProtection="1">
      <alignment vertical="center"/>
    </xf>
    <xf numFmtId="0" fontId="13" fillId="0" borderId="830" xfId="0" applyFont="1" applyBorder="1" applyAlignment="1" applyProtection="1">
      <alignment vertical="center"/>
    </xf>
    <xf numFmtId="0" fontId="22" fillId="0" borderId="0" xfId="0" applyFont="1" applyBorder="1" applyAlignment="1" applyProtection="1">
      <alignment vertical="center"/>
    </xf>
    <xf numFmtId="0" fontId="22" fillId="0" borderId="0" xfId="0" applyFont="1" applyBorder="1" applyAlignment="1" applyProtection="1"/>
    <xf numFmtId="1" fontId="3" fillId="0" borderId="0" xfId="0" applyNumberFormat="1" applyFont="1" applyBorder="1" applyAlignment="1" applyProtection="1">
      <alignment vertical="center"/>
    </xf>
    <xf numFmtId="0" fontId="0" fillId="85" borderId="0" xfId="0" applyFill="1"/>
    <xf numFmtId="0" fontId="149" fillId="0" borderId="880" xfId="13" applyFont="1" applyFill="1" applyBorder="1" applyAlignment="1">
      <alignment vertical="center" wrapText="1"/>
    </xf>
    <xf numFmtId="0" fontId="149" fillId="0" borderId="881" xfId="13" applyFont="1" applyFill="1" applyBorder="1" applyAlignment="1">
      <alignment vertical="center" wrapText="1"/>
    </xf>
    <xf numFmtId="0" fontId="0" fillId="0" borderId="0" xfId="0"/>
    <xf numFmtId="0" fontId="0" fillId="0" borderId="0" xfId="0" quotePrefix="1"/>
    <xf numFmtId="0" fontId="23" fillId="0" borderId="0" xfId="0" applyFont="1" applyBorder="1" applyAlignment="1">
      <alignment horizontal="left" vertical="top" wrapText="1"/>
    </xf>
    <xf numFmtId="0" fontId="0" fillId="0" borderId="0" xfId="0"/>
    <xf numFmtId="1" fontId="0" fillId="0" borderId="0" xfId="0" applyNumberFormat="1" applyFont="1" applyAlignment="1">
      <alignment horizontal="center" vertical="center"/>
    </xf>
    <xf numFmtId="0" fontId="0" fillId="0" borderId="0" xfId="0" applyFont="1" applyAlignment="1" applyProtection="1">
      <alignment horizontal="left" wrapText="1"/>
    </xf>
    <xf numFmtId="0" fontId="13" fillId="0" borderId="0" xfId="0" applyFont="1"/>
    <xf numFmtId="0" fontId="3" fillId="0" borderId="734" xfId="0" applyFont="1" applyBorder="1" applyAlignment="1">
      <alignment horizontal="center"/>
    </xf>
    <xf numFmtId="0" fontId="21" fillId="0" borderId="0" xfId="0" applyFont="1" applyBorder="1" applyAlignment="1" applyProtection="1">
      <alignment horizontal="left" vertical="center"/>
    </xf>
    <xf numFmtId="0" fontId="0" fillId="0" borderId="0" xfId="0" applyFont="1" applyAlignment="1" applyProtection="1">
      <alignment horizontal="center" vertical="center"/>
    </xf>
    <xf numFmtId="0" fontId="0" fillId="0" borderId="734" xfId="0" applyFont="1" applyBorder="1" applyAlignment="1" applyProtection="1">
      <alignment horizontal="left" vertical="center"/>
      <protection locked="0"/>
    </xf>
    <xf numFmtId="0" fontId="23" fillId="0" borderId="734" xfId="0" applyFont="1" applyBorder="1" applyAlignment="1" applyProtection="1">
      <alignment horizontal="left" vertical="center" wrapText="1"/>
      <protection locked="0"/>
    </xf>
    <xf numFmtId="0" fontId="0" fillId="0" borderId="734" xfId="0" applyNumberFormat="1" applyFont="1" applyBorder="1" applyAlignment="1" applyProtection="1">
      <alignment horizontal="center" vertical="center"/>
    </xf>
    <xf numFmtId="0" fontId="3" fillId="0" borderId="734" xfId="0" applyFont="1" applyBorder="1" applyAlignment="1">
      <alignment horizontal="center" vertical="center"/>
    </xf>
    <xf numFmtId="1" fontId="3" fillId="0" borderId="734" xfId="0" applyNumberFormat="1" applyFont="1" applyBorder="1" applyAlignment="1">
      <alignment horizontal="center" vertical="center"/>
    </xf>
    <xf numFmtId="0" fontId="13" fillId="0" borderId="734" xfId="0" applyFont="1" applyBorder="1" applyAlignment="1">
      <alignment horizontal="center" vertical="center" wrapText="1"/>
    </xf>
    <xf numFmtId="0" fontId="3" fillId="0" borderId="734" xfId="0" applyFont="1" applyBorder="1" applyAlignment="1">
      <alignment horizontal="center" vertical="center" wrapText="1"/>
    </xf>
    <xf numFmtId="0" fontId="13" fillId="0" borderId="734" xfId="0" applyFont="1" applyBorder="1" applyAlignment="1">
      <alignment horizontal="center"/>
    </xf>
    <xf numFmtId="1" fontId="13" fillId="0" borderId="734" xfId="0" applyNumberFormat="1" applyFont="1" applyBorder="1" applyAlignment="1">
      <alignment horizontal="center" vertical="center"/>
    </xf>
    <xf numFmtId="0" fontId="3" fillId="0" borderId="0" xfId="0" applyFont="1" applyAlignment="1">
      <alignment horizontal="right"/>
    </xf>
    <xf numFmtId="1" fontId="3" fillId="0" borderId="0" xfId="0" applyNumberFormat="1" applyFont="1" applyAlignment="1">
      <alignment horizontal="left" vertical="center"/>
    </xf>
    <xf numFmtId="1" fontId="165" fillId="0" borderId="0" xfId="0" applyNumberFormat="1" applyFont="1" applyBorder="1" applyAlignment="1">
      <alignment horizontal="left" vertical="center"/>
    </xf>
    <xf numFmtId="0" fontId="0" fillId="0" borderId="738" xfId="0" applyFont="1" applyFill="1" applyBorder="1"/>
    <xf numFmtId="0" fontId="0" fillId="0" borderId="739" xfId="0" applyFont="1" applyBorder="1" applyAlignment="1">
      <alignment horizontal="center" vertical="center"/>
    </xf>
    <xf numFmtId="0" fontId="0" fillId="0" borderId="224" xfId="0" applyFont="1" applyFill="1" applyBorder="1"/>
    <xf numFmtId="0" fontId="0" fillId="0" borderId="381" xfId="0" applyFont="1" applyBorder="1" applyAlignment="1">
      <alignment horizontal="center" vertical="center"/>
    </xf>
    <xf numFmtId="0" fontId="0" fillId="0" borderId="0" xfId="0" applyFont="1" applyBorder="1" applyAlignment="1">
      <alignment horizontal="center" vertical="center"/>
    </xf>
    <xf numFmtId="0" fontId="165" fillId="0" borderId="0" xfId="0" applyFont="1" applyBorder="1" applyAlignment="1">
      <alignment horizontal="left" vertical="top" wrapText="1"/>
    </xf>
    <xf numFmtId="1" fontId="0" fillId="0" borderId="0" xfId="0" applyNumberFormat="1" applyFont="1" applyFill="1" applyAlignment="1">
      <alignment horizontal="center" vertical="center"/>
    </xf>
    <xf numFmtId="0" fontId="175" fillId="0" borderId="0" xfId="0" applyFont="1" applyFill="1" applyBorder="1" applyAlignment="1">
      <alignment vertical="top" wrapText="1"/>
    </xf>
    <xf numFmtId="0" fontId="0" fillId="0" borderId="0" xfId="0" applyFont="1" applyFill="1" applyBorder="1" applyAlignment="1">
      <alignment horizontal="center" vertical="center"/>
    </xf>
    <xf numFmtId="0" fontId="23" fillId="0" borderId="0" xfId="0" applyFont="1" applyAlignment="1">
      <alignment vertical="center" wrapText="1"/>
    </xf>
    <xf numFmtId="0" fontId="28" fillId="0" borderId="0" xfId="0" applyFont="1" applyBorder="1" applyAlignment="1" applyProtection="1">
      <alignment horizontal="right" vertical="center"/>
    </xf>
    <xf numFmtId="0" fontId="0" fillId="0" borderId="0" xfId="0" applyFont="1" applyAlignment="1" applyProtection="1">
      <alignment horizontal="left" wrapText="1"/>
      <protection locked="0"/>
    </xf>
    <xf numFmtId="0" fontId="17" fillId="0" borderId="237" xfId="5" applyBorder="1" applyAlignment="1" applyProtection="1">
      <alignment horizontal="right"/>
      <protection locked="0"/>
    </xf>
    <xf numFmtId="0" fontId="117" fillId="0" borderId="428" xfId="0" applyFont="1" applyBorder="1" applyAlignment="1" applyProtection="1">
      <alignment horizontal="right" wrapText="1"/>
    </xf>
    <xf numFmtId="0" fontId="23" fillId="0" borderId="0" xfId="0" applyFont="1" applyBorder="1" applyAlignment="1" applyProtection="1">
      <alignment horizontal="left" vertical="top" wrapText="1"/>
    </xf>
    <xf numFmtId="0" fontId="0" fillId="0" borderId="0" xfId="0" applyBorder="1" applyProtection="1"/>
    <xf numFmtId="0" fontId="23" fillId="0" borderId="0" xfId="0" applyFont="1" applyBorder="1" applyAlignment="1" applyProtection="1">
      <alignment horizontal="left" vertical="center" wrapText="1"/>
    </xf>
    <xf numFmtId="0" fontId="0" fillId="0" borderId="0" xfId="0" applyBorder="1" applyAlignment="1" applyProtection="1"/>
    <xf numFmtId="0" fontId="21" fillId="0" borderId="0" xfId="0" applyFont="1" applyBorder="1" applyAlignment="1" applyProtection="1">
      <alignment horizontal="left" vertical="center"/>
    </xf>
    <xf numFmtId="0" fontId="0" fillId="0" borderId="0" xfId="0" applyBorder="1" applyProtection="1"/>
    <xf numFmtId="0" fontId="23" fillId="0" borderId="0" xfId="0" applyFont="1" applyBorder="1" applyAlignment="1" applyProtection="1">
      <alignment horizontal="left" vertical="center" wrapText="1"/>
    </xf>
    <xf numFmtId="0" fontId="0" fillId="0" borderId="0" xfId="0" applyBorder="1" applyAlignment="1" applyProtection="1"/>
    <xf numFmtId="0" fontId="0" fillId="0" borderId="515" xfId="0" applyBorder="1" applyProtection="1"/>
    <xf numFmtId="0" fontId="0" fillId="0" borderId="0" xfId="0" applyBorder="1" applyAlignment="1" applyProtection="1">
      <alignment horizontal="left"/>
    </xf>
    <xf numFmtId="0" fontId="114" fillId="0" borderId="0" xfId="0" applyFont="1" applyBorder="1" applyAlignment="1" applyProtection="1"/>
    <xf numFmtId="0" fontId="0" fillId="0" borderId="719" xfId="0" applyBorder="1" applyProtection="1"/>
    <xf numFmtId="0" fontId="116" fillId="0" borderId="237" xfId="0" applyFont="1" applyFill="1" applyBorder="1" applyAlignment="1" applyProtection="1">
      <alignment horizontal="center" wrapText="1"/>
    </xf>
    <xf numFmtId="0" fontId="0" fillId="0" borderId="0" xfId="0" applyFill="1" applyBorder="1" applyAlignment="1" applyProtection="1">
      <alignment horizontal="center" vertical="center"/>
    </xf>
    <xf numFmtId="0" fontId="118" fillId="0" borderId="515" xfId="0" applyFont="1" applyFill="1" applyBorder="1" applyAlignment="1" applyProtection="1">
      <alignment horizontal="center" vertical="center" wrapText="1"/>
    </xf>
    <xf numFmtId="0" fontId="0" fillId="0" borderId="0" xfId="0" applyBorder="1" applyAlignment="1" applyProtection="1">
      <alignment horizontal="right"/>
    </xf>
    <xf numFmtId="0" fontId="119" fillId="0" borderId="515" xfId="0" applyFont="1" applyBorder="1" applyAlignment="1" applyProtection="1">
      <alignment horizontal="right"/>
    </xf>
    <xf numFmtId="0" fontId="5" fillId="0" borderId="0" xfId="0" applyFont="1" applyBorder="1" applyAlignment="1" applyProtection="1">
      <alignment horizontal="left" vertical="center" indent="1"/>
      <protection locked="0"/>
    </xf>
    <xf numFmtId="0" fontId="3" fillId="0" borderId="0" xfId="0" applyFont="1" applyBorder="1" applyAlignment="1">
      <alignment horizontal="right" vertical="center" wrapText="1"/>
    </xf>
    <xf numFmtId="0" fontId="18" fillId="0" borderId="0" xfId="5" applyFont="1" applyBorder="1" applyAlignment="1">
      <alignment horizontal="left" vertical="center" wrapText="1"/>
    </xf>
    <xf numFmtId="0" fontId="3" fillId="0" borderId="0" xfId="0" applyFont="1" applyBorder="1" applyAlignment="1">
      <alignment horizontal="left" vertical="center" wrapText="1"/>
    </xf>
    <xf numFmtId="0" fontId="177" fillId="0" borderId="0" xfId="0" applyFont="1" applyBorder="1" applyAlignment="1">
      <alignment horizontal="right" vertical="center" wrapText="1"/>
    </xf>
    <xf numFmtId="0" fontId="178" fillId="0" borderId="0" xfId="0" applyFont="1" applyBorder="1" applyAlignment="1">
      <alignment horizontal="left" vertical="center" indent="1"/>
    </xf>
    <xf numFmtId="0" fontId="178" fillId="0" borderId="0" xfId="0" applyFont="1" applyBorder="1"/>
    <xf numFmtId="0" fontId="180" fillId="10" borderId="15" xfId="0" applyFont="1" applyFill="1" applyBorder="1" applyProtection="1">
      <protection locked="0"/>
    </xf>
    <xf numFmtId="1" fontId="179" fillId="10" borderId="15" xfId="9" applyFont="1" applyBorder="1" applyAlignment="1">
      <alignment horizontal="center" vertical="top"/>
      <protection locked="0"/>
    </xf>
    <xf numFmtId="1" fontId="179" fillId="10" borderId="15" xfId="9" applyFont="1" applyBorder="1" applyAlignment="1">
      <alignment horizontal="left" vertical="center" indent="1"/>
      <protection locked="0"/>
    </xf>
    <xf numFmtId="0" fontId="0" fillId="0" borderId="0" xfId="0"/>
    <xf numFmtId="0" fontId="0" fillId="0" borderId="0" xfId="0"/>
    <xf numFmtId="0" fontId="0" fillId="0" borderId="0" xfId="0"/>
    <xf numFmtId="0" fontId="0" fillId="0" borderId="879" xfId="0" applyFont="1" applyBorder="1"/>
    <xf numFmtId="0" fontId="0" fillId="0" borderId="0" xfId="0"/>
    <xf numFmtId="0" fontId="3" fillId="3" borderId="734" xfId="0" applyFont="1" applyFill="1" applyBorder="1"/>
    <xf numFmtId="0" fontId="0" fillId="3" borderId="894" xfId="0" applyFont="1" applyFill="1" applyBorder="1"/>
    <xf numFmtId="0" fontId="0" fillId="0" borderId="894" xfId="0" applyBorder="1"/>
    <xf numFmtId="0" fontId="0" fillId="0" borderId="894" xfId="0" applyFont="1" applyFill="1" applyBorder="1"/>
    <xf numFmtId="14" fontId="0" fillId="3" borderId="734" xfId="0" applyNumberFormat="1" applyFont="1" applyFill="1" applyBorder="1"/>
    <xf numFmtId="15" fontId="0" fillId="3" borderId="734" xfId="0" applyNumberFormat="1" applyFill="1" applyBorder="1"/>
    <xf numFmtId="2" fontId="0" fillId="0" borderId="734" xfId="0" quotePrefix="1" applyNumberFormat="1" applyBorder="1"/>
    <xf numFmtId="2" fontId="0" fillId="0" borderId="734" xfId="0" applyNumberFormat="1" applyBorder="1"/>
    <xf numFmtId="14" fontId="0" fillId="0" borderId="734" xfId="0" applyNumberFormat="1" applyBorder="1"/>
    <xf numFmtId="15" fontId="0" fillId="0" borderId="734" xfId="0" applyNumberFormat="1" applyBorder="1"/>
    <xf numFmtId="15" fontId="0" fillId="0" borderId="734" xfId="0" applyNumberFormat="1" applyFont="1" applyBorder="1" applyAlignment="1">
      <alignment vertical="top"/>
    </xf>
    <xf numFmtId="2" fontId="0" fillId="3" borderId="734" xfId="0" applyNumberFormat="1" applyFont="1" applyFill="1" applyBorder="1"/>
    <xf numFmtId="2" fontId="0" fillId="0" borderId="734" xfId="0" applyNumberFormat="1" applyBorder="1" applyAlignment="1">
      <alignment horizontal="right"/>
    </xf>
    <xf numFmtId="2" fontId="0" fillId="0" borderId="734" xfId="0" applyNumberFormat="1" applyFont="1" applyBorder="1"/>
    <xf numFmtId="2" fontId="0" fillId="0" borderId="734" xfId="0" applyNumberFormat="1" applyFont="1" applyFill="1" applyBorder="1"/>
    <xf numFmtId="0" fontId="0" fillId="0" borderId="0" xfId="0"/>
    <xf numFmtId="0" fontId="0" fillId="0" borderId="0" xfId="0"/>
    <xf numFmtId="0" fontId="0" fillId="0" borderId="747" xfId="0" applyFont="1" applyBorder="1" applyAlignment="1" applyProtection="1">
      <alignment horizontal="center" vertical="center"/>
    </xf>
    <xf numFmtId="0" fontId="0" fillId="0" borderId="0" xfId="0" applyFont="1" applyBorder="1" applyAlignment="1" applyProtection="1">
      <alignment horizontal="left" vertical="center"/>
      <protection locked="0"/>
    </xf>
    <xf numFmtId="1" fontId="0" fillId="0" borderId="0" xfId="0" applyNumberFormat="1" applyFont="1" applyBorder="1" applyAlignment="1" applyProtection="1">
      <alignment horizontal="left" vertical="center"/>
      <protection locked="0"/>
    </xf>
    <xf numFmtId="0" fontId="23" fillId="0" borderId="0" xfId="0" applyFont="1" applyBorder="1" applyAlignment="1" applyProtection="1">
      <alignment horizontal="left" vertical="center" wrapText="1"/>
      <protection locked="0"/>
    </xf>
    <xf numFmtId="0" fontId="0" fillId="0" borderId="734" xfId="0" applyFont="1" applyBorder="1" applyAlignment="1" applyProtection="1">
      <alignment horizontal="left" vertical="top"/>
      <protection locked="0"/>
    </xf>
    <xf numFmtId="0" fontId="0" fillId="0" borderId="747" xfId="0" applyBorder="1" applyAlignment="1" applyProtection="1">
      <alignment horizontal="center" vertical="center"/>
    </xf>
    <xf numFmtId="0" fontId="0" fillId="0" borderId="0" xfId="0"/>
    <xf numFmtId="0" fontId="0" fillId="0" borderId="0" xfId="0"/>
    <xf numFmtId="0" fontId="21" fillId="0" borderId="0" xfId="0" applyFont="1" applyBorder="1" applyAlignment="1" applyProtection="1">
      <alignment vertical="top" wrapText="1"/>
    </xf>
    <xf numFmtId="0" fontId="22" fillId="0" borderId="67" xfId="0" applyFont="1" applyBorder="1" applyAlignment="1" applyProtection="1">
      <alignment horizontal="center" vertical="center" wrapText="1"/>
    </xf>
    <xf numFmtId="0" fontId="0" fillId="0" borderId="0" xfId="0"/>
    <xf numFmtId="0" fontId="23" fillId="3" borderId="545" xfId="0" applyFont="1" applyFill="1" applyBorder="1" applyAlignment="1" applyProtection="1">
      <alignment horizontal="left" vertical="top" wrapText="1"/>
    </xf>
    <xf numFmtId="0" fontId="22" fillId="0" borderId="732" xfId="0" applyFont="1" applyBorder="1" applyAlignment="1" applyProtection="1">
      <alignment horizontal="center" vertical="center" wrapText="1"/>
    </xf>
    <xf numFmtId="0" fontId="21" fillId="0" borderId="732" xfId="0" applyFont="1" applyBorder="1" applyAlignment="1" applyProtection="1">
      <alignment horizontal="center" vertical="center" wrapText="1"/>
    </xf>
    <xf numFmtId="0" fontId="22" fillId="0" borderId="738" xfId="0" applyFont="1" applyBorder="1" applyAlignment="1" applyProtection="1">
      <alignment horizontal="left" vertical="top" wrapText="1"/>
    </xf>
    <xf numFmtId="0" fontId="0" fillId="0" borderId="0" xfId="0"/>
    <xf numFmtId="1" fontId="22" fillId="10" borderId="896" xfId="9" applyFont="1" applyBorder="1" applyProtection="1">
      <alignment horizontal="center" vertical="center"/>
      <protection locked="0"/>
    </xf>
    <xf numFmtId="0" fontId="22" fillId="0" borderId="897" xfId="0" applyFont="1" applyBorder="1" applyAlignment="1" applyProtection="1">
      <alignment horizontal="center" vertical="center" wrapText="1"/>
    </xf>
    <xf numFmtId="167" fontId="23" fillId="0" borderId="828" xfId="0" applyNumberFormat="1" applyFont="1" applyBorder="1" applyAlignment="1" applyProtection="1">
      <alignment vertical="top"/>
    </xf>
    <xf numFmtId="167" fontId="23" fillId="0" borderId="828" xfId="0" applyNumberFormat="1" applyFont="1" applyBorder="1" applyAlignment="1" applyProtection="1">
      <alignment horizontal="center" vertical="top"/>
    </xf>
    <xf numFmtId="0" fontId="23" fillId="0" borderId="828" xfId="0" applyFont="1" applyBorder="1" applyAlignment="1" applyProtection="1">
      <alignment horizontal="left" vertical="top"/>
    </xf>
    <xf numFmtId="0" fontId="23" fillId="3" borderId="0" xfId="0" applyFont="1" applyFill="1" applyBorder="1" applyAlignment="1" applyProtection="1">
      <alignment horizontal="left" vertical="top" wrapText="1"/>
    </xf>
    <xf numFmtId="0" fontId="21" fillId="0" borderId="739" xfId="0" applyFont="1" applyBorder="1" applyAlignment="1" applyProtection="1">
      <alignment horizontal="center" vertical="center" wrapText="1"/>
    </xf>
    <xf numFmtId="0" fontId="22" fillId="0" borderId="898" xfId="0" applyFont="1" applyBorder="1" applyAlignment="1" applyProtection="1">
      <alignment horizontal="left" vertical="top" wrapText="1"/>
    </xf>
    <xf numFmtId="0" fontId="21" fillId="0" borderId="785" xfId="0" applyFont="1" applyBorder="1" applyAlignment="1" applyProtection="1">
      <alignment horizontal="center" vertical="center" wrapText="1"/>
      <protection locked="0"/>
    </xf>
    <xf numFmtId="0" fontId="0" fillId="3" borderId="753" xfId="0" applyFont="1" applyFill="1" applyBorder="1"/>
    <xf numFmtId="0" fontId="3" fillId="3" borderId="753" xfId="0" applyFont="1" applyFill="1" applyBorder="1"/>
    <xf numFmtId="0" fontId="0" fillId="0" borderId="738" xfId="0" applyFont="1" applyBorder="1"/>
    <xf numFmtId="0" fontId="0" fillId="0" borderId="237" xfId="0" applyFont="1" applyBorder="1"/>
    <xf numFmtId="2" fontId="0" fillId="3" borderId="753" xfId="0" applyNumberFormat="1" applyFont="1" applyFill="1" applyBorder="1" applyAlignment="1">
      <alignment horizontal="right"/>
    </xf>
    <xf numFmtId="0" fontId="0" fillId="0" borderId="0" xfId="0"/>
    <xf numFmtId="0" fontId="0" fillId="3" borderId="738" xfId="0" applyFont="1" applyFill="1" applyBorder="1"/>
    <xf numFmtId="0" fontId="0" fillId="3" borderId="174" xfId="0" applyFont="1" applyFill="1" applyBorder="1"/>
    <xf numFmtId="14" fontId="0" fillId="3" borderId="401" xfId="0" applyNumberFormat="1" applyFont="1" applyFill="1" applyBorder="1"/>
    <xf numFmtId="14" fontId="0" fillId="0" borderId="780" xfId="0" applyNumberFormat="1" applyFill="1" applyBorder="1" applyAlignment="1" applyProtection="1">
      <protection locked="0"/>
    </xf>
    <xf numFmtId="0" fontId="0" fillId="0" borderId="0" xfId="0"/>
    <xf numFmtId="0" fontId="181" fillId="10" borderId="15" xfId="9" applyNumberFormat="1" applyFont="1" applyAlignment="1">
      <alignment horizontal="left" vertical="center"/>
      <protection locked="0"/>
    </xf>
    <xf numFmtId="0" fontId="71" fillId="3" borderId="0" xfId="0" applyFont="1" applyFill="1" applyBorder="1" applyAlignment="1">
      <alignment horizontal="center" vertical="center" wrapText="1"/>
    </xf>
    <xf numFmtId="0" fontId="6" fillId="52" borderId="0" xfId="2" applyBorder="1" applyAlignment="1">
      <alignment vertical="top" wrapText="1"/>
    </xf>
    <xf numFmtId="0" fontId="6" fillId="52" borderId="2" xfId="2" applyBorder="1" applyAlignment="1">
      <alignment vertical="top" wrapText="1"/>
    </xf>
    <xf numFmtId="165" fontId="16" fillId="3" borderId="0" xfId="4" applyNumberFormat="1" applyFont="1" applyFill="1" applyBorder="1" applyAlignment="1">
      <alignment horizontal="left" wrapText="1"/>
    </xf>
    <xf numFmtId="165" fontId="16" fillId="3" borderId="2" xfId="4" applyNumberFormat="1" applyFont="1" applyFill="1" applyBorder="1" applyAlignment="1">
      <alignment horizontal="left" wrapText="1"/>
    </xf>
    <xf numFmtId="0" fontId="43" fillId="22" borderId="0" xfId="0" applyFont="1" applyFill="1" applyBorder="1" applyAlignment="1">
      <alignment horizontal="center" vertical="center"/>
    </xf>
    <xf numFmtId="0" fontId="152" fillId="0" borderId="3" xfId="0" applyFont="1" applyBorder="1" applyAlignment="1">
      <alignment horizontal="center" vertical="center"/>
    </xf>
    <xf numFmtId="0" fontId="152" fillId="0" borderId="7" xfId="0" applyFont="1" applyBorder="1" applyAlignment="1">
      <alignment horizontal="center" vertical="center"/>
    </xf>
    <xf numFmtId="0" fontId="5" fillId="0" borderId="4" xfId="4" applyFont="1" applyBorder="1" applyAlignment="1">
      <alignment horizontal="center" vertical="center"/>
    </xf>
    <xf numFmtId="0" fontId="5" fillId="0" borderId="5" xfId="4" applyFont="1" applyBorder="1" applyAlignment="1">
      <alignment horizontal="center" vertical="center"/>
    </xf>
    <xf numFmtId="0" fontId="5" fillId="0" borderId="6" xfId="4" applyFont="1" applyBorder="1" applyAlignment="1">
      <alignment horizontal="center" vertical="center"/>
    </xf>
    <xf numFmtId="0" fontId="13" fillId="6" borderId="4" xfId="0" applyFont="1" applyFill="1" applyBorder="1" applyAlignment="1">
      <alignment horizontal="center" vertical="center"/>
    </xf>
    <xf numFmtId="0" fontId="13" fillId="6" borderId="6" xfId="0" applyFont="1" applyFill="1" applyBorder="1" applyAlignment="1">
      <alignment horizontal="center" vertical="center"/>
    </xf>
    <xf numFmtId="0" fontId="13" fillId="6" borderId="5" xfId="0" applyFont="1" applyFill="1" applyBorder="1" applyAlignment="1">
      <alignment horizontal="center" vertical="center"/>
    </xf>
    <xf numFmtId="0" fontId="34" fillId="8" borderId="63" xfId="13" applyBorder="1">
      <alignment horizontal="left" vertical="center" wrapText="1"/>
    </xf>
    <xf numFmtId="0" fontId="34" fillId="8" borderId="64" xfId="13" applyBorder="1">
      <alignment horizontal="left" vertical="center" wrapText="1"/>
    </xf>
    <xf numFmtId="0" fontId="34" fillId="8" borderId="65" xfId="13" applyBorder="1">
      <alignment horizontal="left" vertical="center" wrapText="1"/>
    </xf>
    <xf numFmtId="0" fontId="18" fillId="0" borderId="830" xfId="5" applyFont="1" applyBorder="1" applyAlignment="1">
      <alignment horizontal="left" vertical="center" wrapText="1"/>
    </xf>
    <xf numFmtId="0" fontId="0" fillId="0" borderId="12" xfId="0" applyBorder="1" applyAlignment="1">
      <alignment horizontal="left" vertical="top" wrapText="1" indent="1"/>
    </xf>
    <xf numFmtId="0" fontId="1" fillId="0" borderId="0" xfId="0" applyFont="1" applyBorder="1" applyAlignment="1">
      <alignment horizontal="left" vertical="top" wrapText="1" indent="1"/>
    </xf>
    <xf numFmtId="0" fontId="1" fillId="0" borderId="13" xfId="0" applyFont="1" applyBorder="1" applyAlignment="1">
      <alignment horizontal="left" vertical="top" wrapText="1" indent="1"/>
    </xf>
    <xf numFmtId="0" fontId="17" fillId="0" borderId="12" xfId="5" applyBorder="1" applyAlignment="1" applyProtection="1">
      <alignment horizontal="left" vertical="top" wrapText="1" indent="1"/>
      <protection locked="0"/>
    </xf>
    <xf numFmtId="0" fontId="17" fillId="0" borderId="0" xfId="5" applyBorder="1" applyAlignment="1" applyProtection="1">
      <alignment horizontal="left" vertical="top" wrapText="1" indent="1"/>
      <protection locked="0"/>
    </xf>
    <xf numFmtId="0" fontId="17" fillId="0" borderId="13" xfId="5" applyBorder="1" applyAlignment="1" applyProtection="1">
      <alignment horizontal="left" vertical="top" wrapText="1" indent="1"/>
      <protection locked="0"/>
    </xf>
    <xf numFmtId="0" fontId="13" fillId="0" borderId="104" xfId="0" applyFont="1" applyBorder="1" applyAlignment="1">
      <alignment horizontal="left" indent="1"/>
    </xf>
    <xf numFmtId="0" fontId="13" fillId="0" borderId="8" xfId="0" applyFont="1" applyBorder="1" applyAlignment="1">
      <alignment horizontal="left" indent="1"/>
    </xf>
    <xf numFmtId="165" fontId="13" fillId="0" borderId="8" xfId="0" quotePrefix="1" applyNumberFormat="1" applyFont="1" applyBorder="1" applyAlignment="1">
      <alignment horizontal="left"/>
    </xf>
    <xf numFmtId="0" fontId="1" fillId="0" borderId="8" xfId="0" applyFont="1" applyBorder="1" applyAlignment="1">
      <alignment horizontal="left" vertical="top" wrapText="1"/>
    </xf>
    <xf numFmtId="0" fontId="23" fillId="0" borderId="8" xfId="0" applyFont="1" applyBorder="1" applyAlignment="1"/>
    <xf numFmtId="0" fontId="0" fillId="0" borderId="8" xfId="0" applyBorder="1" applyAlignment="1"/>
    <xf numFmtId="0" fontId="165" fillId="0" borderId="0" xfId="0" applyFont="1" applyBorder="1" applyAlignment="1"/>
    <xf numFmtId="0" fontId="165" fillId="0" borderId="0" xfId="0" applyFont="1" applyAlignment="1"/>
    <xf numFmtId="0" fontId="165" fillId="0" borderId="13" xfId="0" applyFont="1" applyBorder="1" applyAlignment="1"/>
    <xf numFmtId="0" fontId="34" fillId="8" borderId="104" xfId="13" applyFill="1" applyBorder="1" applyAlignment="1">
      <alignment horizontal="right" vertical="center" wrapText="1"/>
    </xf>
    <xf numFmtId="0" fontId="34" fillId="8" borderId="8" xfId="13" applyFill="1" applyBorder="1" applyAlignment="1">
      <alignment horizontal="right" vertical="center" wrapText="1"/>
    </xf>
    <xf numFmtId="2" fontId="34" fillId="8" borderId="8" xfId="13" applyNumberFormat="1" applyFill="1" applyBorder="1" applyAlignment="1">
      <alignment horizontal="left" vertical="center" wrapText="1"/>
    </xf>
    <xf numFmtId="0" fontId="34" fillId="8" borderId="106" xfId="13" applyFill="1" applyBorder="1" applyAlignment="1">
      <alignment horizontal="right" vertical="center" wrapText="1"/>
    </xf>
    <xf numFmtId="0" fontId="0" fillId="0" borderId="63" xfId="0" applyBorder="1" applyAlignment="1">
      <alignment horizontal="left" vertical="top" wrapText="1" indent="1"/>
    </xf>
    <xf numFmtId="0" fontId="0" fillId="0" borderId="64" xfId="0" applyBorder="1" applyAlignment="1">
      <alignment horizontal="left" vertical="top" wrapText="1" indent="1"/>
    </xf>
    <xf numFmtId="0" fontId="0" fillId="0" borderId="65" xfId="0" applyBorder="1" applyAlignment="1">
      <alignment horizontal="left" vertical="top" wrapText="1" indent="1"/>
    </xf>
    <xf numFmtId="0" fontId="34" fillId="8" borderId="62" xfId="13" applyBorder="1">
      <alignment horizontal="left" vertical="center" wrapText="1"/>
    </xf>
    <xf numFmtId="0" fontId="0" fillId="0" borderId="121" xfId="0" applyBorder="1" applyAlignment="1">
      <alignment horizontal="left" vertical="top" wrapText="1" indent="1"/>
    </xf>
    <xf numFmtId="0" fontId="0" fillId="0" borderId="61" xfId="0" applyBorder="1" applyAlignment="1">
      <alignment horizontal="left" vertical="top" wrapText="1" indent="1"/>
    </xf>
    <xf numFmtId="0" fontId="0" fillId="0" borderId="122" xfId="0" applyBorder="1" applyAlignment="1">
      <alignment horizontal="left" vertical="top" wrapText="1" indent="1"/>
    </xf>
    <xf numFmtId="0" fontId="3" fillId="0" borderId="12" xfId="0" applyFont="1" applyBorder="1" applyAlignment="1">
      <alignment horizontal="right" vertical="top" wrapText="1"/>
    </xf>
    <xf numFmtId="0" fontId="3" fillId="0" borderId="0" xfId="0" applyFont="1" applyBorder="1" applyAlignment="1">
      <alignment horizontal="right" vertical="top" wrapText="1"/>
    </xf>
    <xf numFmtId="1" fontId="179" fillId="10" borderId="15" xfId="9" applyFont="1" applyBorder="1" applyAlignment="1">
      <alignment horizontal="left" vertical="top" indent="1"/>
      <protection locked="0"/>
    </xf>
    <xf numFmtId="0" fontId="0" fillId="0" borderId="0" xfId="0" applyBorder="1" applyAlignment="1">
      <alignment horizontal="left" vertical="top" wrapText="1"/>
    </xf>
    <xf numFmtId="0" fontId="0" fillId="0" borderId="13" xfId="0" applyBorder="1" applyAlignment="1">
      <alignment horizontal="left" vertical="top" wrapText="1"/>
    </xf>
    <xf numFmtId="0" fontId="28" fillId="0" borderId="0" xfId="0" applyFont="1" applyBorder="1" applyAlignment="1">
      <alignment horizontal="right" vertical="top" wrapText="1"/>
    </xf>
    <xf numFmtId="1" fontId="179" fillId="10" borderId="123" xfId="9" applyFont="1" applyBorder="1" applyAlignment="1">
      <alignment horizontal="left" vertical="center" indent="1"/>
      <protection locked="0"/>
    </xf>
    <xf numFmtId="1" fontId="179" fillId="10" borderId="124" xfId="9" applyFont="1" applyBorder="1" applyAlignment="1">
      <alignment horizontal="left" vertical="center" indent="1"/>
      <protection locked="0"/>
    </xf>
    <xf numFmtId="1" fontId="179" fillId="10" borderId="125" xfId="9" applyFont="1" applyBorder="1" applyAlignment="1">
      <alignment horizontal="left" vertical="center" indent="1"/>
      <protection locked="0"/>
    </xf>
    <xf numFmtId="1" fontId="179" fillId="10" borderId="123" xfId="9" applyFont="1" applyBorder="1" applyAlignment="1">
      <alignment horizontal="left" vertical="top" indent="1"/>
      <protection locked="0"/>
    </xf>
    <xf numFmtId="1" fontId="179" fillId="10" borderId="124" xfId="9" applyFont="1" applyBorder="1" applyAlignment="1">
      <alignment horizontal="left" vertical="top" indent="1"/>
      <protection locked="0"/>
    </xf>
    <xf numFmtId="1" fontId="179" fillId="10" borderId="125" xfId="9" applyFont="1" applyBorder="1" applyAlignment="1">
      <alignment horizontal="left" vertical="top" indent="1"/>
      <protection locked="0"/>
    </xf>
    <xf numFmtId="0" fontId="3" fillId="0" borderId="24" xfId="0" applyFont="1" applyBorder="1" applyAlignment="1">
      <alignment horizontal="right" vertical="top" wrapText="1"/>
    </xf>
    <xf numFmtId="2" fontId="179" fillId="10" borderId="123" xfId="9" applyNumberFormat="1" applyFont="1" applyBorder="1" applyAlignment="1">
      <alignment horizontal="left" vertical="center" indent="1"/>
      <protection locked="0"/>
    </xf>
    <xf numFmtId="2" fontId="179" fillId="10" borderId="124" xfId="9" applyNumberFormat="1" applyFont="1" applyBorder="1" applyAlignment="1">
      <alignment horizontal="left" vertical="center" indent="1"/>
      <protection locked="0"/>
    </xf>
    <xf numFmtId="2" fontId="179" fillId="10" borderId="125" xfId="9" applyNumberFormat="1" applyFont="1" applyBorder="1" applyAlignment="1">
      <alignment horizontal="left" vertical="center" indent="1"/>
      <protection locked="0"/>
    </xf>
    <xf numFmtId="0" fontId="17" fillId="0" borderId="0" xfId="5" applyBorder="1" applyAlignment="1" applyProtection="1">
      <alignment vertical="top"/>
      <protection locked="0"/>
    </xf>
    <xf numFmtId="1" fontId="179" fillId="10" borderId="123" xfId="9" applyFont="1" applyBorder="1" applyAlignment="1">
      <alignment horizontal="left" vertical="center" wrapText="1" indent="1"/>
      <protection locked="0"/>
    </xf>
    <xf numFmtId="1" fontId="179" fillId="10" borderId="124" xfId="9" applyFont="1" applyBorder="1" applyAlignment="1">
      <alignment horizontal="left" vertical="center" wrapText="1" indent="1"/>
      <protection locked="0"/>
    </xf>
    <xf numFmtId="1" fontId="179" fillId="10" borderId="125" xfId="9" applyFont="1" applyBorder="1" applyAlignment="1">
      <alignment horizontal="left" vertical="center" wrapText="1" indent="1"/>
      <protection locked="0"/>
    </xf>
    <xf numFmtId="9" fontId="179" fillId="10" borderId="15" xfId="1" applyFont="1" applyFill="1" applyBorder="1" applyAlignment="1" applyProtection="1">
      <alignment horizontal="left" vertical="top" indent="1"/>
      <protection locked="0"/>
    </xf>
    <xf numFmtId="0" fontId="3" fillId="0" borderId="17" xfId="0" applyFont="1" applyBorder="1" applyAlignment="1">
      <alignment horizontal="right" vertical="top"/>
    </xf>
    <xf numFmtId="0" fontId="3" fillId="0" borderId="0" xfId="0" applyFont="1" applyBorder="1" applyAlignment="1">
      <alignment horizontal="right" vertical="top"/>
    </xf>
    <xf numFmtId="0" fontId="3" fillId="0" borderId="24" xfId="0" applyFont="1" applyBorder="1" applyAlignment="1">
      <alignment horizontal="right" vertical="top"/>
    </xf>
    <xf numFmtId="0" fontId="3" fillId="0" borderId="17" xfId="0" applyFont="1" applyBorder="1" applyAlignment="1">
      <alignment horizontal="right"/>
    </xf>
    <xf numFmtId="0" fontId="3" fillId="0" borderId="0" xfId="0" applyFont="1" applyBorder="1" applyAlignment="1">
      <alignment horizontal="right"/>
    </xf>
    <xf numFmtId="0" fontId="80" fillId="0" borderId="12" xfId="0" applyFont="1" applyBorder="1" applyAlignment="1">
      <alignment horizontal="right" vertical="center" wrapText="1"/>
    </xf>
    <xf numFmtId="0" fontId="0" fillId="0" borderId="0" xfId="0" applyBorder="1" applyAlignment="1">
      <alignment horizontal="right"/>
    </xf>
    <xf numFmtId="0" fontId="3" fillId="0" borderId="12" xfId="0" applyFont="1" applyBorder="1" applyAlignment="1">
      <alignment horizontal="right" vertical="center"/>
    </xf>
    <xf numFmtId="0" fontId="3" fillId="0" borderId="0" xfId="0" applyFont="1" applyBorder="1" applyAlignment="1">
      <alignment horizontal="right" vertical="center"/>
    </xf>
    <xf numFmtId="0" fontId="0" fillId="0" borderId="0" xfId="0" applyBorder="1" applyAlignment="1">
      <alignment horizontal="right" vertical="center"/>
    </xf>
    <xf numFmtId="0" fontId="3" fillId="0" borderId="127" xfId="0" applyFont="1" applyBorder="1" applyAlignment="1">
      <alignment horizontal="right" vertical="center"/>
    </xf>
    <xf numFmtId="0" fontId="180" fillId="10" borderId="132" xfId="0" applyFont="1" applyFill="1" applyBorder="1" applyProtection="1">
      <protection locked="0"/>
    </xf>
    <xf numFmtId="0" fontId="180" fillId="10" borderId="133" xfId="0" applyFont="1" applyFill="1" applyBorder="1" applyProtection="1">
      <protection locked="0"/>
    </xf>
    <xf numFmtId="0" fontId="180" fillId="10" borderId="134" xfId="0" applyFont="1" applyFill="1" applyBorder="1" applyProtection="1">
      <protection locked="0"/>
    </xf>
    <xf numFmtId="0" fontId="3" fillId="0" borderId="128" xfId="0" applyFont="1" applyBorder="1" applyAlignment="1">
      <alignment horizontal="right" vertical="center" wrapText="1"/>
    </xf>
    <xf numFmtId="0" fontId="0" fillId="0" borderId="127" xfId="0" applyBorder="1" applyAlignment="1">
      <alignment horizontal="right" vertical="center" wrapText="1"/>
    </xf>
    <xf numFmtId="0" fontId="23" fillId="10" borderId="132" xfId="0" applyFont="1" applyFill="1" applyBorder="1" applyProtection="1">
      <protection locked="0"/>
    </xf>
    <xf numFmtId="0" fontId="23" fillId="10" borderId="133" xfId="0" applyFont="1" applyFill="1" applyBorder="1" applyProtection="1">
      <protection locked="0"/>
    </xf>
    <xf numFmtId="0" fontId="23" fillId="10" borderId="134" xfId="0" applyFont="1" applyFill="1" applyBorder="1" applyProtection="1">
      <protection locked="0"/>
    </xf>
    <xf numFmtId="0" fontId="0" fillId="0" borderId="12" xfId="0" applyFill="1" applyBorder="1" applyAlignment="1">
      <alignment horizontal="left" vertical="top" wrapText="1" indent="1"/>
    </xf>
    <xf numFmtId="0" fontId="0" fillId="0" borderId="0" xfId="0" applyFill="1" applyBorder="1" applyAlignment="1">
      <alignment horizontal="left" vertical="top" wrapText="1" indent="1"/>
    </xf>
    <xf numFmtId="0" fontId="0" fillId="0" borderId="13" xfId="0" applyFill="1" applyBorder="1" applyAlignment="1">
      <alignment horizontal="left" vertical="top" wrapText="1" indent="1"/>
    </xf>
    <xf numFmtId="0" fontId="0" fillId="0" borderId="104" xfId="0" applyBorder="1" applyAlignment="1">
      <alignment horizontal="left" vertical="top" wrapText="1" indent="1"/>
    </xf>
    <xf numFmtId="0" fontId="0" fillId="0" borderId="8" xfId="0" applyBorder="1" applyAlignment="1">
      <alignment horizontal="left" vertical="top" wrapText="1" indent="1"/>
    </xf>
    <xf numFmtId="0" fontId="0" fillId="0" borderId="106" xfId="0" applyBorder="1" applyAlignment="1">
      <alignment horizontal="left" vertical="top" wrapText="1" indent="1"/>
    </xf>
    <xf numFmtId="0" fontId="0" fillId="0" borderId="0" xfId="0" applyBorder="1" applyAlignment="1">
      <alignment horizontal="right" vertical="center" wrapText="1"/>
    </xf>
    <xf numFmtId="0" fontId="0" fillId="0" borderId="129" xfId="0" applyBorder="1" applyAlignment="1">
      <alignment horizontal="left" vertical="center" wrapText="1" indent="1"/>
    </xf>
    <xf numFmtId="0" fontId="0" fillId="0" borderId="0" xfId="0" applyBorder="1" applyAlignment="1">
      <alignment horizontal="left" vertical="center" wrapText="1" indent="1"/>
    </xf>
    <xf numFmtId="0" fontId="0" fillId="0" borderId="13" xfId="0" applyBorder="1" applyAlignment="1">
      <alignment horizontal="left" vertical="center" wrapText="1" indent="1"/>
    </xf>
    <xf numFmtId="0" fontId="39" fillId="0" borderId="128" xfId="0" applyFont="1" applyBorder="1" applyAlignment="1">
      <alignment horizontal="left" vertical="center" wrapText="1" indent="1"/>
    </xf>
    <xf numFmtId="0" fontId="39" fillId="0" borderId="0" xfId="0" applyFont="1" applyBorder="1" applyAlignment="1">
      <alignment horizontal="left" vertical="center" wrapText="1" indent="1"/>
    </xf>
    <xf numFmtId="0" fontId="39" fillId="0" borderId="13" xfId="0" applyFont="1" applyBorder="1" applyAlignment="1">
      <alignment horizontal="left" vertical="center" wrapText="1" indent="1"/>
    </xf>
    <xf numFmtId="0" fontId="0" fillId="0" borderId="128" xfId="0" applyBorder="1" applyAlignment="1">
      <alignment horizontal="left" vertical="center" wrapText="1" indent="1"/>
    </xf>
    <xf numFmtId="0" fontId="0" fillId="0" borderId="130" xfId="0" applyBorder="1" applyAlignment="1">
      <alignment horizontal="left" vertical="center" wrapText="1" indent="1"/>
    </xf>
    <xf numFmtId="0" fontId="0" fillId="0" borderId="0" xfId="0" applyBorder="1" applyAlignment="1">
      <alignment horizontal="left" vertical="top" wrapText="1" indent="1"/>
    </xf>
    <xf numFmtId="0" fontId="0" fillId="0" borderId="13" xfId="0" applyBorder="1" applyAlignment="1">
      <alignment horizontal="left" vertical="top" wrapText="1" indent="1"/>
    </xf>
    <xf numFmtId="0" fontId="3" fillId="0" borderId="12" xfId="0" applyFont="1" applyBorder="1" applyAlignment="1">
      <alignment horizontal="right"/>
    </xf>
    <xf numFmtId="1" fontId="179" fillId="10" borderId="123" xfId="9" applyFont="1" applyBorder="1" applyAlignment="1">
      <alignment horizontal="left" vertical="center"/>
      <protection locked="0"/>
    </xf>
    <xf numFmtId="1" fontId="179" fillId="10" borderId="124" xfId="9" applyFont="1" applyBorder="1" applyAlignment="1">
      <alignment horizontal="left" vertical="center"/>
      <protection locked="0"/>
    </xf>
    <xf numFmtId="1" fontId="179" fillId="10" borderId="125" xfId="9" applyFont="1" applyBorder="1" applyAlignment="1">
      <alignment horizontal="left" vertical="center"/>
      <protection locked="0"/>
    </xf>
    <xf numFmtId="0" fontId="0" fillId="0" borderId="0" xfId="0" applyAlignment="1">
      <alignment horizontal="left" vertical="center" wrapText="1" indent="1"/>
    </xf>
    <xf numFmtId="0" fontId="1" fillId="0" borderId="12" xfId="0" applyFont="1" applyBorder="1"/>
    <xf numFmtId="0" fontId="23" fillId="0" borderId="12" xfId="0" applyFont="1" applyBorder="1" applyAlignment="1">
      <alignment horizontal="left" vertical="top" wrapText="1"/>
    </xf>
    <xf numFmtId="0" fontId="23" fillId="0" borderId="83" xfId="0" applyFont="1" applyBorder="1" applyAlignment="1">
      <alignment horizontal="left" vertical="top" wrapText="1"/>
    </xf>
    <xf numFmtId="0" fontId="23" fillId="40" borderId="119" xfId="23" applyBorder="1" applyAlignment="1" applyProtection="1">
      <alignment horizontal="left" vertical="top" wrapText="1"/>
      <protection locked="0"/>
    </xf>
    <xf numFmtId="0" fontId="23" fillId="40" borderId="108" xfId="23" applyBorder="1" applyAlignment="1" applyProtection="1">
      <alignment horizontal="left" vertical="top" wrapText="1"/>
      <protection locked="0"/>
    </xf>
    <xf numFmtId="0" fontId="23" fillId="40" borderId="0" xfId="23" applyAlignment="1" applyProtection="1">
      <alignment horizontal="left" vertical="top" wrapText="1"/>
      <protection locked="0"/>
    </xf>
    <xf numFmtId="0" fontId="13" fillId="0" borderId="69" xfId="0" applyFont="1" applyBorder="1" applyAlignment="1">
      <alignment horizontal="center" vertical="center" wrapText="1"/>
    </xf>
    <xf numFmtId="0" fontId="13" fillId="0" borderId="0" xfId="0" applyFont="1" applyBorder="1" applyAlignment="1">
      <alignment horizontal="center" vertical="center" wrapText="1"/>
    </xf>
    <xf numFmtId="0" fontId="23" fillId="0" borderId="68" xfId="0" applyFont="1" applyBorder="1" applyAlignment="1">
      <alignment horizontal="left" vertical="top"/>
    </xf>
    <xf numFmtId="0" fontId="23" fillId="0" borderId="12" xfId="0" applyFont="1" applyBorder="1" applyAlignment="1">
      <alignment horizontal="left" vertical="top"/>
    </xf>
    <xf numFmtId="0" fontId="23" fillId="0" borderId="69" xfId="0" applyFont="1" applyBorder="1"/>
    <xf numFmtId="0" fontId="23" fillId="0" borderId="0" xfId="0" applyFont="1" applyBorder="1"/>
    <xf numFmtId="0" fontId="23" fillId="0" borderId="108" xfId="0" applyFont="1" applyBorder="1" applyAlignment="1">
      <alignment vertical="top"/>
    </xf>
    <xf numFmtId="0" fontId="23" fillId="0" borderId="98" xfId="0" applyFont="1" applyBorder="1" applyAlignment="1"/>
    <xf numFmtId="0" fontId="23" fillId="0" borderId="101" xfId="0" applyFont="1" applyBorder="1" applyAlignment="1"/>
    <xf numFmtId="0" fontId="23" fillId="0" borderId="111" xfId="0" applyFont="1" applyBorder="1" applyAlignment="1"/>
    <xf numFmtId="167" fontId="27" fillId="11" borderId="60" xfId="10" applyBorder="1">
      <alignment horizontal="left" vertical="top" wrapText="1"/>
    </xf>
    <xf numFmtId="0" fontId="23" fillId="0" borderId="69" xfId="0" applyFont="1" applyBorder="1" applyAlignment="1">
      <alignment vertical="top"/>
    </xf>
    <xf numFmtId="0" fontId="23" fillId="40" borderId="72" xfId="23" applyBorder="1" applyAlignment="1" applyProtection="1">
      <alignment horizontal="left" vertical="top" wrapText="1"/>
      <protection locked="0"/>
    </xf>
    <xf numFmtId="0" fontId="23" fillId="40" borderId="58" xfId="23" applyBorder="1" applyAlignment="1" applyProtection="1">
      <alignment horizontal="left" vertical="top" wrapText="1"/>
      <protection locked="0"/>
    </xf>
    <xf numFmtId="0" fontId="23" fillId="40" borderId="73" xfId="23" applyBorder="1" applyAlignment="1" applyProtection="1">
      <alignment horizontal="left" vertical="top" wrapText="1"/>
      <protection locked="0"/>
    </xf>
    <xf numFmtId="0" fontId="23" fillId="40" borderId="59" xfId="23" applyBorder="1" applyAlignment="1" applyProtection="1">
      <alignment horizontal="left" vertical="top" wrapText="1"/>
      <protection locked="0"/>
    </xf>
    <xf numFmtId="0" fontId="23" fillId="40" borderId="73" xfId="23" applyFont="1" applyBorder="1" applyAlignment="1" applyProtection="1">
      <alignment horizontal="left" vertical="top" wrapText="1"/>
      <protection locked="0"/>
    </xf>
    <xf numFmtId="0" fontId="23" fillId="40" borderId="59" xfId="23" applyFont="1" applyBorder="1" applyAlignment="1" applyProtection="1">
      <alignment horizontal="left" vertical="top" wrapText="1"/>
      <protection locked="0"/>
    </xf>
    <xf numFmtId="0" fontId="23" fillId="40" borderId="358" xfId="23" applyFont="1" applyBorder="1" applyAlignment="1" applyProtection="1">
      <alignment horizontal="left" vertical="top" wrapText="1"/>
      <protection locked="0"/>
    </xf>
    <xf numFmtId="0" fontId="23" fillId="40" borderId="359" xfId="23" applyFont="1" applyBorder="1" applyAlignment="1" applyProtection="1">
      <alignment horizontal="left" vertical="top" wrapText="1"/>
      <protection locked="0"/>
    </xf>
    <xf numFmtId="1" fontId="13" fillId="15" borderId="690" xfId="15" applyNumberFormat="1" applyFont="1" applyBorder="1" applyAlignment="1" applyProtection="1">
      <alignment horizontal="center" vertical="center"/>
    </xf>
    <xf numFmtId="1" fontId="13" fillId="15" borderId="0" xfId="15" applyNumberFormat="1" applyFont="1" applyBorder="1" applyAlignment="1" applyProtection="1">
      <alignment horizontal="center" vertical="center"/>
    </xf>
    <xf numFmtId="0" fontId="0" fillId="0" borderId="86" xfId="0" applyBorder="1" applyAlignment="1">
      <alignment horizontal="center" vertical="center"/>
    </xf>
    <xf numFmtId="0" fontId="23" fillId="0" borderId="359" xfId="0" applyFont="1" applyBorder="1" applyAlignment="1">
      <alignment horizontal="left"/>
    </xf>
    <xf numFmtId="0" fontId="0" fillId="0" borderId="359" xfId="0" applyBorder="1" applyAlignment="1">
      <alignment horizontal="left"/>
    </xf>
    <xf numFmtId="0" fontId="23" fillId="40" borderId="69" xfId="23" applyBorder="1" applyAlignment="1" applyProtection="1">
      <alignment horizontal="left" vertical="top" wrapText="1"/>
      <protection locked="0"/>
    </xf>
    <xf numFmtId="0" fontId="23" fillId="40" borderId="0" xfId="23" applyBorder="1" applyAlignment="1" applyProtection="1">
      <alignment horizontal="left" vertical="top" wrapText="1"/>
      <protection locked="0"/>
    </xf>
    <xf numFmtId="0" fontId="23" fillId="40" borderId="86" xfId="23" applyBorder="1" applyAlignment="1" applyProtection="1">
      <alignment horizontal="left" vertical="top" wrapText="1"/>
      <protection locked="0"/>
    </xf>
    <xf numFmtId="49" fontId="20" fillId="52" borderId="551" xfId="7">
      <alignment horizontal="left" vertical="center" wrapText="1"/>
    </xf>
    <xf numFmtId="0" fontId="21" fillId="0" borderId="0" xfId="4" applyNumberFormat="1" applyFont="1" applyFill="1" applyBorder="1" applyAlignment="1" applyProtection="1">
      <alignment vertical="top" wrapText="1"/>
    </xf>
    <xf numFmtId="0" fontId="21" fillId="0" borderId="26" xfId="4" applyFont="1" applyFill="1" applyBorder="1" applyAlignment="1">
      <alignment horizontal="left" vertical="top" wrapText="1"/>
    </xf>
    <xf numFmtId="0" fontId="21" fillId="0" borderId="18" xfId="4" applyFont="1" applyFill="1" applyBorder="1" applyAlignment="1">
      <alignment horizontal="left" vertical="top"/>
    </xf>
    <xf numFmtId="0" fontId="21" fillId="0" borderId="0" xfId="4" applyFont="1" applyFill="1" applyBorder="1" applyAlignment="1" applyProtection="1">
      <alignment horizontal="left" vertical="top" wrapText="1"/>
    </xf>
    <xf numFmtId="0" fontId="23" fillId="39" borderId="72" xfId="4" applyFont="1" applyFill="1" applyBorder="1" applyAlignment="1" applyProtection="1">
      <alignment horizontal="left" vertical="top" wrapText="1"/>
      <protection locked="0"/>
    </xf>
    <xf numFmtId="0" fontId="23" fillId="39" borderId="58" xfId="4" applyFont="1" applyFill="1" applyBorder="1" applyAlignment="1" applyProtection="1">
      <alignment horizontal="left" vertical="top" wrapText="1"/>
      <protection locked="0"/>
    </xf>
    <xf numFmtId="0" fontId="23" fillId="40" borderId="73" xfId="4" applyFont="1" applyFill="1" applyBorder="1" applyAlignment="1" applyProtection="1">
      <alignment horizontal="left" vertical="top" wrapText="1"/>
      <protection locked="0"/>
    </xf>
    <xf numFmtId="0" fontId="23" fillId="40" borderId="59" xfId="4" applyFont="1" applyFill="1" applyBorder="1" applyAlignment="1" applyProtection="1">
      <alignment horizontal="left" vertical="top" wrapText="1"/>
      <protection locked="0"/>
    </xf>
    <xf numFmtId="0" fontId="6" fillId="52" borderId="0" xfId="2" applyFont="1" applyFill="1" applyBorder="1" applyAlignment="1">
      <alignment horizontal="left" vertical="center" wrapText="1"/>
    </xf>
    <xf numFmtId="0" fontId="6" fillId="52" borderId="2" xfId="2" applyFont="1" applyFill="1" applyBorder="1" applyAlignment="1">
      <alignment horizontal="left" vertical="center" wrapText="1"/>
    </xf>
    <xf numFmtId="0" fontId="0" fillId="0" borderId="0" xfId="0" applyBorder="1" applyAlignment="1">
      <alignment horizontal="center"/>
    </xf>
    <xf numFmtId="49" fontId="20" fillId="52" borderId="551" xfId="7" applyFill="1">
      <alignment horizontal="left" vertical="center" wrapText="1"/>
    </xf>
    <xf numFmtId="0" fontId="18" fillId="0" borderId="829" xfId="5" applyFont="1" applyBorder="1" applyAlignment="1">
      <alignment horizontal="left" vertical="center" wrapText="1"/>
    </xf>
    <xf numFmtId="0" fontId="79" fillId="51" borderId="201" xfId="6" applyFont="1" applyFill="1" applyBorder="1" applyAlignment="1">
      <alignment horizontal="center" vertical="center" wrapText="1"/>
    </xf>
    <xf numFmtId="0" fontId="79" fillId="51" borderId="200" xfId="6" applyFont="1" applyFill="1" applyBorder="1" applyAlignment="1">
      <alignment horizontal="center" vertical="center" wrapText="1"/>
    </xf>
    <xf numFmtId="0" fontId="79" fillId="51" borderId="136" xfId="6" applyFont="1" applyFill="1" applyBorder="1" applyAlignment="1">
      <alignment horizontal="center" vertical="center" wrapText="1"/>
    </xf>
    <xf numFmtId="0" fontId="148" fillId="51" borderId="135" xfId="6" applyFont="1" applyFill="1" applyBorder="1">
      <alignment horizontal="center" vertical="center" wrapText="1"/>
    </xf>
    <xf numFmtId="0" fontId="148" fillId="51" borderId="136" xfId="6" applyFont="1" applyFill="1" applyBorder="1">
      <alignment horizontal="center" vertical="center" wrapText="1"/>
    </xf>
    <xf numFmtId="0" fontId="79" fillId="51" borderId="201" xfId="6" applyFont="1" applyFill="1" applyBorder="1">
      <alignment horizontal="center" vertical="center" wrapText="1"/>
    </xf>
    <xf numFmtId="0" fontId="79" fillId="51" borderId="200" xfId="6" applyFont="1" applyFill="1" applyBorder="1">
      <alignment horizontal="center" vertical="center" wrapText="1"/>
    </xf>
    <xf numFmtId="0" fontId="79" fillId="51" borderId="136" xfId="6" applyFont="1" applyFill="1" applyBorder="1">
      <alignment horizontal="center" vertical="center" wrapText="1"/>
    </xf>
    <xf numFmtId="0" fontId="21" fillId="0" borderId="559" xfId="4" applyNumberFormat="1" applyFont="1" applyFill="1" applyBorder="1" applyAlignment="1">
      <alignment vertical="top" wrapText="1"/>
    </xf>
    <xf numFmtId="0" fontId="0" fillId="0" borderId="559" xfId="0" applyBorder="1" applyAlignment="1">
      <alignment wrapText="1"/>
    </xf>
    <xf numFmtId="0" fontId="0" fillId="0" borderId="689" xfId="0" applyBorder="1" applyAlignment="1">
      <alignment wrapText="1"/>
    </xf>
    <xf numFmtId="0" fontId="161" fillId="3" borderId="0" xfId="4" applyFont="1" applyFill="1" applyBorder="1" applyAlignment="1">
      <alignment horizontal="center" vertical="center" wrapText="1"/>
    </xf>
    <xf numFmtId="0" fontId="23" fillId="40" borderId="358" xfId="4" applyFont="1" applyFill="1" applyBorder="1" applyAlignment="1" applyProtection="1">
      <alignment horizontal="left" vertical="top" wrapText="1"/>
      <protection locked="0"/>
    </xf>
    <xf numFmtId="0" fontId="23" fillId="40" borderId="359" xfId="4" applyFont="1" applyFill="1" applyBorder="1" applyAlignment="1" applyProtection="1">
      <alignment horizontal="left" vertical="top" wrapText="1"/>
      <protection locked="0"/>
    </xf>
    <xf numFmtId="0" fontId="23" fillId="0" borderId="0" xfId="0" applyFont="1" applyBorder="1" applyAlignment="1">
      <alignment vertical="top" wrapText="1"/>
    </xf>
    <xf numFmtId="0" fontId="23" fillId="0" borderId="27" xfId="0" applyFont="1" applyBorder="1" applyAlignment="1">
      <alignment vertical="top" wrapText="1"/>
    </xf>
    <xf numFmtId="0" fontId="23" fillId="0" borderId="18" xfId="0" applyFont="1" applyBorder="1" applyAlignment="1">
      <alignment vertical="top" wrapText="1"/>
    </xf>
    <xf numFmtId="0" fontId="13" fillId="0" borderId="18" xfId="0" applyFont="1" applyBorder="1" applyAlignment="1">
      <alignment horizontal="center" vertical="center" wrapText="1"/>
    </xf>
    <xf numFmtId="0" fontId="13" fillId="0" borderId="26" xfId="0" applyFont="1" applyBorder="1" applyAlignment="1">
      <alignment horizontal="center" vertical="center" wrapText="1"/>
    </xf>
    <xf numFmtId="1" fontId="26" fillId="10" borderId="456" xfId="9" applyFont="1" applyBorder="1" applyProtection="1">
      <alignment horizontal="center" vertical="center"/>
      <protection locked="0"/>
    </xf>
    <xf numFmtId="167" fontId="27" fillId="0" borderId="0" xfId="10" applyFill="1" applyBorder="1">
      <alignment horizontal="left" vertical="top" wrapText="1"/>
    </xf>
    <xf numFmtId="167" fontId="27" fillId="41" borderId="404" xfId="10" applyFill="1" applyBorder="1" applyAlignment="1" applyProtection="1">
      <alignment horizontal="left" vertical="top" wrapText="1"/>
      <protection locked="0"/>
    </xf>
    <xf numFmtId="167" fontId="27" fillId="41" borderId="405" xfId="10" applyFill="1" applyBorder="1" applyAlignment="1" applyProtection="1">
      <alignment horizontal="left" vertical="top" wrapText="1"/>
      <protection locked="0"/>
    </xf>
    <xf numFmtId="167" fontId="27" fillId="41" borderId="549" xfId="10" applyFill="1" applyBorder="1" applyAlignment="1" applyProtection="1">
      <alignment horizontal="left" vertical="top" wrapText="1"/>
      <protection locked="0"/>
    </xf>
    <xf numFmtId="167" fontId="27" fillId="41" borderId="407" xfId="10" applyFill="1" applyBorder="1" applyAlignment="1" applyProtection="1">
      <alignment horizontal="left" vertical="top" wrapText="1"/>
      <protection locked="0"/>
    </xf>
    <xf numFmtId="167" fontId="27" fillId="41" borderId="408" xfId="10" applyFill="1" applyBorder="1" applyAlignment="1" applyProtection="1">
      <alignment horizontal="left" vertical="top" wrapText="1"/>
      <protection locked="0"/>
    </xf>
    <xf numFmtId="167" fontId="27" fillId="41" borderId="550" xfId="10" applyFill="1" applyBorder="1" applyAlignment="1" applyProtection="1">
      <alignment horizontal="left" vertical="top" wrapText="1"/>
      <protection locked="0"/>
    </xf>
    <xf numFmtId="0" fontId="23" fillId="40" borderId="367" xfId="0" applyFont="1" applyFill="1" applyBorder="1" applyAlignment="1" applyProtection="1">
      <alignment horizontal="left" vertical="top" wrapText="1"/>
      <protection locked="0"/>
    </xf>
    <xf numFmtId="0" fontId="23" fillId="40" borderId="67" xfId="0" applyFont="1" applyFill="1" applyBorder="1" applyAlignment="1" applyProtection="1">
      <alignment horizontal="left" vertical="top" wrapText="1"/>
      <protection locked="0"/>
    </xf>
    <xf numFmtId="0" fontId="23" fillId="0" borderId="69" xfId="0" applyFont="1" applyBorder="1" applyAlignment="1" applyProtection="1">
      <alignment vertical="top" wrapText="1"/>
    </xf>
    <xf numFmtId="0" fontId="30" fillId="0" borderId="13" xfId="0" applyFont="1" applyBorder="1" applyAlignment="1" applyProtection="1">
      <alignment horizontal="center" vertical="center" wrapText="1"/>
      <protection locked="0"/>
    </xf>
    <xf numFmtId="0" fontId="30" fillId="0" borderId="140" xfId="0" applyFont="1" applyBorder="1" applyAlignment="1" applyProtection="1">
      <alignment horizontal="center" vertical="center" wrapText="1"/>
      <protection locked="0"/>
    </xf>
    <xf numFmtId="167" fontId="27" fillId="11" borderId="71" xfId="10" applyBorder="1">
      <alignment horizontal="left" vertical="top" wrapText="1"/>
    </xf>
    <xf numFmtId="0" fontId="23" fillId="0" borderId="69" xfId="0" applyFont="1" applyBorder="1" applyAlignment="1" applyProtection="1">
      <alignment horizontal="left" vertical="top" wrapText="1"/>
    </xf>
    <xf numFmtId="0" fontId="23" fillId="40" borderId="72" xfId="0" applyFont="1" applyFill="1" applyBorder="1" applyAlignment="1" applyProtection="1">
      <alignment horizontal="left" vertical="top" wrapText="1"/>
      <protection locked="0"/>
    </xf>
    <xf numFmtId="0" fontId="23" fillId="40" borderId="58" xfId="0" applyFont="1" applyFill="1" applyBorder="1" applyAlignment="1" applyProtection="1">
      <alignment horizontal="left" vertical="top" wrapText="1"/>
      <protection locked="0"/>
    </xf>
    <xf numFmtId="0" fontId="23" fillId="40" borderId="73" xfId="0" applyFont="1" applyFill="1" applyBorder="1" applyAlignment="1" applyProtection="1">
      <alignment horizontal="left" vertical="top" wrapText="1"/>
      <protection locked="0"/>
    </xf>
    <xf numFmtId="0" fontId="23" fillId="40" borderId="59" xfId="0" applyFont="1" applyFill="1" applyBorder="1" applyAlignment="1" applyProtection="1">
      <alignment horizontal="left" vertical="top" wrapText="1"/>
      <protection locked="0"/>
    </xf>
    <xf numFmtId="0" fontId="23" fillId="0" borderId="26" xfId="0" applyFont="1" applyBorder="1" applyAlignment="1">
      <alignment horizontal="left" vertical="top" wrapText="1"/>
    </xf>
    <xf numFmtId="0" fontId="23" fillId="0" borderId="27" xfId="0" applyFont="1" applyBorder="1" applyAlignment="1">
      <alignment horizontal="left" vertical="top" wrapText="1"/>
    </xf>
    <xf numFmtId="0" fontId="23" fillId="0" borderId="0" xfId="0" applyFont="1" applyBorder="1" applyAlignment="1">
      <alignment horizontal="left" vertical="top" wrapText="1"/>
    </xf>
    <xf numFmtId="0" fontId="23" fillId="0" borderId="30" xfId="0" applyFont="1" applyBorder="1" applyAlignment="1">
      <alignment horizontal="left" vertical="top" wrapText="1"/>
    </xf>
    <xf numFmtId="0" fontId="30" fillId="0" borderId="13" xfId="0" applyFont="1" applyBorder="1" applyAlignment="1">
      <alignment horizontal="center" vertical="center"/>
    </xf>
    <xf numFmtId="0" fontId="30" fillId="0" borderId="397" xfId="0" applyFont="1" applyBorder="1" applyAlignment="1">
      <alignment horizontal="center" vertical="center"/>
    </xf>
    <xf numFmtId="167" fontId="27" fillId="11" borderId="33" xfId="10" applyBorder="1">
      <alignment horizontal="left" vertical="top" wrapText="1"/>
    </xf>
    <xf numFmtId="0" fontId="23" fillId="40" borderId="558" xfId="23" applyBorder="1" applyAlignment="1" applyProtection="1">
      <alignment horizontal="left" vertical="top" wrapText="1"/>
      <protection locked="0"/>
    </xf>
    <xf numFmtId="0" fontId="23" fillId="40" borderId="559" xfId="23" applyBorder="1" applyAlignment="1" applyProtection="1">
      <alignment horizontal="left" vertical="top" wrapText="1"/>
      <protection locked="0"/>
    </xf>
    <xf numFmtId="0" fontId="0" fillId="0" borderId="32" xfId="0" applyBorder="1" applyAlignment="1">
      <alignment horizontal="center"/>
    </xf>
    <xf numFmtId="0" fontId="3" fillId="0" borderId="0" xfId="0" applyFont="1" applyBorder="1" applyAlignment="1">
      <alignment horizontal="center"/>
    </xf>
    <xf numFmtId="0" fontId="3" fillId="0" borderId="32" xfId="0" applyFont="1" applyBorder="1" applyAlignment="1">
      <alignment horizontal="center"/>
    </xf>
    <xf numFmtId="0" fontId="0" fillId="0" borderId="0" xfId="0" applyBorder="1" applyAlignment="1">
      <alignment horizontal="center" vertical="top" wrapText="1"/>
    </xf>
    <xf numFmtId="0" fontId="0" fillId="0" borderId="32" xfId="0" applyBorder="1" applyAlignment="1">
      <alignment horizontal="center" vertical="top" wrapText="1"/>
    </xf>
    <xf numFmtId="0" fontId="21" fillId="0" borderId="34" xfId="12" applyFont="1" applyFill="1" applyBorder="1" applyAlignment="1" applyProtection="1">
      <alignment horizontal="left" vertical="top" wrapText="1"/>
    </xf>
    <xf numFmtId="0" fontId="22" fillId="0" borderId="0" xfId="12" applyFont="1" applyFill="1" applyBorder="1" applyProtection="1">
      <alignment horizontal="left" vertical="top" wrapText="1"/>
    </xf>
    <xf numFmtId="0" fontId="30" fillId="0" borderId="118" xfId="0" applyFont="1" applyBorder="1" applyAlignment="1" applyProtection="1">
      <alignment horizontal="center" vertical="center" wrapText="1"/>
    </xf>
    <xf numFmtId="0" fontId="30" fillId="0" borderId="13" xfId="0" applyFont="1" applyBorder="1" applyAlignment="1" applyProtection="1">
      <alignment horizontal="center" vertical="center" wrapText="1"/>
    </xf>
    <xf numFmtId="0" fontId="21" fillId="0" borderId="34" xfId="12" applyFill="1" applyBorder="1" applyProtection="1">
      <alignment horizontal="left" vertical="top" wrapText="1"/>
    </xf>
    <xf numFmtId="0" fontId="30" fillId="0" borderId="208" xfId="0" applyFont="1" applyBorder="1" applyAlignment="1" applyProtection="1">
      <alignment horizontal="center" vertical="center" wrapText="1"/>
      <protection locked="0"/>
    </xf>
    <xf numFmtId="0" fontId="23" fillId="40" borderId="358" xfId="23" applyBorder="1" applyAlignment="1" applyProtection="1">
      <alignment horizontal="left" vertical="top" wrapText="1"/>
      <protection locked="0"/>
    </xf>
    <xf numFmtId="0" fontId="23" fillId="40" borderId="359" xfId="23" applyBorder="1" applyAlignment="1" applyProtection="1">
      <alignment horizontal="left" vertical="top" wrapText="1"/>
      <protection locked="0"/>
    </xf>
    <xf numFmtId="0" fontId="23" fillId="40" borderId="27" xfId="23" applyBorder="1" applyAlignment="1" applyProtection="1">
      <alignment horizontal="left" vertical="top" wrapText="1"/>
      <protection locked="0"/>
    </xf>
    <xf numFmtId="0" fontId="23" fillId="0" borderId="18" xfId="0" applyFont="1" applyBorder="1" applyAlignment="1">
      <alignment horizontal="left" vertical="top" wrapText="1"/>
    </xf>
    <xf numFmtId="0" fontId="23" fillId="0" borderId="46" xfId="0" applyFont="1" applyBorder="1" applyAlignment="1">
      <alignment vertical="top" wrapText="1"/>
    </xf>
    <xf numFmtId="0" fontId="23" fillId="0" borderId="84" xfId="0" applyFont="1" applyBorder="1" applyAlignment="1">
      <alignment vertical="top" wrapText="1"/>
    </xf>
    <xf numFmtId="167" fontId="27" fillId="11" borderId="48" xfId="10" applyBorder="1">
      <alignment horizontal="left" vertical="top" wrapText="1"/>
    </xf>
    <xf numFmtId="167" fontId="27" fillId="11" borderId="46" xfId="10" applyBorder="1">
      <alignment horizontal="left" vertical="top" wrapText="1"/>
    </xf>
    <xf numFmtId="167" fontId="27" fillId="11" borderId="49" xfId="10" applyBorder="1">
      <alignment horizontal="left" vertical="top" wrapText="1"/>
    </xf>
    <xf numFmtId="0" fontId="23" fillId="40" borderId="404" xfId="23" applyBorder="1">
      <alignment horizontal="left" vertical="top" wrapText="1"/>
      <protection locked="0"/>
    </xf>
    <xf numFmtId="0" fontId="23" fillId="40" borderId="405" xfId="23" applyBorder="1">
      <alignment horizontal="left" vertical="top" wrapText="1"/>
      <protection locked="0"/>
    </xf>
    <xf numFmtId="0" fontId="23" fillId="40" borderId="549" xfId="23" applyBorder="1">
      <alignment horizontal="left" vertical="top" wrapText="1"/>
      <protection locked="0"/>
    </xf>
    <xf numFmtId="0" fontId="23" fillId="40" borderId="407" xfId="23" applyBorder="1">
      <alignment horizontal="left" vertical="top" wrapText="1"/>
      <protection locked="0"/>
    </xf>
    <xf numFmtId="0" fontId="23" fillId="40" borderId="408" xfId="23" applyBorder="1">
      <alignment horizontal="left" vertical="top" wrapText="1"/>
      <protection locked="0"/>
    </xf>
    <xf numFmtId="0" fontId="23" fillId="40" borderId="550" xfId="23" applyBorder="1">
      <alignment horizontal="left" vertical="top" wrapText="1"/>
      <protection locked="0"/>
    </xf>
    <xf numFmtId="167" fontId="21" fillId="11" borderId="43" xfId="10" applyFont="1" applyBorder="1" applyProtection="1">
      <alignment horizontal="left" vertical="top" wrapText="1"/>
    </xf>
    <xf numFmtId="167" fontId="21" fillId="11" borderId="44" xfId="10" applyFont="1" applyBorder="1" applyProtection="1">
      <alignment horizontal="left" vertical="top" wrapText="1"/>
    </xf>
    <xf numFmtId="167" fontId="21" fillId="11" borderId="45" xfId="10" applyFont="1" applyBorder="1" applyProtection="1">
      <alignment horizontal="left" vertical="top" wrapText="1"/>
    </xf>
    <xf numFmtId="0" fontId="23" fillId="0" borderId="0" xfId="0" applyFont="1" applyBorder="1" applyAlignment="1" applyProtection="1">
      <alignment horizontal="left" vertical="top" wrapText="1"/>
    </xf>
    <xf numFmtId="0" fontId="0" fillId="0" borderId="61" xfId="0" applyBorder="1" applyProtection="1">
      <protection locked="0"/>
    </xf>
    <xf numFmtId="0" fontId="35" fillId="8" borderId="63" xfId="13" applyFont="1" applyBorder="1">
      <alignment horizontal="left" vertical="center" wrapText="1"/>
    </xf>
    <xf numFmtId="0" fontId="35" fillId="8" borderId="64" xfId="13" applyFont="1" applyBorder="1">
      <alignment horizontal="left" vertical="center" wrapText="1"/>
    </xf>
    <xf numFmtId="0" fontId="36" fillId="8" borderId="64" xfId="5" applyFont="1" applyFill="1" applyBorder="1" applyAlignment="1" applyProtection="1">
      <alignment horizontal="right" vertical="center" wrapText="1"/>
      <protection locked="0"/>
    </xf>
    <xf numFmtId="0" fontId="36" fillId="8" borderId="65" xfId="5" applyFont="1" applyFill="1" applyBorder="1" applyAlignment="1" applyProtection="1">
      <alignment horizontal="right" vertical="center" wrapText="1"/>
      <protection locked="0"/>
    </xf>
    <xf numFmtId="0" fontId="23" fillId="0" borderId="67" xfId="0" applyFont="1" applyBorder="1" applyAlignment="1">
      <alignment horizontal="left" vertical="top" wrapText="1"/>
    </xf>
    <xf numFmtId="0" fontId="13" fillId="0" borderId="67" xfId="0" applyFont="1" applyBorder="1" applyAlignment="1">
      <alignment horizontal="center" vertical="center" wrapText="1"/>
    </xf>
    <xf numFmtId="1" fontId="26" fillId="10" borderId="15" xfId="9" applyFont="1" applyBorder="1" applyProtection="1">
      <alignment horizontal="center" vertical="center"/>
      <protection locked="0"/>
    </xf>
    <xf numFmtId="1" fontId="26" fillId="10" borderId="16" xfId="9" applyFont="1" applyBorder="1" applyProtection="1">
      <alignment horizontal="center" vertical="center"/>
      <protection locked="0"/>
    </xf>
    <xf numFmtId="0" fontId="23" fillId="0" borderId="32" xfId="0" applyFont="1" applyBorder="1" applyAlignment="1">
      <alignment horizontal="left" vertical="top" wrapText="1"/>
    </xf>
    <xf numFmtId="0" fontId="23" fillId="0" borderId="34" xfId="0" applyFont="1" applyBorder="1" applyAlignment="1" applyProtection="1">
      <alignment horizontal="left" vertical="top" wrapText="1"/>
    </xf>
    <xf numFmtId="49" fontId="23" fillId="0" borderId="87" xfId="0" applyNumberFormat="1" applyFont="1" applyBorder="1" applyAlignment="1" applyProtection="1">
      <alignment horizontal="center" vertical="center" wrapText="1"/>
      <protection locked="0"/>
    </xf>
    <xf numFmtId="49" fontId="23" fillId="0" borderId="13" xfId="0" applyNumberFormat="1" applyFont="1" applyBorder="1" applyAlignment="1" applyProtection="1">
      <alignment horizontal="center" vertical="center" wrapText="1"/>
      <protection locked="0"/>
    </xf>
    <xf numFmtId="0" fontId="23" fillId="0" borderId="105" xfId="0" applyFont="1" applyBorder="1" applyAlignment="1">
      <alignment vertical="top" wrapText="1"/>
    </xf>
    <xf numFmtId="0" fontId="30" fillId="0" borderId="396" xfId="0" applyFont="1" applyBorder="1" applyAlignment="1" applyProtection="1">
      <alignment horizontal="center" vertical="center" wrapText="1"/>
      <protection locked="0"/>
    </xf>
    <xf numFmtId="49" fontId="30" fillId="0" borderId="343" xfId="0" applyNumberFormat="1" applyFont="1" applyBorder="1" applyAlignment="1" applyProtection="1">
      <alignment horizontal="center" vertical="center" wrapText="1"/>
      <protection locked="0"/>
    </xf>
    <xf numFmtId="49" fontId="30" fillId="0" borderId="13" xfId="0" applyNumberFormat="1" applyFont="1" applyBorder="1" applyAlignment="1" applyProtection="1">
      <alignment horizontal="center" vertical="center" wrapText="1"/>
      <protection locked="0"/>
    </xf>
    <xf numFmtId="49" fontId="13" fillId="45" borderId="103" xfId="0" applyNumberFormat="1" applyFont="1" applyFill="1" applyBorder="1" applyAlignment="1" applyProtection="1">
      <alignment horizontal="center" vertical="center" wrapText="1"/>
      <protection locked="0"/>
    </xf>
    <xf numFmtId="49" fontId="13" fillId="45" borderId="349" xfId="0" applyNumberFormat="1" applyFont="1" applyFill="1" applyBorder="1" applyAlignment="1" applyProtection="1">
      <alignment horizontal="center" vertical="center" wrapText="1"/>
      <protection locked="0"/>
    </xf>
    <xf numFmtId="0" fontId="23" fillId="0" borderId="58" xfId="0" applyFont="1" applyBorder="1" applyAlignment="1">
      <alignment horizontal="left" vertical="top" wrapText="1"/>
    </xf>
    <xf numFmtId="167" fontId="23" fillId="0" borderId="0" xfId="0" applyNumberFormat="1" applyFont="1" applyBorder="1" applyAlignment="1">
      <alignment horizontal="center" vertical="top" wrapText="1"/>
    </xf>
    <xf numFmtId="167" fontId="23" fillId="0" borderId="26" xfId="0" applyNumberFormat="1" applyFont="1" applyBorder="1" applyAlignment="1">
      <alignment horizontal="center" vertical="top" wrapText="1"/>
    </xf>
    <xf numFmtId="0" fontId="23" fillId="0" borderId="0" xfId="0" applyFont="1" applyBorder="1" applyAlignment="1">
      <alignment horizontal="center" vertical="top" wrapText="1"/>
    </xf>
    <xf numFmtId="0" fontId="23" fillId="0" borderId="58" xfId="0" applyFont="1" applyBorder="1" applyAlignment="1">
      <alignment horizontal="center" vertical="top" wrapText="1"/>
    </xf>
    <xf numFmtId="167" fontId="23" fillId="0" borderId="18" xfId="0" applyNumberFormat="1" applyFont="1" applyBorder="1" applyAlignment="1">
      <alignment horizontal="center" vertical="top" wrapText="1"/>
    </xf>
    <xf numFmtId="167" fontId="23" fillId="0" borderId="86" xfId="0" applyNumberFormat="1" applyFont="1" applyBorder="1" applyAlignment="1">
      <alignment horizontal="center" vertical="top" wrapText="1"/>
    </xf>
    <xf numFmtId="0" fontId="23" fillId="0" borderId="67" xfId="0" applyFont="1" applyBorder="1" applyAlignment="1">
      <alignment horizontal="center" vertical="top" wrapText="1"/>
    </xf>
    <xf numFmtId="0" fontId="23" fillId="0" borderId="86" xfId="0" applyFont="1" applyBorder="1" applyAlignment="1">
      <alignment horizontal="center" vertical="top" wrapText="1"/>
    </xf>
    <xf numFmtId="0" fontId="30" fillId="0" borderId="397" xfId="0" applyFont="1" applyBorder="1" applyAlignment="1" applyProtection="1">
      <alignment horizontal="center" vertical="center" wrapText="1"/>
      <protection locked="0"/>
    </xf>
    <xf numFmtId="0" fontId="23" fillId="40" borderId="556" xfId="23" applyBorder="1" applyAlignment="1" applyProtection="1">
      <alignment horizontal="left" vertical="top" wrapText="1"/>
      <protection locked="0"/>
    </xf>
    <xf numFmtId="0" fontId="23" fillId="40" borderId="557" xfId="23" applyBorder="1" applyAlignment="1" applyProtection="1">
      <alignment horizontal="left" vertical="top" wrapText="1"/>
      <protection locked="0"/>
    </xf>
    <xf numFmtId="0" fontId="23" fillId="0" borderId="86" xfId="0" applyFont="1" applyBorder="1" applyAlignment="1">
      <alignment horizontal="left" vertical="top" wrapText="1"/>
    </xf>
    <xf numFmtId="167" fontId="27" fillId="11" borderId="21" xfId="10">
      <alignment horizontal="left" vertical="top" wrapText="1"/>
    </xf>
    <xf numFmtId="0" fontId="13" fillId="0" borderId="368" xfId="0" applyFont="1" applyBorder="1" applyAlignment="1">
      <alignment horizontal="center" vertical="center" wrapText="1"/>
    </xf>
    <xf numFmtId="0" fontId="13" fillId="0" borderId="94" xfId="0" applyFont="1" applyBorder="1" applyAlignment="1">
      <alignment horizontal="center" vertical="center" wrapText="1"/>
    </xf>
    <xf numFmtId="1" fontId="22" fillId="10" borderId="16" xfId="9" applyFont="1" applyBorder="1" applyAlignment="1" applyProtection="1">
      <alignment horizontal="center" vertical="center"/>
      <protection locked="0"/>
    </xf>
    <xf numFmtId="1" fontId="22" fillId="10" borderId="51" xfId="9" applyFont="1" applyBorder="1" applyAlignment="1" applyProtection="1">
      <alignment horizontal="center" vertical="center"/>
      <protection locked="0"/>
    </xf>
    <xf numFmtId="0" fontId="23" fillId="40" borderId="367" xfId="23" applyFont="1" applyBorder="1" applyAlignment="1" applyProtection="1">
      <alignment horizontal="left" vertical="top" wrapText="1"/>
      <protection locked="0"/>
    </xf>
    <xf numFmtId="0" fontId="23" fillId="40" borderId="67" xfId="23" applyFont="1" applyBorder="1" applyAlignment="1" applyProtection="1">
      <alignment horizontal="left" vertical="top" wrapText="1"/>
      <protection locked="0"/>
    </xf>
    <xf numFmtId="0" fontId="23" fillId="40" borderId="72" xfId="23" applyFont="1" applyBorder="1" applyAlignment="1" applyProtection="1">
      <alignment horizontal="left" vertical="top" wrapText="1"/>
      <protection locked="0"/>
    </xf>
    <xf numFmtId="0" fontId="23" fillId="40" borderId="58" xfId="23" applyFont="1" applyBorder="1" applyAlignment="1" applyProtection="1">
      <alignment horizontal="left" vertical="top" wrapText="1"/>
      <protection locked="0"/>
    </xf>
    <xf numFmtId="0" fontId="23" fillId="40" borderId="67" xfId="23" applyBorder="1" applyAlignment="1" applyProtection="1">
      <alignment horizontal="left" vertical="top" wrapText="1"/>
      <protection locked="0"/>
    </xf>
    <xf numFmtId="0" fontId="1" fillId="0" borderId="12" xfId="0" applyFont="1" applyBorder="1" applyAlignment="1">
      <alignment vertical="top"/>
    </xf>
    <xf numFmtId="0" fontId="21" fillId="0" borderId="69" xfId="12" applyFill="1" applyBorder="1" applyAlignment="1" applyProtection="1">
      <alignment horizontal="left" vertical="top" wrapText="1"/>
    </xf>
    <xf numFmtId="0" fontId="23" fillId="40" borderId="26" xfId="23" applyBorder="1" applyAlignment="1" applyProtection="1">
      <alignment horizontal="left" vertical="top" wrapText="1"/>
      <protection locked="0"/>
    </xf>
    <xf numFmtId="0" fontId="23" fillId="40" borderId="37" xfId="23" applyBorder="1" applyAlignment="1" applyProtection="1">
      <alignment horizontal="left" vertical="top" wrapText="1"/>
      <protection locked="0"/>
    </xf>
    <xf numFmtId="0" fontId="13" fillId="0" borderId="34" xfId="0" applyFont="1" applyBorder="1" applyAlignment="1" applyProtection="1">
      <alignment horizontal="center" vertical="center" wrapText="1"/>
    </xf>
    <xf numFmtId="0" fontId="13" fillId="0" borderId="0" xfId="0" applyFont="1" applyBorder="1" applyAlignment="1" applyProtection="1">
      <alignment horizontal="center" vertical="center" wrapText="1"/>
    </xf>
    <xf numFmtId="0" fontId="13" fillId="0" borderId="161" xfId="0" applyFont="1" applyBorder="1" applyAlignment="1" applyProtection="1">
      <alignment horizontal="center" vertical="center" wrapText="1"/>
    </xf>
    <xf numFmtId="0" fontId="23" fillId="0" borderId="39" xfId="0" applyFont="1" applyBorder="1" applyAlignment="1">
      <alignment horizontal="left" vertical="top"/>
    </xf>
    <xf numFmtId="0" fontId="23" fillId="0" borderId="34" xfId="0" applyFont="1" applyBorder="1" applyAlignment="1">
      <alignment horizontal="center" vertical="top"/>
    </xf>
    <xf numFmtId="0" fontId="23" fillId="0" borderId="0" xfId="0" applyFont="1" applyBorder="1" applyAlignment="1">
      <alignment horizontal="center" vertical="top"/>
    </xf>
    <xf numFmtId="0" fontId="21" fillId="0" borderId="0" xfId="12" applyFill="1" applyBorder="1" applyProtection="1">
      <alignment horizontal="left" vertical="top" wrapText="1"/>
    </xf>
    <xf numFmtId="0" fontId="21" fillId="0" borderId="18" xfId="12" applyFill="1" applyBorder="1" applyProtection="1">
      <alignment horizontal="left" vertical="top" wrapText="1"/>
    </xf>
    <xf numFmtId="0" fontId="23" fillId="0" borderId="18" xfId="0" applyFont="1" applyBorder="1" applyAlignment="1" applyProtection="1">
      <alignment vertical="top"/>
    </xf>
    <xf numFmtId="0" fontId="23" fillId="0" borderId="42" xfId="0" applyFont="1" applyBorder="1" applyAlignment="1" applyProtection="1">
      <alignment vertical="top" wrapText="1"/>
    </xf>
    <xf numFmtId="167" fontId="23" fillId="0" borderId="18" xfId="0" applyNumberFormat="1" applyFont="1" applyBorder="1" applyAlignment="1">
      <alignment horizontal="center" vertical="top"/>
    </xf>
    <xf numFmtId="167" fontId="23" fillId="0" borderId="26" xfId="0" applyNumberFormat="1" applyFont="1" applyBorder="1" applyAlignment="1">
      <alignment horizontal="center" vertical="top"/>
    </xf>
    <xf numFmtId="0" fontId="23" fillId="0" borderId="68" xfId="0" applyFont="1" applyBorder="1" applyAlignment="1">
      <alignment horizontal="left" vertical="top" wrapText="1"/>
    </xf>
    <xf numFmtId="0" fontId="23" fillId="0" borderId="69" xfId="0" applyFont="1" applyBorder="1" applyAlignment="1">
      <alignment horizontal="center" vertical="top" wrapText="1"/>
    </xf>
    <xf numFmtId="0" fontId="13" fillId="0" borderId="69" xfId="0" applyFont="1" applyBorder="1" applyAlignment="1" applyProtection="1">
      <alignment horizontal="center" vertical="center" wrapText="1"/>
    </xf>
    <xf numFmtId="0" fontId="30" fillId="0" borderId="87" xfId="0" applyFont="1" applyBorder="1" applyAlignment="1" applyProtection="1">
      <alignment horizontal="center" vertical="center" wrapText="1"/>
    </xf>
    <xf numFmtId="0" fontId="23" fillId="0" borderId="47" xfId="0" applyFont="1" applyBorder="1" applyAlignment="1">
      <alignment vertical="top" wrapText="1"/>
    </xf>
    <xf numFmtId="0" fontId="13" fillId="0" borderId="40" xfId="0" applyFont="1" applyBorder="1" applyAlignment="1">
      <alignment horizontal="center" vertical="center" wrapText="1"/>
    </xf>
    <xf numFmtId="0" fontId="13" fillId="0" borderId="50" xfId="0" applyFont="1" applyBorder="1" applyAlignment="1">
      <alignment horizontal="center" vertical="center" wrapText="1"/>
    </xf>
    <xf numFmtId="49" fontId="23" fillId="0" borderId="343" xfId="0" applyNumberFormat="1" applyFont="1" applyBorder="1" applyAlignment="1" applyProtection="1">
      <alignment horizontal="center" vertical="center" wrapText="1"/>
      <protection locked="0"/>
    </xf>
    <xf numFmtId="49" fontId="23" fillId="0" borderId="396" xfId="0" applyNumberFormat="1" applyFont="1" applyBorder="1" applyAlignment="1" applyProtection="1">
      <alignment horizontal="center" vertical="center" wrapText="1"/>
      <protection locked="0"/>
    </xf>
    <xf numFmtId="1" fontId="26" fillId="10" borderId="15" xfId="9" applyBorder="1">
      <alignment horizontal="center" vertical="center"/>
      <protection locked="0"/>
    </xf>
    <xf numFmtId="1" fontId="26" fillId="10" borderId="374" xfId="9" applyBorder="1">
      <alignment horizontal="center" vertical="center"/>
      <protection locked="0"/>
    </xf>
    <xf numFmtId="1" fontId="32" fillId="0" borderId="0" xfId="0" applyNumberFormat="1" applyFont="1" applyBorder="1" applyAlignment="1">
      <alignment horizontal="center" vertical="center" wrapText="1"/>
    </xf>
    <xf numFmtId="1" fontId="32" fillId="0" borderId="26" xfId="0" applyNumberFormat="1" applyFont="1" applyBorder="1" applyAlignment="1">
      <alignment horizontal="center" vertical="center" wrapText="1"/>
    </xf>
    <xf numFmtId="0" fontId="32" fillId="0" borderId="18" xfId="0" applyFont="1" applyBorder="1" applyAlignment="1">
      <alignment horizontal="center" vertical="center" wrapText="1"/>
    </xf>
    <xf numFmtId="0" fontId="32" fillId="0" borderId="26" xfId="0" applyFont="1" applyBorder="1" applyAlignment="1">
      <alignment horizontal="center" vertical="center" wrapText="1"/>
    </xf>
    <xf numFmtId="1" fontId="32" fillId="0" borderId="18" xfId="0" applyNumberFormat="1" applyFont="1" applyBorder="1" applyAlignment="1">
      <alignment horizontal="center" vertical="center" wrapText="1"/>
    </xf>
    <xf numFmtId="1" fontId="26" fillId="10" borderId="434" xfId="9" applyBorder="1">
      <alignment horizontal="center" vertical="center"/>
      <protection locked="0"/>
    </xf>
    <xf numFmtId="0" fontId="13" fillId="0" borderId="75" xfId="0" applyFont="1" applyBorder="1" applyAlignment="1">
      <alignment horizontal="center" vertical="center"/>
    </xf>
    <xf numFmtId="0" fontId="13" fillId="0" borderId="76" xfId="0" applyFont="1" applyBorder="1" applyAlignment="1">
      <alignment horizontal="center" vertical="center"/>
    </xf>
    <xf numFmtId="0" fontId="13" fillId="0" borderId="77" xfId="0" applyFont="1" applyBorder="1" applyAlignment="1">
      <alignment horizontal="center" vertical="center"/>
    </xf>
    <xf numFmtId="9" fontId="23" fillId="0" borderId="401" xfId="0" applyNumberFormat="1" applyFont="1" applyBorder="1" applyAlignment="1">
      <alignment horizontal="left" vertical="center" wrapText="1"/>
    </xf>
    <xf numFmtId="0" fontId="23" fillId="0" borderId="401" xfId="0" applyFont="1" applyBorder="1" applyAlignment="1">
      <alignment horizontal="left" vertical="center" wrapText="1"/>
    </xf>
    <xf numFmtId="0" fontId="23" fillId="0" borderId="81" xfId="0" applyFont="1" applyBorder="1" applyAlignment="1">
      <alignment horizontal="left" vertical="center" wrapText="1"/>
    </xf>
    <xf numFmtId="0" fontId="23" fillId="0" borderId="401" xfId="0" applyNumberFormat="1" applyFont="1" applyBorder="1" applyAlignment="1">
      <alignment horizontal="center" vertical="center"/>
    </xf>
    <xf numFmtId="0" fontId="23" fillId="0" borderId="488" xfId="0" applyNumberFormat="1" applyFont="1" applyBorder="1" applyAlignment="1">
      <alignment horizontal="center" vertical="center"/>
    </xf>
    <xf numFmtId="0" fontId="23" fillId="0" borderId="81" xfId="0" applyNumberFormat="1" applyFont="1" applyBorder="1" applyAlignment="1">
      <alignment horizontal="center" vertical="center"/>
    </xf>
    <xf numFmtId="0" fontId="23" fillId="0" borderId="82" xfId="0" applyNumberFormat="1" applyFont="1" applyBorder="1" applyAlignment="1">
      <alignment horizontal="center" vertical="center"/>
    </xf>
    <xf numFmtId="1" fontId="13" fillId="15" borderId="345" xfId="15" applyNumberFormat="1" applyFont="1" applyBorder="1" applyAlignment="1" applyProtection="1">
      <alignment horizontal="center" vertical="center"/>
    </xf>
    <xf numFmtId="1" fontId="13" fillId="15" borderId="344" xfId="15" applyNumberFormat="1" applyFont="1" applyBorder="1" applyAlignment="1" applyProtection="1">
      <alignment horizontal="center" vertical="center"/>
    </xf>
    <xf numFmtId="1" fontId="26" fillId="10" borderId="456" xfId="9" applyBorder="1">
      <alignment horizontal="center" vertical="center"/>
      <protection locked="0"/>
    </xf>
    <xf numFmtId="0" fontId="23" fillId="0" borderId="346" xfId="0" applyFont="1" applyBorder="1" applyAlignment="1">
      <alignment horizontal="left" vertical="top" wrapText="1"/>
    </xf>
    <xf numFmtId="0" fontId="13" fillId="0" borderId="0" xfId="0" applyFont="1" applyBorder="1" applyAlignment="1" applyProtection="1">
      <alignment horizontal="left" vertical="top" wrapText="1"/>
    </xf>
    <xf numFmtId="0" fontId="23" fillId="0" borderId="37" xfId="0" applyFont="1" applyBorder="1" applyAlignment="1">
      <alignment horizontal="left" vertical="top" wrapText="1"/>
    </xf>
    <xf numFmtId="0" fontId="23" fillId="0" borderId="39" xfId="0" applyFont="1" applyBorder="1" applyAlignment="1">
      <alignment horizontal="left" vertical="top" wrapText="1"/>
    </xf>
    <xf numFmtId="0" fontId="23" fillId="0" borderId="34" xfId="0" applyFont="1" applyBorder="1" applyAlignment="1">
      <alignment horizontal="center" vertical="top" wrapText="1"/>
    </xf>
    <xf numFmtId="0" fontId="3" fillId="0" borderId="69" xfId="0" applyFont="1" applyBorder="1" applyProtection="1"/>
    <xf numFmtId="0" fontId="3" fillId="0" borderId="161" xfId="0" applyFont="1" applyBorder="1" applyProtection="1"/>
    <xf numFmtId="0" fontId="13" fillId="0" borderId="34" xfId="0" applyFont="1" applyBorder="1" applyAlignment="1">
      <alignment horizontal="center" vertical="center" wrapText="1"/>
    </xf>
    <xf numFmtId="0" fontId="13" fillId="0" borderId="32" xfId="0" applyFont="1" applyBorder="1" applyAlignment="1">
      <alignment horizontal="center" vertical="center" wrapText="1"/>
    </xf>
    <xf numFmtId="0" fontId="23" fillId="0" borderId="54" xfId="0" applyFont="1" applyBorder="1" applyAlignment="1">
      <alignment horizontal="left" vertical="top" wrapText="1"/>
    </xf>
    <xf numFmtId="167" fontId="21" fillId="11" borderId="55" xfId="10" applyFont="1" applyBorder="1">
      <alignment horizontal="left" vertical="top" wrapText="1"/>
    </xf>
    <xf numFmtId="167" fontId="21" fillId="11" borderId="56" xfId="10" applyFont="1" applyBorder="1">
      <alignment horizontal="left" vertical="top" wrapText="1"/>
    </xf>
    <xf numFmtId="167" fontId="21" fillId="11" borderId="57" xfId="10" applyFont="1" applyBorder="1">
      <alignment horizontal="left" vertical="top" wrapText="1"/>
    </xf>
    <xf numFmtId="0" fontId="13" fillId="0" borderId="34" xfId="0" applyFont="1" applyBorder="1" applyAlignment="1" applyProtection="1">
      <alignment horizontal="left" vertical="top" wrapText="1"/>
    </xf>
    <xf numFmtId="0" fontId="30" fillId="0" borderId="118" xfId="0" applyFont="1" applyBorder="1" applyAlignment="1" applyProtection="1">
      <alignment horizontal="center" vertical="center" wrapText="1"/>
      <protection locked="0"/>
    </xf>
    <xf numFmtId="0" fontId="30" fillId="0" borderId="202" xfId="0" applyFont="1" applyBorder="1" applyAlignment="1" applyProtection="1">
      <alignment horizontal="center" vertical="center" wrapText="1"/>
      <protection locked="0"/>
    </xf>
    <xf numFmtId="167" fontId="23" fillId="0" borderId="67" xfId="0" applyNumberFormat="1" applyFont="1" applyBorder="1" applyAlignment="1">
      <alignment horizontal="center" vertical="top" wrapText="1"/>
    </xf>
    <xf numFmtId="0" fontId="0" fillId="0" borderId="61" xfId="0" applyBorder="1" applyAlignment="1">
      <alignment horizontal="left" wrapText="1"/>
    </xf>
    <xf numFmtId="0" fontId="0" fillId="0" borderId="0" xfId="0" applyBorder="1" applyAlignment="1">
      <alignment horizontal="left" wrapText="1"/>
    </xf>
    <xf numFmtId="0" fontId="23" fillId="40" borderId="53" xfId="23" applyBorder="1" applyAlignment="1" applyProtection="1">
      <alignment horizontal="left" vertical="top" wrapText="1"/>
      <protection locked="0"/>
    </xf>
    <xf numFmtId="0" fontId="23" fillId="40" borderId="34" xfId="23" applyBorder="1" applyAlignment="1" applyProtection="1">
      <alignment horizontal="left" vertical="top" wrapText="1"/>
      <protection locked="0"/>
    </xf>
    <xf numFmtId="0" fontId="23" fillId="40" borderId="116" xfId="23" applyBorder="1" applyAlignment="1" applyProtection="1">
      <alignment horizontal="left" vertical="top" wrapText="1"/>
      <protection locked="0"/>
    </xf>
    <xf numFmtId="1" fontId="26" fillId="10" borderId="52" xfId="9" applyFont="1" applyBorder="1" applyAlignment="1" applyProtection="1">
      <alignment horizontal="center" vertical="center"/>
      <protection locked="0"/>
    </xf>
    <xf numFmtId="1" fontId="26" fillId="10" borderId="93" xfId="9" applyFont="1" applyBorder="1" applyAlignment="1" applyProtection="1">
      <alignment horizontal="center" vertical="center"/>
      <protection locked="0"/>
    </xf>
    <xf numFmtId="0" fontId="30" fillId="0" borderId="372" xfId="0" applyFont="1" applyBorder="1" applyAlignment="1" applyProtection="1">
      <alignment horizontal="center" vertical="center" wrapText="1"/>
      <protection locked="0"/>
    </xf>
    <xf numFmtId="0" fontId="30" fillId="0" borderId="343" xfId="0" applyFont="1" applyBorder="1" applyAlignment="1" applyProtection="1">
      <alignment horizontal="center" vertical="center" wrapText="1"/>
      <protection locked="0"/>
    </xf>
    <xf numFmtId="0" fontId="13" fillId="0" borderId="24" xfId="0" applyFont="1" applyBorder="1" applyAlignment="1">
      <alignment horizontal="center" vertical="center" wrapText="1"/>
    </xf>
    <xf numFmtId="0" fontId="13" fillId="0" borderId="403" xfId="0" applyFont="1" applyBorder="1" applyAlignment="1">
      <alignment horizontal="center" vertical="center" wrapText="1"/>
    </xf>
    <xf numFmtId="0" fontId="21" fillId="0" borderId="12" xfId="4" quotePrefix="1" applyNumberFormat="1" applyFont="1" applyBorder="1" applyAlignment="1">
      <alignment horizontal="center" vertical="top"/>
    </xf>
    <xf numFmtId="167" fontId="21" fillId="0" borderId="0" xfId="4" applyNumberFormat="1" applyFont="1" applyBorder="1" applyAlignment="1">
      <alignment horizontal="center" vertical="top"/>
    </xf>
    <xf numFmtId="0" fontId="21" fillId="0" borderId="0" xfId="4" quotePrefix="1" applyNumberFormat="1" applyFont="1" applyBorder="1" applyAlignment="1">
      <alignment horizontal="center" vertical="top"/>
    </xf>
    <xf numFmtId="0" fontId="30" fillId="0" borderId="0" xfId="0" applyFont="1" applyBorder="1" applyAlignment="1">
      <alignment horizontal="left" vertical="top" wrapText="1"/>
    </xf>
    <xf numFmtId="49" fontId="0" fillId="0" borderId="13" xfId="0" applyNumberFormat="1" applyBorder="1" applyAlignment="1" applyProtection="1">
      <alignment horizontal="center" vertical="center" wrapText="1"/>
      <protection locked="0"/>
    </xf>
    <xf numFmtId="49" fontId="0" fillId="0" borderId="618" xfId="0" applyNumberFormat="1" applyBorder="1" applyAlignment="1" applyProtection="1">
      <alignment horizontal="center" vertical="center" wrapText="1"/>
      <protection locked="0"/>
    </xf>
    <xf numFmtId="49" fontId="0" fillId="0" borderId="590" xfId="0" applyNumberFormat="1" applyBorder="1" applyAlignment="1" applyProtection="1">
      <alignment horizontal="center" vertical="center" wrapText="1"/>
      <protection locked="0"/>
    </xf>
    <xf numFmtId="49" fontId="0" fillId="0" borderId="606" xfId="0" applyNumberFormat="1" applyBorder="1" applyAlignment="1" applyProtection="1">
      <alignment horizontal="center" vertical="center" wrapText="1"/>
      <protection locked="0"/>
    </xf>
    <xf numFmtId="0" fontId="23" fillId="40" borderId="591" xfId="23" applyBorder="1" applyAlignment="1" applyProtection="1">
      <alignment horizontal="left" vertical="top" wrapText="1"/>
      <protection locked="0"/>
    </xf>
    <xf numFmtId="0" fontId="23" fillId="40" borderId="157" xfId="23" applyBorder="1" applyAlignment="1" applyProtection="1">
      <alignment horizontal="left" vertical="top" wrapText="1"/>
      <protection locked="0"/>
    </xf>
    <xf numFmtId="0" fontId="32" fillId="0" borderId="24" xfId="0" applyFont="1" applyBorder="1" applyAlignment="1">
      <alignment horizontal="right" vertical="center" wrapText="1"/>
    </xf>
    <xf numFmtId="0" fontId="32" fillId="0" borderId="612" xfId="0" applyFont="1" applyBorder="1" applyAlignment="1">
      <alignment horizontal="right" vertical="center" wrapText="1"/>
    </xf>
    <xf numFmtId="1" fontId="26" fillId="10" borderId="16" xfId="9" applyBorder="1">
      <alignment horizontal="center" vertical="center"/>
      <protection locked="0"/>
    </xf>
    <xf numFmtId="0" fontId="13" fillId="0" borderId="591" xfId="0" applyFont="1" applyBorder="1" applyAlignment="1">
      <alignment horizontal="center" vertical="center" wrapText="1"/>
    </xf>
    <xf numFmtId="0" fontId="13" fillId="43" borderId="670" xfId="15" applyFill="1" applyBorder="1">
      <alignment horizontal="center" vertical="center"/>
    </xf>
    <xf numFmtId="0" fontId="13" fillId="43" borderId="671" xfId="15" applyFill="1" applyBorder="1">
      <alignment horizontal="center" vertical="center"/>
    </xf>
    <xf numFmtId="0" fontId="23" fillId="40" borderId="615" xfId="23" applyBorder="1" applyAlignment="1" applyProtection="1">
      <alignment horizontal="left" vertical="top" wrapText="1"/>
      <protection locked="0"/>
    </xf>
    <xf numFmtId="0" fontId="30" fillId="0" borderId="531" xfId="0" applyFont="1" applyBorder="1" applyAlignment="1">
      <alignment horizontal="center" vertical="center" wrapText="1"/>
    </xf>
    <xf numFmtId="0" fontId="30" fillId="0" borderId="59" xfId="0" applyFont="1" applyBorder="1" applyAlignment="1">
      <alignment horizontal="center" vertical="center" wrapText="1"/>
    </xf>
    <xf numFmtId="0" fontId="30" fillId="0" borderId="532" xfId="0" applyFont="1" applyBorder="1" applyAlignment="1">
      <alignment horizontal="center" vertical="center" wrapText="1"/>
    </xf>
    <xf numFmtId="0" fontId="30" fillId="0" borderId="533" xfId="0" applyFont="1" applyBorder="1" applyAlignment="1">
      <alignment horizontal="center" vertical="center" wrapText="1"/>
    </xf>
    <xf numFmtId="0" fontId="30" fillId="0" borderId="534" xfId="0" applyFont="1" applyBorder="1" applyAlignment="1">
      <alignment horizontal="center" vertical="center" wrapText="1"/>
    </xf>
    <xf numFmtId="0" fontId="30" fillId="0" borderId="535" xfId="0" applyFont="1" applyBorder="1" applyAlignment="1">
      <alignment horizontal="center" vertical="center" wrapText="1"/>
    </xf>
    <xf numFmtId="0" fontId="30" fillId="0" borderId="591" xfId="0" applyFont="1" applyBorder="1" applyAlignment="1">
      <alignment horizontal="left" vertical="top" wrapText="1"/>
    </xf>
    <xf numFmtId="0" fontId="30" fillId="0" borderId="668" xfId="0" applyFont="1" applyBorder="1" applyAlignment="1">
      <alignment horizontal="left" vertical="top" wrapText="1"/>
    </xf>
    <xf numFmtId="0" fontId="32" fillId="0" borderId="669" xfId="0" applyFont="1" applyBorder="1" applyAlignment="1">
      <alignment horizontal="right" vertical="center" wrapText="1"/>
    </xf>
    <xf numFmtId="1" fontId="26" fillId="45" borderId="15" xfId="9" applyFill="1" applyBorder="1" applyAlignment="1">
      <alignment horizontal="center" vertical="center" wrapText="1"/>
      <protection locked="0"/>
    </xf>
    <xf numFmtId="1" fontId="26" fillId="45" borderId="15" xfId="9" applyFill="1" applyBorder="1" applyAlignment="1" applyProtection="1">
      <alignment horizontal="center" vertical="center" wrapText="1"/>
      <protection locked="0"/>
    </xf>
    <xf numFmtId="0" fontId="22" fillId="0" borderId="67" xfId="4" applyNumberFormat="1" applyFont="1" applyBorder="1" applyAlignment="1">
      <alignment horizontal="center" vertical="center" wrapText="1"/>
    </xf>
    <xf numFmtId="0" fontId="22" fillId="0" borderId="0" xfId="4" applyNumberFormat="1" applyFont="1" applyBorder="1" applyAlignment="1">
      <alignment horizontal="center" vertical="center" wrapText="1"/>
    </xf>
    <xf numFmtId="0" fontId="13" fillId="15" borderId="120" xfId="15" applyBorder="1">
      <alignment horizontal="center" vertical="center"/>
    </xf>
    <xf numFmtId="0" fontId="21" fillId="0" borderId="12" xfId="4" quotePrefix="1" applyNumberFormat="1" applyFont="1" applyBorder="1" applyAlignment="1">
      <alignment horizontal="left" vertical="top"/>
    </xf>
    <xf numFmtId="0" fontId="23" fillId="40" borderId="394" xfId="23" applyBorder="1" applyAlignment="1" applyProtection="1">
      <alignment horizontal="left" vertical="top" wrapText="1"/>
      <protection locked="0"/>
    </xf>
    <xf numFmtId="0" fontId="23" fillId="40" borderId="395" xfId="23" applyBorder="1" applyAlignment="1" applyProtection="1">
      <alignment horizontal="left" vertical="top" wrapText="1"/>
      <protection locked="0"/>
    </xf>
    <xf numFmtId="0" fontId="0" fillId="0" borderId="610" xfId="0" applyBorder="1"/>
    <xf numFmtId="0" fontId="0" fillId="0" borderId="611" xfId="0" applyBorder="1"/>
    <xf numFmtId="0" fontId="23" fillId="40" borderId="583" xfId="23" applyBorder="1" applyAlignment="1" applyProtection="1">
      <alignment horizontal="left" vertical="top" wrapText="1"/>
      <protection locked="0"/>
    </xf>
    <xf numFmtId="0" fontId="23" fillId="40" borderId="584" xfId="23" applyBorder="1" applyAlignment="1" applyProtection="1">
      <alignment horizontal="left" vertical="top" wrapText="1"/>
      <protection locked="0"/>
    </xf>
    <xf numFmtId="0" fontId="23" fillId="40" borderId="151" xfId="23" applyBorder="1" applyAlignment="1" applyProtection="1">
      <alignment horizontal="left" vertical="top" wrapText="1"/>
      <protection locked="0"/>
    </xf>
    <xf numFmtId="0" fontId="17" fillId="0" borderId="67" xfId="5" applyFont="1" applyBorder="1" applyAlignment="1" applyProtection="1">
      <alignment horizontal="center" vertical="center" wrapText="1"/>
      <protection locked="0"/>
    </xf>
    <xf numFmtId="0" fontId="17" fillId="0" borderId="91" xfId="5" applyFont="1" applyBorder="1" applyAlignment="1" applyProtection="1">
      <alignment horizontal="center" vertical="center" wrapText="1"/>
      <protection locked="0"/>
    </xf>
    <xf numFmtId="167" fontId="27" fillId="11" borderId="55" xfId="10" applyBorder="1">
      <alignment horizontal="left" vertical="top" wrapText="1"/>
    </xf>
    <xf numFmtId="167" fontId="27" fillId="11" borderId="56" xfId="10" applyBorder="1">
      <alignment horizontal="left" vertical="top" wrapText="1"/>
    </xf>
    <xf numFmtId="167" fontId="27" fillId="11" borderId="57" xfId="10" applyBorder="1">
      <alignment horizontal="left" vertical="top" wrapText="1"/>
    </xf>
    <xf numFmtId="0" fontId="22" fillId="0" borderId="0" xfId="4" applyFont="1" applyBorder="1"/>
    <xf numFmtId="0" fontId="21" fillId="0" borderId="0" xfId="4" applyFont="1" applyBorder="1"/>
    <xf numFmtId="0" fontId="22" fillId="0" borderId="58" xfId="4" applyNumberFormat="1" applyFont="1" applyBorder="1" applyAlignment="1">
      <alignment horizontal="center" vertical="center" wrapText="1"/>
    </xf>
    <xf numFmtId="0" fontId="15" fillId="0" borderId="0" xfId="4" applyNumberFormat="1" applyFont="1" applyBorder="1" applyAlignment="1">
      <alignment vertical="top" wrapText="1"/>
    </xf>
    <xf numFmtId="0" fontId="32" fillId="0" borderId="624" xfId="0" applyFont="1" applyBorder="1" applyAlignment="1">
      <alignment horizontal="center" vertical="center" wrapText="1"/>
    </xf>
    <xf numFmtId="0" fontId="32" fillId="0" borderId="59" xfId="0" applyFont="1" applyBorder="1" applyAlignment="1">
      <alignment horizontal="center" vertical="center" wrapText="1"/>
    </xf>
    <xf numFmtId="0" fontId="32" fillId="0" borderId="564" xfId="0" applyFont="1" applyBorder="1" applyAlignment="1">
      <alignment horizontal="center" vertical="center" wrapText="1"/>
    </xf>
    <xf numFmtId="0" fontId="30" fillId="0" borderId="564" xfId="0" applyFont="1" applyBorder="1" applyAlignment="1">
      <alignment horizontal="center" vertical="center" wrapText="1"/>
    </xf>
    <xf numFmtId="0" fontId="30" fillId="0" borderId="627" xfId="0" applyFont="1" applyBorder="1" applyAlignment="1">
      <alignment horizontal="center" vertical="center" wrapText="1"/>
    </xf>
    <xf numFmtId="0" fontId="23" fillId="40" borderId="730" xfId="23" applyBorder="1" applyAlignment="1">
      <alignment horizontal="left" vertical="top" wrapText="1"/>
      <protection locked="0"/>
    </xf>
    <xf numFmtId="0" fontId="23" fillId="40" borderId="37" xfId="23" applyBorder="1" applyAlignment="1">
      <alignment horizontal="left" vertical="top" wrapText="1"/>
      <protection locked="0"/>
    </xf>
    <xf numFmtId="0" fontId="0" fillId="40" borderId="34" xfId="23" applyFont="1" applyBorder="1" applyAlignment="1" applyProtection="1">
      <alignment horizontal="left" vertical="top" wrapText="1"/>
      <protection locked="0"/>
    </xf>
    <xf numFmtId="0" fontId="23" fillId="40" borderId="412" xfId="23" applyBorder="1" applyAlignment="1" applyProtection="1">
      <alignment horizontal="left" vertical="top" wrapText="1"/>
      <protection locked="0"/>
    </xf>
    <xf numFmtId="0" fontId="23" fillId="40" borderId="413" xfId="23" applyBorder="1" applyAlignment="1" applyProtection="1">
      <alignment horizontal="left" vertical="top" wrapText="1"/>
      <protection locked="0"/>
    </xf>
    <xf numFmtId="0" fontId="22" fillId="0" borderId="34" xfId="4" applyNumberFormat="1" applyFont="1" applyBorder="1" applyAlignment="1">
      <alignment horizontal="center" vertical="center" wrapText="1"/>
    </xf>
    <xf numFmtId="167" fontId="21" fillId="0" borderId="591" xfId="4" applyNumberFormat="1" applyFont="1" applyBorder="1" applyAlignment="1">
      <alignment horizontal="center" vertical="top"/>
    </xf>
    <xf numFmtId="0" fontId="21" fillId="0" borderId="591" xfId="4" quotePrefix="1" applyNumberFormat="1" applyFont="1" applyBorder="1" applyAlignment="1">
      <alignment horizontal="left" vertical="top"/>
    </xf>
    <xf numFmtId="0" fontId="21" fillId="0" borderId="0" xfId="4" quotePrefix="1" applyNumberFormat="1" applyFont="1" applyBorder="1" applyAlignment="1">
      <alignment horizontal="left" vertical="top"/>
    </xf>
    <xf numFmtId="0" fontId="23" fillId="40" borderId="822" xfId="23" applyBorder="1" applyAlignment="1" applyProtection="1">
      <alignment horizontal="left" vertical="top" wrapText="1"/>
      <protection locked="0"/>
    </xf>
    <xf numFmtId="0" fontId="23" fillId="40" borderId="32" xfId="23" applyBorder="1" applyAlignment="1" applyProtection="1">
      <alignment horizontal="left" vertical="top" wrapText="1"/>
      <protection locked="0"/>
    </xf>
    <xf numFmtId="0" fontId="23" fillId="40" borderId="789" xfId="23" applyBorder="1" applyAlignment="1" applyProtection="1">
      <alignment horizontal="left" vertical="top" wrapText="1"/>
      <protection locked="0"/>
    </xf>
    <xf numFmtId="0" fontId="23" fillId="0" borderId="32" xfId="0" applyFont="1" applyBorder="1" applyAlignment="1">
      <alignment vertical="top"/>
    </xf>
    <xf numFmtId="0" fontId="23" fillId="0" borderId="823" xfId="0" applyFont="1" applyBorder="1" applyAlignment="1">
      <alignment vertical="top"/>
    </xf>
    <xf numFmtId="0" fontId="21" fillId="0" borderId="0" xfId="4" applyNumberFormat="1" applyFont="1" applyBorder="1" applyAlignment="1">
      <alignment vertical="top" wrapText="1"/>
    </xf>
    <xf numFmtId="0" fontId="21" fillId="0" borderId="0" xfId="4" quotePrefix="1" applyNumberFormat="1" applyFont="1" applyBorder="1" applyAlignment="1">
      <alignment vertical="top" wrapText="1"/>
    </xf>
    <xf numFmtId="0" fontId="21" fillId="0" borderId="67" xfId="4" applyNumberFormat="1" applyFont="1" applyBorder="1" applyAlignment="1">
      <alignment vertical="top" wrapText="1"/>
    </xf>
    <xf numFmtId="0" fontId="21" fillId="0" borderId="67" xfId="4" quotePrefix="1" applyNumberFormat="1" applyFont="1" applyBorder="1" applyAlignment="1">
      <alignment vertical="top" wrapText="1"/>
    </xf>
    <xf numFmtId="0" fontId="21" fillId="0" borderId="789" xfId="4" applyNumberFormat="1" applyFont="1" applyBorder="1" applyAlignment="1">
      <alignment vertical="top" wrapText="1"/>
    </xf>
    <xf numFmtId="0" fontId="21" fillId="0" borderId="789" xfId="4" quotePrefix="1" applyNumberFormat="1" applyFont="1" applyBorder="1" applyAlignment="1">
      <alignment vertical="top" wrapText="1"/>
    </xf>
    <xf numFmtId="0" fontId="22" fillId="0" borderId="34" xfId="4" applyNumberFormat="1" applyFont="1" applyBorder="1" applyAlignment="1" applyProtection="1">
      <alignment horizontal="left" vertical="top" wrapText="1"/>
    </xf>
    <xf numFmtId="0" fontId="21" fillId="0" borderId="59" xfId="4" quotePrefix="1" applyNumberFormat="1" applyFont="1" applyBorder="1" applyAlignment="1">
      <alignment horizontal="left" vertical="top" wrapText="1"/>
    </xf>
    <xf numFmtId="1" fontId="26" fillId="10" borderId="456" xfId="9" applyBorder="1" applyAlignment="1">
      <alignment horizontal="center" vertical="center" wrapText="1"/>
      <protection locked="0"/>
    </xf>
    <xf numFmtId="1" fontId="26" fillId="10" borderId="537" xfId="9" applyBorder="1" applyAlignment="1">
      <alignment horizontal="center" vertical="center" wrapText="1"/>
      <protection locked="0"/>
    </xf>
    <xf numFmtId="0" fontId="23" fillId="40" borderId="72" xfId="23" applyBorder="1" applyAlignment="1">
      <alignment horizontal="left" vertical="top" wrapText="1"/>
      <protection locked="0"/>
    </xf>
    <xf numFmtId="0" fontId="23" fillId="40" borderId="58" xfId="23" applyBorder="1" applyAlignment="1">
      <alignment horizontal="left" vertical="top" wrapText="1"/>
      <protection locked="0"/>
    </xf>
    <xf numFmtId="0" fontId="23" fillId="40" borderId="73" xfId="23" applyBorder="1" applyAlignment="1">
      <alignment horizontal="left" vertical="top" wrapText="1"/>
      <protection locked="0"/>
    </xf>
    <xf numFmtId="0" fontId="23" fillId="40" borderId="59" xfId="23" applyBorder="1" applyAlignment="1">
      <alignment horizontal="left" vertical="top" wrapText="1"/>
      <protection locked="0"/>
    </xf>
    <xf numFmtId="0" fontId="23" fillId="0" borderId="785" xfId="0" applyFont="1" applyBorder="1" applyAlignment="1">
      <alignment horizontal="center" vertical="center" wrapText="1"/>
    </xf>
    <xf numFmtId="0" fontId="23" fillId="0" borderId="797" xfId="0" applyFont="1" applyBorder="1" applyAlignment="1">
      <alignment horizontal="left" vertical="top"/>
    </xf>
    <xf numFmtId="0" fontId="23" fillId="0" borderId="785" xfId="0" applyFont="1" applyBorder="1" applyAlignment="1">
      <alignment horizontal="left" vertical="top"/>
    </xf>
    <xf numFmtId="0" fontId="15" fillId="0" borderId="13" xfId="4" applyFont="1" applyBorder="1" applyAlignment="1" applyProtection="1">
      <alignment horizontal="center" vertical="center" wrapText="1"/>
      <protection locked="0"/>
    </xf>
    <xf numFmtId="0" fontId="15" fillId="0" borderId="396" xfId="4" applyFont="1" applyBorder="1" applyAlignment="1" applyProtection="1">
      <alignment horizontal="center" vertical="center" wrapText="1"/>
      <protection locked="0"/>
    </xf>
    <xf numFmtId="49" fontId="0" fillId="0" borderId="343" xfId="0" applyNumberFormat="1" applyBorder="1" applyAlignment="1" applyProtection="1">
      <alignment horizontal="center" vertical="center" wrapText="1"/>
      <protection locked="0"/>
    </xf>
    <xf numFmtId="49" fontId="0" fillId="0" borderId="396" xfId="0" applyNumberFormat="1" applyBorder="1" applyAlignment="1" applyProtection="1">
      <alignment horizontal="center" vertical="center" wrapText="1"/>
      <protection locked="0"/>
    </xf>
    <xf numFmtId="0" fontId="21" fillId="0" borderId="67" xfId="4" applyFont="1" applyBorder="1" applyAlignment="1" applyProtection="1">
      <alignment horizontal="left" vertical="center" wrapText="1"/>
    </xf>
    <xf numFmtId="0" fontId="23" fillId="40" borderId="58" xfId="23" applyBorder="1">
      <alignment horizontal="left" vertical="top" wrapText="1"/>
      <protection locked="0"/>
    </xf>
    <xf numFmtId="0" fontId="30" fillId="0" borderId="801" xfId="0" applyFont="1" applyBorder="1" applyAlignment="1" applyProtection="1">
      <alignment horizontal="center" vertical="center" wrapText="1"/>
      <protection locked="0"/>
    </xf>
    <xf numFmtId="0" fontId="15" fillId="0" borderId="343" xfId="4" applyFont="1" applyBorder="1" applyAlignment="1" applyProtection="1">
      <alignment horizontal="center" vertical="center" wrapText="1"/>
      <protection locked="0"/>
    </xf>
    <xf numFmtId="0" fontId="15" fillId="0" borderId="787" xfId="4" applyFont="1" applyBorder="1" applyAlignment="1" applyProtection="1">
      <alignment horizontal="center" vertical="center" wrapText="1"/>
      <protection locked="0"/>
    </xf>
    <xf numFmtId="0" fontId="23" fillId="0" borderId="67" xfId="0" applyFont="1" applyBorder="1" applyAlignment="1" applyProtection="1">
      <alignment horizontal="center" vertical="center" wrapText="1"/>
    </xf>
    <xf numFmtId="0" fontId="23" fillId="0" borderId="91" xfId="0" applyFont="1" applyBorder="1" applyAlignment="1" applyProtection="1">
      <alignment horizontal="center" vertical="center" wrapText="1"/>
    </xf>
    <xf numFmtId="0" fontId="21" fillId="0" borderId="342" xfId="4" quotePrefix="1" applyNumberFormat="1" applyFont="1" applyBorder="1" applyAlignment="1">
      <alignment horizontal="left" vertical="top"/>
    </xf>
    <xf numFmtId="0" fontId="21" fillId="0" borderId="67" xfId="4" quotePrefix="1" applyNumberFormat="1" applyFont="1" applyBorder="1" applyAlignment="1">
      <alignment horizontal="left" vertical="top"/>
    </xf>
    <xf numFmtId="1" fontId="26" fillId="45" borderId="16" xfId="9" applyFill="1" applyBorder="1" applyAlignment="1" applyProtection="1">
      <alignment horizontal="center" vertical="center" wrapText="1"/>
      <protection locked="0"/>
    </xf>
    <xf numFmtId="1" fontId="26" fillId="45" borderId="51" xfId="9" applyFill="1" applyBorder="1" applyAlignment="1" applyProtection="1">
      <alignment horizontal="center" vertical="center" wrapText="1"/>
      <protection locked="0"/>
    </xf>
    <xf numFmtId="0" fontId="13" fillId="15" borderId="120" xfId="15" applyBorder="1" applyProtection="1">
      <alignment horizontal="center" vertical="center"/>
    </xf>
    <xf numFmtId="0" fontId="13" fillId="15" borderId="364" xfId="15" applyBorder="1" applyProtection="1">
      <alignment horizontal="center" vertical="center"/>
    </xf>
    <xf numFmtId="49" fontId="20" fillId="52" borderId="551" xfId="7" applyBorder="1">
      <alignment horizontal="left" vertical="center" wrapText="1"/>
    </xf>
    <xf numFmtId="0" fontId="23" fillId="40" borderId="359" xfId="23" applyBorder="1" applyAlignment="1">
      <alignment horizontal="left" vertical="top" wrapText="1"/>
      <protection locked="0"/>
    </xf>
    <xf numFmtId="0" fontId="0" fillId="0" borderId="13" xfId="0" applyBorder="1" applyAlignment="1" applyProtection="1">
      <alignment horizontal="center" vertical="center"/>
      <protection locked="0"/>
    </xf>
    <xf numFmtId="0" fontId="0" fillId="0" borderId="397" xfId="0" applyBorder="1" applyAlignment="1" applyProtection="1">
      <alignment horizontal="center" vertical="center"/>
      <protection locked="0"/>
    </xf>
    <xf numFmtId="0" fontId="21" fillId="0" borderId="68" xfId="4" quotePrefix="1" applyNumberFormat="1" applyFont="1" applyBorder="1" applyAlignment="1" applyProtection="1">
      <alignment horizontal="left" vertical="top"/>
    </xf>
    <xf numFmtId="0" fontId="21" fillId="0" borderId="83" xfId="4" quotePrefix="1" applyNumberFormat="1" applyFont="1" applyBorder="1" applyAlignment="1" applyProtection="1">
      <alignment horizontal="left" vertical="top"/>
    </xf>
    <xf numFmtId="0" fontId="21" fillId="0" borderId="69" xfId="4" quotePrefix="1" applyNumberFormat="1" applyFont="1" applyBorder="1" applyAlignment="1" applyProtection="1">
      <alignment horizontal="left" vertical="top"/>
    </xf>
    <xf numFmtId="0" fontId="21" fillId="0" borderId="86" xfId="4" quotePrefix="1" applyNumberFormat="1" applyFont="1" applyBorder="1" applyAlignment="1" applyProtection="1">
      <alignment horizontal="left" vertical="top"/>
    </xf>
    <xf numFmtId="0" fontId="21" fillId="0" borderId="68" xfId="4" quotePrefix="1" applyNumberFormat="1" applyFont="1" applyBorder="1" applyAlignment="1">
      <alignment horizontal="left" vertical="top"/>
    </xf>
    <xf numFmtId="0" fontId="21" fillId="0" borderId="69" xfId="4" quotePrefix="1" applyNumberFormat="1" applyFont="1" applyBorder="1" applyAlignment="1">
      <alignment horizontal="left" vertical="top"/>
    </xf>
    <xf numFmtId="1" fontId="27" fillId="10" borderId="414" xfId="9" applyFont="1" applyBorder="1" applyAlignment="1">
      <alignment horizontal="left" vertical="top" wrapText="1"/>
      <protection locked="0"/>
    </xf>
    <xf numFmtId="1" fontId="27" fillId="10" borderId="665" xfId="9" applyFont="1" applyBorder="1" applyAlignment="1">
      <alignment horizontal="left" vertical="top" wrapText="1"/>
      <protection locked="0"/>
    </xf>
    <xf numFmtId="1" fontId="27" fillId="10" borderId="623" xfId="9" applyFont="1" applyBorder="1" applyAlignment="1">
      <alignment horizontal="left" vertical="top" wrapText="1"/>
      <protection locked="0"/>
    </xf>
    <xf numFmtId="1" fontId="27" fillId="10" borderId="666" xfId="9" applyFont="1" applyBorder="1" applyAlignment="1">
      <alignment horizontal="left" vertical="top" wrapText="1"/>
      <protection locked="0"/>
    </xf>
    <xf numFmtId="0" fontId="22" fillId="0" borderId="0" xfId="4" quotePrefix="1" applyFont="1" applyBorder="1" applyAlignment="1">
      <alignment horizontal="right" vertical="center" wrapText="1"/>
    </xf>
    <xf numFmtId="0" fontId="21" fillId="0" borderId="69" xfId="4" applyNumberFormat="1" applyFont="1" applyBorder="1" applyAlignment="1">
      <alignment vertical="top" wrapText="1"/>
    </xf>
    <xf numFmtId="0" fontId="21" fillId="0" borderId="69" xfId="4" quotePrefix="1" applyNumberFormat="1" applyFont="1" applyBorder="1" applyAlignment="1">
      <alignment vertical="top" wrapText="1"/>
    </xf>
    <xf numFmtId="0" fontId="0" fillId="0" borderId="87" xfId="0" applyBorder="1" applyAlignment="1" applyProtection="1">
      <alignment horizontal="center" vertical="center"/>
      <protection locked="0"/>
    </xf>
    <xf numFmtId="49" fontId="0" fillId="0" borderId="87" xfId="0" applyNumberFormat="1" applyBorder="1" applyAlignment="1" applyProtection="1">
      <alignment horizontal="center" vertical="center"/>
      <protection locked="0"/>
    </xf>
    <xf numFmtId="49" fontId="0" fillId="0" borderId="396" xfId="0" applyNumberFormat="1" applyBorder="1" applyAlignment="1" applyProtection="1">
      <alignment horizontal="center" vertical="center"/>
      <protection locked="0"/>
    </xf>
    <xf numFmtId="1" fontId="22" fillId="0" borderId="69" xfId="4" applyNumberFormat="1" applyFont="1" applyBorder="1" applyAlignment="1">
      <alignment horizontal="center" vertical="center" wrapText="1"/>
    </xf>
    <xf numFmtId="1" fontId="22" fillId="0" borderId="0" xfId="4" applyNumberFormat="1" applyFont="1" applyBorder="1" applyAlignment="1">
      <alignment horizontal="center" vertical="center" wrapText="1"/>
    </xf>
    <xf numFmtId="1" fontId="26" fillId="10" borderId="414" xfId="9" applyBorder="1">
      <alignment horizontal="center" vertical="center"/>
      <protection locked="0"/>
    </xf>
    <xf numFmtId="0" fontId="23" fillId="0" borderId="795" xfId="0" applyFont="1" applyBorder="1" applyAlignment="1" applyProtection="1">
      <alignment vertical="top"/>
    </xf>
    <xf numFmtId="0" fontId="30" fillId="0" borderId="781" xfId="0" applyFont="1" applyBorder="1" applyAlignment="1" applyProtection="1">
      <alignment horizontal="center" vertical="center" wrapText="1"/>
      <protection locked="0"/>
    </xf>
    <xf numFmtId="0" fontId="0" fillId="0" borderId="34" xfId="0" applyBorder="1" applyAlignment="1">
      <alignment vertical="top"/>
    </xf>
    <xf numFmtId="0" fontId="21" fillId="0" borderId="730" xfId="4" quotePrefix="1" applyNumberFormat="1" applyFont="1" applyBorder="1" applyAlignment="1">
      <alignment vertical="top" wrapText="1"/>
    </xf>
    <xf numFmtId="0" fontId="21" fillId="0" borderId="828" xfId="4" quotePrefix="1" applyNumberFormat="1" applyFont="1" applyBorder="1" applyAlignment="1">
      <alignment vertical="top" wrapText="1"/>
    </xf>
    <xf numFmtId="0" fontId="22" fillId="0" borderId="67" xfId="4" applyNumberFormat="1" applyFont="1" applyBorder="1" applyAlignment="1" applyProtection="1">
      <alignment vertical="top" wrapText="1"/>
      <protection locked="0"/>
    </xf>
    <xf numFmtId="0" fontId="21" fillId="0" borderId="30" xfId="4" applyNumberFormat="1" applyFont="1" applyBorder="1" applyAlignment="1">
      <alignment vertical="top" wrapText="1"/>
    </xf>
    <xf numFmtId="0" fontId="21" fillId="0" borderId="30" xfId="4" quotePrefix="1" applyNumberFormat="1" applyFont="1" applyBorder="1" applyAlignment="1">
      <alignment vertical="top" wrapText="1"/>
    </xf>
    <xf numFmtId="0" fontId="14" fillId="0" borderId="0" xfId="4" applyFont="1" applyBorder="1" applyAlignment="1">
      <alignment horizontal="center" vertical="center" wrapText="1"/>
    </xf>
    <xf numFmtId="0" fontId="23" fillId="0" borderId="32" xfId="0" applyFont="1" applyBorder="1" applyAlignment="1">
      <alignment vertical="top" wrapText="1"/>
    </xf>
    <xf numFmtId="0" fontId="21" fillId="0" borderId="26" xfId="4" applyNumberFormat="1" applyFont="1" applyBorder="1" applyAlignment="1">
      <alignment horizontal="left" vertical="top" wrapText="1"/>
    </xf>
    <xf numFmtId="0" fontId="21" fillId="0" borderId="785" xfId="4" quotePrefix="1" applyNumberFormat="1" applyFont="1" applyBorder="1" applyAlignment="1">
      <alignment vertical="top" wrapText="1"/>
    </xf>
    <xf numFmtId="49" fontId="48" fillId="0" borderId="67" xfId="4" applyNumberFormat="1" applyFont="1" applyBorder="1" applyAlignment="1">
      <alignment horizontal="center" vertical="center" wrapText="1"/>
    </xf>
    <xf numFmtId="49" fontId="48" fillId="0" borderId="0" xfId="4" applyNumberFormat="1" applyFont="1" applyBorder="1" applyAlignment="1">
      <alignment horizontal="center" vertical="center" wrapText="1"/>
    </xf>
    <xf numFmtId="0" fontId="32" fillId="0" borderId="625" xfId="0" applyFont="1" applyBorder="1" applyAlignment="1">
      <alignment horizontal="center" vertical="center" wrapText="1"/>
    </xf>
    <xf numFmtId="0" fontId="32" fillId="0" borderId="622" xfId="0" applyFont="1" applyBorder="1" applyAlignment="1">
      <alignment horizontal="center" vertical="center" wrapText="1"/>
    </xf>
    <xf numFmtId="0" fontId="32" fillId="0" borderId="614" xfId="0" applyFont="1" applyBorder="1" applyAlignment="1">
      <alignment horizontal="center" vertical="center" wrapText="1"/>
    </xf>
    <xf numFmtId="167" fontId="49" fillId="11" borderId="619" xfId="10" applyFont="1" applyBorder="1" applyAlignment="1">
      <alignment horizontal="left" vertical="center" wrapText="1"/>
    </xf>
    <xf numFmtId="167" fontId="49" fillId="11" borderId="620" xfId="10" applyFont="1" applyBorder="1" applyAlignment="1">
      <alignment horizontal="left" vertical="center" wrapText="1"/>
    </xf>
    <xf numFmtId="167" fontId="49" fillId="11" borderId="621" xfId="10" applyFont="1" applyBorder="1" applyAlignment="1">
      <alignment horizontal="left" vertical="center" wrapText="1"/>
    </xf>
    <xf numFmtId="0" fontId="32" fillId="0" borderId="75" xfId="0" applyFont="1" applyBorder="1" applyAlignment="1">
      <alignment horizontal="right" vertical="top" wrapText="1"/>
    </xf>
    <xf numFmtId="0" fontId="32" fillId="0" borderId="76" xfId="0" applyFont="1" applyBorder="1" applyAlignment="1">
      <alignment horizontal="right" vertical="top" wrapText="1"/>
    </xf>
    <xf numFmtId="0" fontId="32" fillId="0" borderId="792" xfId="0" applyFont="1" applyBorder="1" applyAlignment="1">
      <alignment horizontal="left" vertical="top" wrapText="1"/>
    </xf>
    <xf numFmtId="0" fontId="32" fillId="0" borderId="734" xfId="0" applyFont="1" applyBorder="1" applyAlignment="1">
      <alignment horizontal="left" vertical="top" wrapText="1"/>
    </xf>
    <xf numFmtId="0" fontId="32" fillId="0" borderId="825" xfId="0" applyFont="1" applyBorder="1" applyAlignment="1">
      <alignment horizontal="left" vertical="top" wrapText="1"/>
    </xf>
    <xf numFmtId="0" fontId="32" fillId="0" borderId="826" xfId="0" applyFont="1" applyBorder="1" applyAlignment="1">
      <alignment horizontal="left" vertical="top" wrapText="1"/>
    </xf>
    <xf numFmtId="0" fontId="32" fillId="0" borderId="613" xfId="0" applyFont="1" applyBorder="1" applyAlignment="1">
      <alignment horizontal="center" vertical="center" wrapText="1"/>
    </xf>
    <xf numFmtId="0" fontId="32" fillId="0" borderId="100" xfId="0" applyFont="1" applyBorder="1" applyAlignment="1">
      <alignment horizontal="center" vertical="center" wrapText="1"/>
    </xf>
    <xf numFmtId="0" fontId="32" fillId="0" borderId="101" xfId="0" applyFont="1" applyBorder="1" applyAlignment="1">
      <alignment horizontal="center" vertical="center" wrapText="1"/>
    </xf>
    <xf numFmtId="0" fontId="32" fillId="0" borderId="369" xfId="0" applyFont="1" applyBorder="1" applyAlignment="1">
      <alignment horizontal="center" vertical="center" wrapText="1"/>
    </xf>
    <xf numFmtId="0" fontId="32" fillId="0" borderId="370" xfId="0" applyFont="1" applyBorder="1" applyAlignment="1">
      <alignment horizontal="center" vertical="center" wrapText="1"/>
    </xf>
    <xf numFmtId="167" fontId="49" fillId="11" borderId="616" xfId="10" applyFont="1" applyBorder="1" applyAlignment="1">
      <alignment horizontal="left" vertical="center" wrapText="1"/>
    </xf>
    <xf numFmtId="167" fontId="49" fillId="11" borderId="615" xfId="10" applyFont="1" applyBorder="1" applyAlignment="1">
      <alignment horizontal="left" vertical="center" wrapText="1"/>
    </xf>
    <xf numFmtId="167" fontId="49" fillId="11" borderId="617" xfId="10" applyFont="1" applyBorder="1" applyAlignment="1">
      <alignment horizontal="left" vertical="center" wrapText="1"/>
    </xf>
    <xf numFmtId="0" fontId="32" fillId="0" borderId="626" xfId="0" applyFont="1" applyBorder="1" applyAlignment="1">
      <alignment horizontal="center" vertical="center" wrapText="1"/>
    </xf>
    <xf numFmtId="49" fontId="0" fillId="0" borderId="343" xfId="0" applyNumberFormat="1" applyBorder="1" applyAlignment="1" applyProtection="1">
      <alignment horizontal="center" vertical="center"/>
      <protection locked="0"/>
    </xf>
    <xf numFmtId="49" fontId="0" fillId="0" borderId="13" xfId="0" applyNumberFormat="1" applyBorder="1" applyAlignment="1" applyProtection="1">
      <alignment horizontal="center" vertical="center"/>
      <protection locked="0"/>
    </xf>
    <xf numFmtId="0" fontId="23" fillId="40" borderId="730" xfId="23" applyBorder="1" applyAlignment="1" applyProtection="1">
      <alignment horizontal="left" vertical="top" wrapText="1"/>
      <protection locked="0"/>
    </xf>
    <xf numFmtId="0" fontId="23" fillId="40" borderId="785" xfId="23" applyBorder="1" applyAlignment="1" applyProtection="1">
      <alignment horizontal="left" vertical="top" wrapText="1"/>
      <protection locked="0"/>
    </xf>
    <xf numFmtId="2" fontId="21" fillId="0" borderId="417" xfId="4" quotePrefix="1" applyNumberFormat="1" applyFont="1" applyBorder="1" applyAlignment="1">
      <alignment horizontal="left" vertical="top"/>
    </xf>
    <xf numFmtId="2" fontId="21" fillId="0" borderId="413" xfId="4" quotePrefix="1" applyNumberFormat="1" applyFont="1" applyBorder="1" applyAlignment="1">
      <alignment horizontal="left" vertical="top"/>
    </xf>
    <xf numFmtId="2" fontId="21" fillId="0" borderId="791" xfId="4" applyNumberFormat="1" applyFont="1" applyBorder="1" applyAlignment="1">
      <alignment horizontal="left" vertical="top"/>
    </xf>
    <xf numFmtId="2" fontId="21" fillId="0" borderId="34" xfId="4" applyNumberFormat="1" applyFont="1" applyBorder="1" applyAlignment="1">
      <alignment horizontal="left" vertical="top"/>
    </xf>
    <xf numFmtId="0" fontId="15" fillId="0" borderId="781" xfId="4" applyFont="1" applyBorder="1" applyAlignment="1" applyProtection="1">
      <alignment horizontal="center" vertical="center" wrapText="1"/>
      <protection locked="0"/>
    </xf>
    <xf numFmtId="0" fontId="21" fillId="0" borderId="0" xfId="4" applyFont="1" applyBorder="1" applyAlignment="1" applyProtection="1">
      <alignment horizontal="left" vertical="top" wrapText="1"/>
    </xf>
    <xf numFmtId="0" fontId="21" fillId="0" borderId="34" xfId="4" applyNumberFormat="1" applyFont="1" applyBorder="1" applyAlignment="1">
      <alignment vertical="top" wrapText="1"/>
    </xf>
    <xf numFmtId="0" fontId="21" fillId="0" borderId="806" xfId="4" applyNumberFormat="1" applyFont="1" applyBorder="1" applyAlignment="1">
      <alignment horizontal="center" vertical="center" wrapText="1"/>
    </xf>
    <xf numFmtId="0" fontId="21" fillId="0" borderId="734" xfId="4" quotePrefix="1" applyNumberFormat="1" applyFont="1" applyBorder="1" applyAlignment="1">
      <alignment horizontal="center" vertical="center" wrapText="1"/>
    </xf>
    <xf numFmtId="0" fontId="21" fillId="0" borderId="814" xfId="4" applyFont="1" applyBorder="1" applyAlignment="1">
      <alignment horizontal="center" vertical="center"/>
    </xf>
    <xf numFmtId="0" fontId="21" fillId="0" borderId="815" xfId="4" applyFont="1" applyBorder="1" applyAlignment="1">
      <alignment horizontal="center" vertical="center"/>
    </xf>
    <xf numFmtId="0" fontId="21" fillId="0" borderId="808" xfId="4" applyNumberFormat="1" applyFont="1" applyBorder="1" applyAlignment="1">
      <alignment horizontal="center" vertical="center" wrapText="1"/>
    </xf>
    <xf numFmtId="0" fontId="21" fillId="0" borderId="734" xfId="4" applyNumberFormat="1" applyFont="1" applyBorder="1" applyAlignment="1">
      <alignment horizontal="center" vertical="center" wrapText="1"/>
    </xf>
    <xf numFmtId="0" fontId="21" fillId="0" borderId="811" xfId="4" applyNumberFormat="1" applyFont="1" applyBorder="1" applyAlignment="1">
      <alignment horizontal="center" vertical="center" wrapText="1"/>
    </xf>
    <xf numFmtId="0" fontId="21" fillId="0" borderId="812" xfId="4" applyNumberFormat="1" applyFont="1" applyBorder="1" applyAlignment="1">
      <alignment horizontal="center" vertical="center" wrapText="1"/>
    </xf>
    <xf numFmtId="0" fontId="8" fillId="17" borderId="387" xfId="4" applyNumberFormat="1" applyFont="1" applyFill="1" applyBorder="1" applyAlignment="1">
      <alignment horizontal="center" vertical="center" wrapText="1"/>
    </xf>
    <xf numFmtId="0" fontId="8" fillId="17" borderId="223" xfId="4" quotePrefix="1" applyNumberFormat="1" applyFont="1" applyFill="1" applyBorder="1" applyAlignment="1">
      <alignment horizontal="center" vertical="center" wrapText="1"/>
    </xf>
    <xf numFmtId="0" fontId="21" fillId="0" borderId="806" xfId="4" quotePrefix="1" applyNumberFormat="1" applyFont="1" applyBorder="1" applyAlignment="1">
      <alignment horizontal="center" vertical="center" wrapText="1"/>
    </xf>
    <xf numFmtId="0" fontId="21" fillId="0" borderId="34" xfId="4" quotePrefix="1" applyNumberFormat="1" applyFont="1" applyBorder="1" applyAlignment="1">
      <alignment vertical="top" wrapText="1"/>
    </xf>
    <xf numFmtId="0" fontId="21" fillId="0" borderId="791" xfId="4" quotePrefix="1" applyNumberFormat="1" applyFont="1" applyBorder="1" applyAlignment="1">
      <alignment horizontal="left" vertical="top"/>
    </xf>
    <xf numFmtId="0" fontId="21" fillId="0" borderId="34" xfId="4" quotePrefix="1" applyNumberFormat="1" applyFont="1" applyBorder="1" applyAlignment="1">
      <alignment horizontal="left" vertical="top"/>
    </xf>
    <xf numFmtId="0" fontId="30" fillId="0" borderId="153" xfId="0" applyFont="1" applyBorder="1" applyAlignment="1">
      <alignment horizontal="center" vertical="center" wrapText="1"/>
    </xf>
    <xf numFmtId="0" fontId="30" fillId="0" borderId="0" xfId="0" applyFont="1" applyBorder="1" applyAlignment="1">
      <alignment horizontal="center" vertical="center" wrapText="1"/>
    </xf>
    <xf numFmtId="0" fontId="30" fillId="0" borderId="13" xfId="0" applyFont="1" applyBorder="1" applyAlignment="1">
      <alignment horizontal="center" vertical="center" wrapText="1"/>
    </xf>
    <xf numFmtId="0" fontId="26" fillId="0" borderId="12" xfId="11" applyFill="1" applyBorder="1">
      <alignment horizontal="right" vertical="top"/>
    </xf>
    <xf numFmtId="0" fontId="26" fillId="0" borderId="0" xfId="11" applyFill="1" applyBorder="1">
      <alignment horizontal="right" vertical="top"/>
    </xf>
    <xf numFmtId="0" fontId="26" fillId="0" borderId="13" xfId="11" applyFill="1" applyBorder="1">
      <alignment horizontal="right" vertical="top"/>
    </xf>
    <xf numFmtId="0" fontId="30" fillId="0" borderId="156" xfId="0" applyFont="1" applyBorder="1" applyAlignment="1">
      <alignment horizontal="left" vertical="top" wrapText="1"/>
    </xf>
    <xf numFmtId="0" fontId="30" fillId="0" borderId="157" xfId="0" applyFont="1" applyBorder="1" applyAlignment="1">
      <alignment horizontal="left" vertical="top" wrapText="1"/>
    </xf>
    <xf numFmtId="0" fontId="30" fillId="0" borderId="158" xfId="0" applyFont="1" applyBorder="1" applyAlignment="1">
      <alignment horizontal="left" vertical="top" wrapText="1"/>
    </xf>
    <xf numFmtId="0" fontId="13" fillId="0" borderId="0" xfId="0" applyFont="1" applyBorder="1" applyAlignment="1">
      <alignment horizontal="left" vertical="top" wrapText="1"/>
    </xf>
    <xf numFmtId="0" fontId="23" fillId="0" borderId="802" xfId="0" applyFont="1" applyBorder="1" applyAlignment="1">
      <alignment horizontal="center" vertical="center" wrapText="1"/>
    </xf>
    <xf numFmtId="0" fontId="23" fillId="0" borderId="734" xfId="0" applyFont="1" applyBorder="1" applyAlignment="1">
      <alignment horizontal="center" vertical="center" wrapText="1"/>
    </xf>
    <xf numFmtId="0" fontId="23" fillId="0" borderId="803" xfId="0" applyFont="1" applyBorder="1" applyAlignment="1">
      <alignment horizontal="center" vertical="center" wrapText="1"/>
    </xf>
    <xf numFmtId="0" fontId="13" fillId="0" borderId="150" xfId="0" applyFont="1" applyBorder="1" applyAlignment="1">
      <alignment horizontal="center" vertical="center" wrapText="1"/>
    </xf>
    <xf numFmtId="0" fontId="13" fillId="0" borderId="151" xfId="0" applyFont="1" applyBorder="1" applyAlignment="1">
      <alignment horizontal="center" vertical="center" wrapText="1"/>
    </xf>
    <xf numFmtId="0" fontId="13" fillId="0" borderId="152" xfId="0" applyFont="1" applyBorder="1" applyAlignment="1">
      <alignment horizontal="center" vertical="center" wrapText="1"/>
    </xf>
    <xf numFmtId="0" fontId="8" fillId="17" borderId="802" xfId="0" applyFont="1" applyFill="1" applyBorder="1" applyAlignment="1">
      <alignment horizontal="center" vertical="center" wrapText="1"/>
    </xf>
    <xf numFmtId="0" fontId="8" fillId="17" borderId="734" xfId="0" applyFont="1" applyFill="1" applyBorder="1" applyAlignment="1">
      <alignment horizontal="center" vertical="center" wrapText="1"/>
    </xf>
    <xf numFmtId="0" fontId="8" fillId="17" borderId="803" xfId="0" applyFont="1" applyFill="1" applyBorder="1" applyAlignment="1">
      <alignment horizontal="center" vertical="center" wrapText="1"/>
    </xf>
    <xf numFmtId="0" fontId="23" fillId="0" borderId="380" xfId="0" applyFont="1" applyBorder="1" applyAlignment="1">
      <alignment horizontal="left" vertical="top"/>
    </xf>
    <xf numFmtId="0" fontId="23" fillId="0" borderId="59" xfId="0" applyFont="1" applyBorder="1" applyAlignment="1">
      <alignment horizontal="left" vertical="top"/>
    </xf>
    <xf numFmtId="0" fontId="21" fillId="0" borderId="98" xfId="4" applyNumberFormat="1" applyFont="1" applyBorder="1" applyAlignment="1">
      <alignment vertical="top" wrapText="1"/>
    </xf>
    <xf numFmtId="0" fontId="21" fillId="0" borderId="101" xfId="4" applyNumberFormat="1" applyFont="1" applyBorder="1" applyAlignment="1">
      <alignment vertical="top" wrapText="1"/>
    </xf>
    <xf numFmtId="0" fontId="21" fillId="0" borderId="370" xfId="4" quotePrefix="1" applyNumberFormat="1" applyFont="1" applyBorder="1" applyAlignment="1">
      <alignment vertical="top" wrapText="1"/>
    </xf>
    <xf numFmtId="1" fontId="26" fillId="45" borderId="456" xfId="9" applyFont="1" applyFill="1" applyBorder="1" applyAlignment="1">
      <alignment horizontal="center" vertical="center" wrapText="1"/>
      <protection locked="0"/>
    </xf>
    <xf numFmtId="1" fontId="26" fillId="45" borderId="434" xfId="9" applyFont="1" applyFill="1" applyBorder="1" applyAlignment="1">
      <alignment horizontal="center" vertical="center" wrapText="1"/>
      <protection locked="0"/>
    </xf>
    <xf numFmtId="167" fontId="50" fillId="11" borderId="60" xfId="10" applyFont="1" applyBorder="1">
      <alignment horizontal="left" vertical="top" wrapText="1"/>
    </xf>
    <xf numFmtId="167" fontId="50" fillId="11" borderId="21" xfId="10" applyFont="1" applyBorder="1">
      <alignment horizontal="left" vertical="top" wrapText="1"/>
    </xf>
    <xf numFmtId="0" fontId="23" fillId="0" borderId="59" xfId="0" applyFont="1" applyBorder="1" applyAlignment="1">
      <alignment horizontal="left" vertical="top" wrapText="1"/>
    </xf>
    <xf numFmtId="0" fontId="23" fillId="0" borderId="98" xfId="0" applyFont="1" applyBorder="1" applyAlignment="1">
      <alignment horizontal="left" vertical="center" wrapText="1"/>
    </xf>
    <xf numFmtId="0" fontId="23" fillId="0" borderId="370" xfId="0" applyFont="1" applyBorder="1" applyAlignment="1">
      <alignment horizontal="left" vertical="center" wrapText="1"/>
    </xf>
    <xf numFmtId="0" fontId="22" fillId="0" borderId="785" xfId="4" applyFont="1" applyBorder="1" applyAlignment="1">
      <alignment horizontal="center" vertical="center"/>
    </xf>
    <xf numFmtId="0" fontId="22" fillId="0" borderId="0" xfId="4" applyFont="1" applyBorder="1" applyAlignment="1">
      <alignment horizontal="center" vertical="center"/>
    </xf>
    <xf numFmtId="0" fontId="22" fillId="0" borderId="58" xfId="4" applyFont="1" applyBorder="1" applyAlignment="1">
      <alignment horizontal="center" vertical="center"/>
    </xf>
    <xf numFmtId="1" fontId="22" fillId="0" borderId="58" xfId="4" applyNumberFormat="1" applyFont="1" applyBorder="1" applyAlignment="1">
      <alignment horizontal="center" vertical="center" wrapText="1"/>
    </xf>
    <xf numFmtId="0" fontId="23" fillId="0" borderId="785" xfId="0" applyFont="1" applyBorder="1" applyAlignment="1">
      <alignment horizontal="left" vertical="top" wrapText="1"/>
    </xf>
    <xf numFmtId="0" fontId="23" fillId="0" borderId="0" xfId="0" applyFont="1" applyBorder="1" applyAlignment="1" applyProtection="1">
      <alignment horizontal="center" vertical="center" wrapText="1"/>
    </xf>
    <xf numFmtId="0" fontId="23" fillId="0" borderId="785" xfId="0" applyFont="1" applyBorder="1" applyAlignment="1">
      <alignment vertical="top" wrapText="1"/>
    </xf>
    <xf numFmtId="167" fontId="27" fillId="11" borderId="21" xfId="10" applyBorder="1">
      <alignment horizontal="left" vertical="top" wrapText="1"/>
    </xf>
    <xf numFmtId="0" fontId="23" fillId="0" borderId="342" xfId="0" applyFont="1" applyBorder="1" applyAlignment="1">
      <alignment horizontal="left" vertical="top"/>
    </xf>
    <xf numFmtId="0" fontId="23" fillId="0" borderId="424" xfId="0" applyFont="1" applyBorder="1" applyAlignment="1">
      <alignment horizontal="left" vertical="top"/>
    </xf>
    <xf numFmtId="0" fontId="0" fillId="0" borderId="67" xfId="0" applyBorder="1" applyAlignment="1">
      <alignment horizontal="left" vertical="top"/>
    </xf>
    <xf numFmtId="0" fontId="0" fillId="0" borderId="58" xfId="0" applyBorder="1" applyAlignment="1">
      <alignment horizontal="left" vertical="top"/>
    </xf>
    <xf numFmtId="0" fontId="21" fillId="0" borderId="58" xfId="4" quotePrefix="1" applyNumberFormat="1" applyFont="1" applyBorder="1" applyAlignment="1">
      <alignment horizontal="left" vertical="top"/>
    </xf>
    <xf numFmtId="49" fontId="54" fillId="0" borderId="67" xfId="16" applyBorder="1" applyAlignment="1">
      <alignment horizontal="center" vertical="center" wrapText="1"/>
    </xf>
    <xf numFmtId="49" fontId="54" fillId="0" borderId="58" xfId="16" applyBorder="1" applyAlignment="1">
      <alignment horizontal="center" vertical="center" wrapText="1"/>
    </xf>
    <xf numFmtId="1" fontId="26" fillId="10" borderId="425" xfId="9" applyBorder="1" applyAlignment="1">
      <alignment horizontal="center" vertical="center" wrapText="1"/>
      <protection locked="0"/>
    </xf>
    <xf numFmtId="1" fontId="26" fillId="10" borderId="457" xfId="9" applyBorder="1" applyAlignment="1">
      <alignment horizontal="center" vertical="center" wrapText="1"/>
      <protection locked="0"/>
    </xf>
    <xf numFmtId="0" fontId="0" fillId="0" borderId="12" xfId="0" applyFont="1" applyBorder="1"/>
    <xf numFmtId="167" fontId="23" fillId="0" borderId="785" xfId="0" applyNumberFormat="1" applyFont="1" applyBorder="1" applyAlignment="1">
      <alignment horizontal="center" vertical="top"/>
    </xf>
    <xf numFmtId="167" fontId="23" fillId="0" borderId="0" xfId="0" applyNumberFormat="1" applyFont="1" applyBorder="1" applyAlignment="1">
      <alignment horizontal="center" vertical="top"/>
    </xf>
    <xf numFmtId="0" fontId="21" fillId="0" borderId="67" xfId="4" applyNumberFormat="1" applyFont="1" applyBorder="1" applyAlignment="1" applyProtection="1">
      <alignment vertical="top" wrapText="1"/>
    </xf>
    <xf numFmtId="0" fontId="21" fillId="0" borderId="67" xfId="4" quotePrefix="1" applyNumberFormat="1" applyFont="1" applyBorder="1" applyAlignment="1" applyProtection="1">
      <alignment vertical="top" wrapText="1"/>
    </xf>
    <xf numFmtId="0" fontId="13" fillId="15" borderId="364" xfId="15" applyBorder="1">
      <alignment horizontal="center" vertical="center"/>
    </xf>
    <xf numFmtId="1" fontId="22" fillId="45" borderId="16" xfId="9" applyFont="1" applyFill="1" applyBorder="1" applyAlignment="1">
      <alignment horizontal="center" vertical="center" wrapText="1"/>
      <protection locked="0"/>
    </xf>
    <xf numFmtId="1" fontId="22" fillId="45" borderId="51" xfId="9" applyFont="1" applyFill="1" applyBorder="1" applyAlignment="1">
      <alignment horizontal="center" vertical="center" wrapText="1"/>
      <protection locked="0"/>
    </xf>
    <xf numFmtId="0" fontId="23" fillId="40" borderId="495" xfId="23" applyBorder="1" applyAlignment="1">
      <alignment horizontal="left" vertical="top" wrapText="1"/>
      <protection locked="0"/>
    </xf>
    <xf numFmtId="0" fontId="23" fillId="40" borderId="496" xfId="23" applyBorder="1" applyAlignment="1">
      <alignment horizontal="left" vertical="top" wrapText="1"/>
      <protection locked="0"/>
    </xf>
    <xf numFmtId="0" fontId="23" fillId="0" borderId="118" xfId="0" applyFont="1" applyBorder="1" applyAlignment="1" applyProtection="1">
      <alignment horizontal="center" vertical="top"/>
    </xf>
    <xf numFmtId="0" fontId="23" fillId="0" borderId="13" xfId="0" applyFont="1" applyBorder="1" applyAlignment="1" applyProtection="1">
      <alignment horizontal="center" vertical="top"/>
    </xf>
    <xf numFmtId="0" fontId="0" fillId="0" borderId="34" xfId="0" applyBorder="1" applyAlignment="1" applyProtection="1">
      <alignment horizontal="center"/>
    </xf>
    <xf numFmtId="0" fontId="0" fillId="0" borderId="0" xfId="0" applyBorder="1" applyAlignment="1" applyProtection="1">
      <alignment horizontal="center"/>
    </xf>
    <xf numFmtId="1" fontId="26" fillId="10" borderId="434" xfId="9" applyBorder="1" applyProtection="1">
      <alignment horizontal="center" vertical="center"/>
      <protection locked="0"/>
    </xf>
    <xf numFmtId="1" fontId="26" fillId="10" borderId="15" xfId="9" applyBorder="1" applyProtection="1">
      <alignment horizontal="center" vertical="center"/>
      <protection locked="0"/>
    </xf>
    <xf numFmtId="1" fontId="26" fillId="10" borderId="162" xfId="9" applyBorder="1" applyProtection="1">
      <alignment horizontal="center" vertical="center"/>
      <protection locked="0"/>
    </xf>
    <xf numFmtId="0" fontId="22" fillId="0" borderId="67" xfId="4" applyNumberFormat="1" applyFont="1" applyBorder="1" applyAlignment="1" applyProtection="1">
      <alignment horizontal="center" vertical="center" wrapText="1"/>
    </xf>
    <xf numFmtId="0" fontId="22" fillId="0" borderId="0" xfId="4" applyNumberFormat="1" applyFont="1" applyBorder="1" applyAlignment="1" applyProtection="1">
      <alignment horizontal="center" vertical="center" wrapText="1"/>
    </xf>
    <xf numFmtId="0" fontId="22" fillId="0" borderId="32" xfId="4" applyNumberFormat="1" applyFont="1" applyBorder="1" applyAlignment="1" applyProtection="1">
      <alignment horizontal="center" vertical="center" wrapText="1"/>
    </xf>
    <xf numFmtId="49" fontId="20" fillId="52" borderId="784" xfId="7" applyFill="1" applyBorder="1">
      <alignment horizontal="left" vertical="center" wrapText="1"/>
    </xf>
    <xf numFmtId="49" fontId="46" fillId="0" borderId="118" xfId="0" applyNumberFormat="1" applyFont="1" applyBorder="1" applyAlignment="1" applyProtection="1">
      <alignment horizontal="center" vertical="center" wrapText="1"/>
      <protection locked="0"/>
    </xf>
    <xf numFmtId="49" fontId="46" fillId="0" borderId="13" xfId="0" applyNumberFormat="1" applyFont="1" applyBorder="1" applyAlignment="1" applyProtection="1">
      <alignment horizontal="center" vertical="center" wrapText="1"/>
      <protection locked="0"/>
    </xf>
    <xf numFmtId="49" fontId="46" fillId="0" borderId="397" xfId="0" applyNumberFormat="1" applyFont="1" applyBorder="1" applyAlignment="1" applyProtection="1">
      <alignment horizontal="center" vertical="center" wrapText="1"/>
      <protection locked="0"/>
    </xf>
    <xf numFmtId="0" fontId="21" fillId="0" borderId="0" xfId="4" quotePrefix="1" applyNumberFormat="1" applyFont="1" applyFill="1" applyBorder="1" applyAlignment="1" applyProtection="1">
      <alignment vertical="top" wrapText="1"/>
    </xf>
    <xf numFmtId="167" fontId="31" fillId="0" borderId="409" xfId="10" applyFont="1" applyFill="1" applyBorder="1" applyAlignment="1">
      <alignment horizontal="left" vertical="center" wrapText="1"/>
    </xf>
    <xf numFmtId="167" fontId="31" fillId="0" borderId="410" xfId="10" applyFont="1" applyFill="1" applyBorder="1" applyAlignment="1">
      <alignment horizontal="left" vertical="center" wrapText="1"/>
    </xf>
    <xf numFmtId="167" fontId="31" fillId="0" borderId="411" xfId="10" applyFont="1" applyFill="1" applyBorder="1" applyAlignment="1">
      <alignment horizontal="left" vertical="center" wrapText="1"/>
    </xf>
    <xf numFmtId="49" fontId="22" fillId="0" borderId="34" xfId="4" applyNumberFormat="1" applyFont="1" applyFill="1" applyBorder="1" applyAlignment="1">
      <alignment horizontal="center" vertical="center" wrapText="1"/>
    </xf>
    <xf numFmtId="49" fontId="22" fillId="0" borderId="0" xfId="4" applyNumberFormat="1" applyFont="1" applyFill="1" applyBorder="1" applyAlignment="1">
      <alignment horizontal="center" vertical="center" wrapText="1"/>
    </xf>
    <xf numFmtId="0" fontId="148" fillId="8" borderId="201" xfId="6" applyFont="1" applyBorder="1" applyAlignment="1">
      <alignment horizontal="center" vertical="center" wrapText="1"/>
    </xf>
    <xf numFmtId="0" fontId="148" fillId="8" borderId="200" xfId="6" applyFont="1" applyBorder="1" applyAlignment="1">
      <alignment horizontal="center" vertical="center" wrapText="1"/>
    </xf>
    <xf numFmtId="0" fontId="148" fillId="8" borderId="136" xfId="6" applyFont="1" applyBorder="1" applyAlignment="1">
      <alignment horizontal="center" vertical="center" wrapText="1"/>
    </xf>
    <xf numFmtId="0" fontId="23" fillId="40" borderId="788" xfId="23" applyBorder="1">
      <alignment horizontal="left" vertical="top" wrapText="1"/>
      <protection locked="0"/>
    </xf>
    <xf numFmtId="0" fontId="23" fillId="40" borderId="34" xfId="23" applyBorder="1">
      <alignment horizontal="left" vertical="top" wrapText="1"/>
      <protection locked="0"/>
    </xf>
    <xf numFmtId="0" fontId="23" fillId="40" borderId="129" xfId="23" applyBorder="1">
      <alignment horizontal="left" vertical="top" wrapText="1"/>
      <protection locked="0"/>
    </xf>
    <xf numFmtId="0" fontId="23" fillId="40" borderId="0" xfId="23" applyBorder="1">
      <alignment horizontal="left" vertical="top" wrapText="1"/>
      <protection locked="0"/>
    </xf>
    <xf numFmtId="0" fontId="23" fillId="40" borderId="604" xfId="23" applyBorder="1">
      <alignment horizontal="left" vertical="top" wrapText="1"/>
      <protection locked="0"/>
    </xf>
    <xf numFmtId="0" fontId="23" fillId="40" borderId="86" xfId="23" applyBorder="1">
      <alignment horizontal="left" vertical="top" wrapText="1"/>
      <protection locked="0"/>
    </xf>
    <xf numFmtId="0" fontId="21" fillId="0" borderId="351" xfId="4" applyFont="1" applyFill="1" applyBorder="1" applyAlignment="1">
      <alignment horizontal="left" vertical="top"/>
    </xf>
    <xf numFmtId="0" fontId="21" fillId="0" borderId="101" xfId="4" applyFont="1" applyFill="1" applyBorder="1" applyAlignment="1">
      <alignment horizontal="left" vertical="top"/>
    </xf>
    <xf numFmtId="0" fontId="21" fillId="0" borderId="111" xfId="4" applyFont="1" applyFill="1" applyBorder="1" applyAlignment="1">
      <alignment horizontal="left" vertical="top"/>
    </xf>
    <xf numFmtId="0" fontId="0" fillId="0" borderId="32" xfId="0" applyBorder="1" applyAlignment="1"/>
    <xf numFmtId="0" fontId="0" fillId="0" borderId="787" xfId="0" applyBorder="1" applyAlignment="1"/>
    <xf numFmtId="0" fontId="0" fillId="0" borderId="0" xfId="0" applyBorder="1" applyAlignment="1"/>
    <xf numFmtId="0" fontId="0" fillId="0" borderId="0" xfId="0" applyAlignment="1"/>
    <xf numFmtId="0" fontId="6" fillId="52" borderId="0" xfId="2" applyBorder="1" applyAlignment="1">
      <alignment horizontal="left" vertical="center" wrapText="1"/>
    </xf>
    <xf numFmtId="0" fontId="6" fillId="52" borderId="2" xfId="2" applyBorder="1" applyAlignment="1">
      <alignment horizontal="left" vertical="center" wrapText="1"/>
    </xf>
    <xf numFmtId="165" fontId="16" fillId="0" borderId="0" xfId="4" applyNumberFormat="1" applyFont="1" applyFill="1" applyBorder="1" applyAlignment="1">
      <alignment horizontal="left" wrapText="1"/>
    </xf>
    <xf numFmtId="0" fontId="0" fillId="0" borderId="2" xfId="0" applyBorder="1" applyAlignment="1"/>
    <xf numFmtId="0" fontId="148" fillId="8" borderId="135" xfId="6" applyFont="1" applyBorder="1">
      <alignment horizontal="center" vertical="center" wrapText="1"/>
    </xf>
    <xf numFmtId="0" fontId="148" fillId="8" borderId="136" xfId="6" applyFont="1" applyBorder="1">
      <alignment horizontal="center" vertical="center" wrapText="1"/>
    </xf>
    <xf numFmtId="0" fontId="0" fillId="0" borderId="69" xfId="0" applyBorder="1" applyProtection="1"/>
    <xf numFmtId="0" fontId="21" fillId="0" borderId="34" xfId="4" applyNumberFormat="1" applyFont="1" applyBorder="1" applyAlignment="1" applyProtection="1">
      <alignment vertical="top" wrapText="1"/>
    </xf>
    <xf numFmtId="0" fontId="21" fillId="0" borderId="34" xfId="4" quotePrefix="1" applyNumberFormat="1" applyFont="1" applyBorder="1" applyAlignment="1" applyProtection="1">
      <alignment vertical="top" wrapText="1"/>
    </xf>
    <xf numFmtId="0" fontId="21" fillId="0" borderId="26" xfId="4" quotePrefix="1" applyNumberFormat="1" applyFont="1" applyBorder="1" applyAlignment="1">
      <alignment vertical="top" wrapText="1"/>
    </xf>
    <xf numFmtId="0" fontId="0" fillId="0" borderId="0" xfId="0" applyBorder="1" applyAlignment="1">
      <alignment horizontal="left" vertical="top"/>
    </xf>
    <xf numFmtId="0" fontId="0" fillId="0" borderId="89" xfId="0" applyBorder="1" applyAlignment="1">
      <alignment horizontal="left" vertical="top"/>
    </xf>
    <xf numFmtId="2" fontId="22" fillId="0" borderId="34" xfId="4" applyNumberFormat="1" applyFont="1" applyBorder="1" applyAlignment="1" applyProtection="1">
      <alignment horizontal="center" vertical="center" wrapText="1"/>
    </xf>
    <xf numFmtId="2" fontId="22" fillId="0" borderId="0" xfId="4" applyNumberFormat="1" applyFont="1" applyBorder="1" applyAlignment="1" applyProtection="1">
      <alignment horizontal="center" vertical="center" wrapText="1"/>
    </xf>
    <xf numFmtId="1" fontId="21" fillId="0" borderId="34" xfId="4" applyNumberFormat="1" applyFont="1" applyBorder="1" applyAlignment="1" applyProtection="1">
      <alignment horizontal="center" vertical="center" wrapText="1"/>
    </xf>
    <xf numFmtId="1" fontId="21" fillId="0" borderId="161" xfId="4" applyNumberFormat="1" applyFont="1" applyBorder="1" applyAlignment="1" applyProtection="1">
      <alignment horizontal="center" vertical="center" wrapText="1"/>
    </xf>
    <xf numFmtId="0" fontId="23" fillId="40" borderId="582" xfId="23" applyBorder="1" applyAlignment="1" applyProtection="1">
      <alignment horizontal="left" vertical="top" wrapText="1"/>
      <protection locked="0"/>
    </xf>
    <xf numFmtId="0" fontId="23" fillId="40" borderId="161" xfId="23" applyBorder="1" applyAlignment="1" applyProtection="1">
      <alignment horizontal="left" vertical="top" wrapText="1"/>
      <protection locked="0"/>
    </xf>
    <xf numFmtId="0" fontId="23" fillId="40" borderId="123" xfId="23" applyBorder="1" applyAlignment="1" applyProtection="1">
      <alignment horizontal="left" vertical="top" wrapText="1"/>
      <protection locked="0"/>
    </xf>
    <xf numFmtId="0" fontId="23" fillId="40" borderId="124" xfId="23" applyBorder="1" applyAlignment="1" applyProtection="1">
      <alignment horizontal="left" vertical="top" wrapText="1"/>
      <protection locked="0"/>
    </xf>
    <xf numFmtId="0" fontId="23" fillId="0" borderId="34" xfId="0" applyFont="1" applyBorder="1" applyAlignment="1" applyProtection="1">
      <alignment horizontal="center" vertical="center" wrapText="1"/>
    </xf>
    <xf numFmtId="0" fontId="23" fillId="0" borderId="117" xfId="0" applyFont="1" applyBorder="1" applyAlignment="1" applyProtection="1">
      <alignment horizontal="center" vertical="center" wrapText="1"/>
    </xf>
    <xf numFmtId="0" fontId="23" fillId="0" borderId="118" xfId="0" applyFont="1" applyBorder="1" applyAlignment="1" applyProtection="1">
      <alignment vertical="top"/>
    </xf>
    <xf numFmtId="0" fontId="23" fillId="0" borderId="13" xfId="0" applyFont="1" applyBorder="1" applyAlignment="1" applyProtection="1">
      <alignment vertical="top"/>
    </xf>
    <xf numFmtId="0" fontId="0" fillId="0" borderId="34" xfId="0" applyBorder="1" applyProtection="1"/>
    <xf numFmtId="0" fontId="0" fillId="0" borderId="0" xfId="0" applyBorder="1" applyProtection="1"/>
    <xf numFmtId="0" fontId="21" fillId="0" borderId="26" xfId="4" applyNumberFormat="1" applyFont="1" applyBorder="1" applyAlignment="1">
      <alignment vertical="top" wrapText="1"/>
    </xf>
    <xf numFmtId="0" fontId="21" fillId="0" borderId="84" xfId="4" quotePrefix="1" applyNumberFormat="1" applyFont="1" applyBorder="1" applyAlignment="1">
      <alignment vertical="top" wrapText="1"/>
    </xf>
    <xf numFmtId="167" fontId="27" fillId="11" borderId="43" xfId="10" applyBorder="1" applyProtection="1">
      <alignment horizontal="left" vertical="top" wrapText="1"/>
    </xf>
    <xf numFmtId="167" fontId="27" fillId="11" borderId="44" xfId="10" applyBorder="1" applyProtection="1">
      <alignment horizontal="left" vertical="top" wrapText="1"/>
    </xf>
    <xf numFmtId="167" fontId="27" fillId="11" borderId="45" xfId="10" applyBorder="1" applyProtection="1">
      <alignment horizontal="left" vertical="top" wrapText="1"/>
    </xf>
    <xf numFmtId="49" fontId="0" fillId="0" borderId="140" xfId="0" applyNumberFormat="1" applyBorder="1" applyAlignment="1" applyProtection="1">
      <alignment horizontal="center" vertical="center"/>
      <protection locked="0"/>
    </xf>
    <xf numFmtId="1" fontId="22" fillId="0" borderId="69" xfId="4" applyNumberFormat="1" applyFont="1" applyBorder="1" applyAlignment="1" applyProtection="1">
      <alignment horizontal="center" vertical="center" wrapText="1"/>
    </xf>
    <xf numFmtId="1" fontId="22" fillId="0" borderId="0" xfId="4" applyNumberFormat="1" applyFont="1" applyBorder="1" applyAlignment="1" applyProtection="1">
      <alignment horizontal="center" vertical="center" wrapText="1"/>
    </xf>
    <xf numFmtId="1" fontId="22" fillId="0" borderId="32" xfId="4" applyNumberFormat="1" applyFont="1" applyBorder="1" applyAlignment="1" applyProtection="1">
      <alignment horizontal="center" vertical="center" wrapText="1"/>
    </xf>
    <xf numFmtId="0" fontId="49" fillId="0" borderId="118" xfId="4" applyFont="1" applyBorder="1" applyAlignment="1" applyProtection="1">
      <alignment horizontal="center" vertical="center" wrapText="1"/>
      <protection locked="0"/>
    </xf>
    <xf numFmtId="0" fontId="49" fillId="0" borderId="13" xfId="4" applyFont="1" applyBorder="1" applyAlignment="1" applyProtection="1">
      <alignment horizontal="center" vertical="center" wrapText="1"/>
      <protection locked="0"/>
    </xf>
    <xf numFmtId="0" fontId="49" fillId="0" borderId="787" xfId="4" applyFont="1" applyBorder="1" applyAlignment="1" applyProtection="1">
      <alignment horizontal="center" vertical="center" wrapText="1"/>
      <protection locked="0"/>
    </xf>
    <xf numFmtId="0" fontId="21" fillId="0" borderId="76" xfId="4" applyFont="1" applyBorder="1" applyAlignment="1" applyProtection="1">
      <alignment horizontal="center"/>
    </xf>
    <xf numFmtId="0" fontId="21" fillId="0" borderId="734" xfId="4" applyNumberFormat="1" applyFont="1" applyBorder="1" applyAlignment="1" applyProtection="1">
      <alignment horizontal="center" vertical="top" wrapText="1"/>
    </xf>
    <xf numFmtId="0" fontId="21" fillId="0" borderId="240" xfId="4" applyNumberFormat="1" applyFont="1" applyBorder="1" applyAlignment="1" applyProtection="1">
      <alignment horizontal="center" vertical="top" wrapText="1"/>
    </xf>
    <xf numFmtId="0" fontId="21" fillId="0" borderId="365" xfId="4" applyNumberFormat="1" applyFont="1" applyBorder="1" applyAlignment="1" applyProtection="1">
      <alignment vertical="top" wrapText="1"/>
    </xf>
    <xf numFmtId="0" fontId="21" fillId="0" borderId="365" xfId="4" quotePrefix="1" applyNumberFormat="1" applyFont="1" applyBorder="1" applyAlignment="1" applyProtection="1">
      <alignment vertical="top" wrapText="1"/>
    </xf>
    <xf numFmtId="1" fontId="22" fillId="0" borderId="415" xfId="4" applyNumberFormat="1" applyFont="1" applyBorder="1" applyAlignment="1" applyProtection="1">
      <alignment horizontal="center" vertical="center" wrapText="1"/>
    </xf>
    <xf numFmtId="1" fontId="22" fillId="0" borderId="24" xfId="4" applyNumberFormat="1" applyFont="1" applyBorder="1" applyAlignment="1" applyProtection="1">
      <alignment horizontal="center" vertical="center" wrapText="1"/>
    </xf>
    <xf numFmtId="0" fontId="23" fillId="40" borderId="521" xfId="23" applyBorder="1" applyAlignment="1">
      <alignment horizontal="left" vertical="top" wrapText="1"/>
      <protection locked="0"/>
    </xf>
    <xf numFmtId="49" fontId="54" fillId="0" borderId="800" xfId="16" applyBorder="1" applyAlignment="1">
      <alignment horizontal="center" vertical="center" wrapText="1"/>
    </xf>
    <xf numFmtId="49" fontId="54" fillId="0" borderId="94" xfId="16" applyBorder="1" applyAlignment="1">
      <alignment horizontal="center" vertical="center" wrapText="1"/>
    </xf>
    <xf numFmtId="1" fontId="26" fillId="10" borderId="425" xfId="9" applyBorder="1" applyAlignment="1" applyProtection="1">
      <alignment horizontal="center" vertical="center" wrapText="1"/>
      <protection locked="0"/>
    </xf>
    <xf numFmtId="1" fontId="26" fillId="10" borderId="457" xfId="9" applyBorder="1" applyAlignment="1" applyProtection="1">
      <alignment horizontal="center" vertical="center" wrapText="1"/>
      <protection locked="0"/>
    </xf>
    <xf numFmtId="1" fontId="26" fillId="10" borderId="103" xfId="9" applyBorder="1" applyProtection="1">
      <alignment horizontal="center" vertical="center"/>
      <protection locked="0"/>
    </xf>
    <xf numFmtId="1" fontId="26" fillId="10" borderId="41" xfId="9" applyBorder="1" applyProtection="1">
      <alignment horizontal="center" vertical="center"/>
      <protection locked="0"/>
    </xf>
    <xf numFmtId="167" fontId="27" fillId="11" borderId="60" xfId="10" applyBorder="1" applyProtection="1">
      <alignment horizontal="left" vertical="top" wrapText="1"/>
    </xf>
    <xf numFmtId="0" fontId="22" fillId="0" borderId="0" xfId="4" applyFont="1" applyBorder="1" applyAlignment="1">
      <alignment horizontal="right" vertical="center" wrapText="1"/>
    </xf>
    <xf numFmtId="0" fontId="23" fillId="40" borderId="0" xfId="23" applyFont="1" applyBorder="1" applyAlignment="1" applyProtection="1">
      <alignment horizontal="left" vertical="top" wrapText="1"/>
      <protection locked="0"/>
    </xf>
    <xf numFmtId="0" fontId="23" fillId="40" borderId="86" xfId="23" applyFont="1" applyBorder="1" applyAlignment="1" applyProtection="1">
      <alignment horizontal="left" vertical="top" wrapText="1"/>
      <protection locked="0"/>
    </xf>
    <xf numFmtId="0" fontId="23" fillId="40" borderId="115" xfId="23" applyFont="1" applyBorder="1" applyAlignment="1" applyProtection="1">
      <alignment horizontal="left" vertical="top" wrapText="1"/>
      <protection locked="0"/>
    </xf>
    <xf numFmtId="0" fontId="23" fillId="40" borderId="69" xfId="23" applyFont="1" applyBorder="1" applyAlignment="1" applyProtection="1">
      <alignment horizontal="left" vertical="top" wrapText="1"/>
      <protection locked="0"/>
    </xf>
    <xf numFmtId="0" fontId="23" fillId="40" borderId="116" xfId="23" applyFont="1" applyBorder="1" applyAlignment="1" applyProtection="1">
      <alignment horizontal="left" vertical="top" wrapText="1"/>
      <protection locked="0"/>
    </xf>
    <xf numFmtId="0" fontId="13" fillId="0" borderId="34" xfId="0" applyFont="1" applyBorder="1" applyAlignment="1">
      <alignment horizontal="left" vertical="top" wrapText="1"/>
    </xf>
    <xf numFmtId="0" fontId="92" fillId="0" borderId="26" xfId="0" applyFont="1" applyBorder="1" applyAlignment="1">
      <alignment horizontal="right" vertical="top"/>
    </xf>
    <xf numFmtId="0" fontId="13" fillId="0" borderId="26" xfId="0" applyFont="1" applyBorder="1" applyAlignment="1">
      <alignment horizontal="left" vertical="top"/>
    </xf>
    <xf numFmtId="0" fontId="0" fillId="40" borderId="69" xfId="23" applyFont="1" applyBorder="1" applyAlignment="1" applyProtection="1">
      <alignment horizontal="left" vertical="top" wrapText="1"/>
      <protection locked="0"/>
    </xf>
    <xf numFmtId="167" fontId="27" fillId="11" borderId="406" xfId="10" applyBorder="1">
      <alignment horizontal="left" vertical="top" wrapText="1"/>
    </xf>
    <xf numFmtId="0" fontId="22" fillId="0" borderId="34" xfId="4" applyNumberFormat="1" applyFont="1" applyBorder="1" applyAlignment="1" applyProtection="1">
      <alignment horizontal="center" vertical="center" wrapText="1"/>
    </xf>
    <xf numFmtId="49" fontId="54" fillId="0" borderId="785" xfId="16" applyBorder="1">
      <alignment horizontal="center" vertical="center" wrapText="1"/>
    </xf>
    <xf numFmtId="49" fontId="54" fillId="0" borderId="26" xfId="16" applyBorder="1">
      <alignment horizontal="center" vertical="center" wrapText="1"/>
    </xf>
    <xf numFmtId="49" fontId="22" fillId="0" borderId="34" xfId="4" applyNumberFormat="1" applyFont="1" applyBorder="1" applyAlignment="1" applyProtection="1">
      <alignment horizontal="center" vertical="center" wrapText="1"/>
    </xf>
    <xf numFmtId="49" fontId="22" fillId="0" borderId="0" xfId="4" applyNumberFormat="1" applyFont="1" applyBorder="1" applyAlignment="1" applyProtection="1">
      <alignment horizontal="center" vertical="center" wrapText="1"/>
    </xf>
    <xf numFmtId="0" fontId="21" fillId="0" borderId="32" xfId="4" applyNumberFormat="1" applyFont="1" applyBorder="1" applyAlignment="1" applyProtection="1">
      <alignment vertical="top" wrapText="1"/>
    </xf>
    <xf numFmtId="0" fontId="23" fillId="0" borderId="702" xfId="0" applyFont="1" applyBorder="1" applyAlignment="1" applyProtection="1">
      <alignment vertical="top" wrapText="1"/>
    </xf>
    <xf numFmtId="0" fontId="0" fillId="0" borderId="702" xfId="0" applyBorder="1" applyAlignment="1"/>
    <xf numFmtId="0" fontId="0" fillId="0" borderId="703" xfId="0" applyBorder="1" applyAlignment="1"/>
    <xf numFmtId="0" fontId="22" fillId="0" borderId="34" xfId="4" applyNumberFormat="1" applyFont="1" applyBorder="1" applyAlignment="1">
      <alignment vertical="top" wrapText="1"/>
    </xf>
    <xf numFmtId="0" fontId="22" fillId="0" borderId="34" xfId="4" quotePrefix="1" applyNumberFormat="1" applyFont="1" applyBorder="1" applyAlignment="1">
      <alignment vertical="top" wrapText="1"/>
    </xf>
    <xf numFmtId="0" fontId="13" fillId="0" borderId="785" xfId="0" applyFont="1" applyBorder="1" applyAlignment="1" applyProtection="1">
      <alignment horizontal="left" vertical="top" wrapText="1"/>
    </xf>
    <xf numFmtId="0" fontId="23" fillId="0" borderId="798" xfId="0" applyFont="1" applyBorder="1" applyAlignment="1" applyProtection="1">
      <alignment vertical="top"/>
    </xf>
    <xf numFmtId="0" fontId="23" fillId="0" borderId="730" xfId="0" applyFont="1" applyBorder="1" applyAlignment="1" applyProtection="1">
      <alignment vertical="top"/>
    </xf>
    <xf numFmtId="0" fontId="23" fillId="0" borderId="730" xfId="0" applyFont="1" applyBorder="1" applyAlignment="1" applyProtection="1">
      <alignment horizontal="left" vertical="top" wrapText="1"/>
    </xf>
    <xf numFmtId="0" fontId="13" fillId="0" borderId="34" xfId="0" applyFont="1" applyBorder="1" applyAlignment="1" applyProtection="1">
      <alignment vertical="top" wrapText="1"/>
    </xf>
    <xf numFmtId="0" fontId="23" fillId="0" borderId="12" xfId="0" applyFont="1" applyBorder="1" applyAlignment="1" applyProtection="1">
      <alignment vertical="top" wrapText="1"/>
    </xf>
    <xf numFmtId="0" fontId="23" fillId="0" borderId="0" xfId="0" applyFont="1" applyBorder="1" applyAlignment="1" applyProtection="1">
      <alignment vertical="top" wrapText="1"/>
    </xf>
    <xf numFmtId="0" fontId="23" fillId="0" borderId="159" xfId="0" applyFont="1" applyBorder="1" applyAlignment="1">
      <alignment vertical="top"/>
    </xf>
    <xf numFmtId="0" fontId="23" fillId="0" borderId="26" xfId="0" applyFont="1" applyBorder="1" applyAlignment="1">
      <alignment vertical="top"/>
    </xf>
    <xf numFmtId="0" fontId="23" fillId="0" borderId="400" xfId="0" applyFont="1" applyBorder="1" applyAlignment="1">
      <alignment vertical="top"/>
    </xf>
    <xf numFmtId="0" fontId="23" fillId="0" borderId="366" xfId="0" applyFont="1" applyBorder="1" applyAlignment="1">
      <alignment vertical="top"/>
    </xf>
    <xf numFmtId="0" fontId="21" fillId="0" borderId="34" xfId="4" applyFont="1" applyBorder="1" applyAlignment="1" applyProtection="1">
      <alignment horizontal="center" vertical="center" wrapText="1"/>
    </xf>
    <xf numFmtId="0" fontId="21" fillId="0" borderId="161" xfId="4" applyFont="1" applyBorder="1" applyAlignment="1" applyProtection="1">
      <alignment horizontal="center" vertical="center" wrapText="1"/>
    </xf>
    <xf numFmtId="0" fontId="23" fillId="0" borderId="0" xfId="0" applyFont="1" applyBorder="1" applyAlignment="1">
      <alignment horizontal="left" vertical="top"/>
    </xf>
    <xf numFmtId="0" fontId="23" fillId="0" borderId="34" xfId="0" applyFont="1" applyBorder="1" applyAlignment="1">
      <alignment horizontal="left" vertical="top" wrapText="1"/>
    </xf>
    <xf numFmtId="0" fontId="23" fillId="0" borderId="12" xfId="0" applyFont="1" applyBorder="1" applyAlignment="1" applyProtection="1">
      <alignment horizontal="left" vertical="top"/>
    </xf>
    <xf numFmtId="0" fontId="23" fillId="0" borderId="0" xfId="0" applyFont="1" applyBorder="1" applyAlignment="1" applyProtection="1">
      <alignment horizontal="left" vertical="top"/>
    </xf>
    <xf numFmtId="0" fontId="17" fillId="0" borderId="30" xfId="5" applyNumberFormat="1" applyBorder="1" applyAlignment="1" applyProtection="1">
      <alignment vertical="top" wrapText="1"/>
      <protection locked="0"/>
    </xf>
    <xf numFmtId="167" fontId="21" fillId="11" borderId="55" xfId="10" applyFont="1" applyBorder="1" applyProtection="1">
      <alignment horizontal="left" vertical="top" wrapText="1"/>
    </xf>
    <xf numFmtId="167" fontId="21" fillId="11" borderId="56" xfId="10" applyFont="1" applyBorder="1" applyProtection="1">
      <alignment horizontal="left" vertical="top" wrapText="1"/>
    </xf>
    <xf numFmtId="167" fontId="21" fillId="11" borderId="57" xfId="10" applyFont="1" applyBorder="1" applyProtection="1">
      <alignment horizontal="left" vertical="top" wrapText="1"/>
    </xf>
    <xf numFmtId="0" fontId="17" fillId="0" borderId="0" xfId="5" applyFont="1" applyBorder="1" applyAlignment="1" applyProtection="1">
      <alignment vertical="center"/>
      <protection locked="0"/>
    </xf>
    <xf numFmtId="0" fontId="21" fillId="0" borderId="98" xfId="4" applyFont="1" applyBorder="1" applyAlignment="1">
      <alignment horizontal="left" vertical="center" wrapText="1"/>
    </xf>
    <xf numFmtId="0" fontId="21" fillId="0" borderId="101" xfId="4" quotePrefix="1" applyFont="1" applyBorder="1" applyAlignment="1">
      <alignment horizontal="left" vertical="center" wrapText="1"/>
    </xf>
    <xf numFmtId="0" fontId="21" fillId="0" borderId="370" xfId="4" applyFont="1" applyBorder="1" applyAlignment="1">
      <alignment horizontal="left" vertical="center" wrapText="1"/>
    </xf>
    <xf numFmtId="167" fontId="21" fillId="11" borderId="130" xfId="10" applyFont="1" applyBorder="1">
      <alignment horizontal="left" vertical="top" wrapText="1"/>
    </xf>
    <xf numFmtId="167" fontId="21" fillId="11" borderId="0" xfId="10" applyFont="1" applyBorder="1">
      <alignment horizontal="left" vertical="top" wrapText="1"/>
    </xf>
    <xf numFmtId="167" fontId="21" fillId="11" borderId="20" xfId="10" applyFont="1" applyBorder="1">
      <alignment horizontal="left" vertical="top" wrapText="1"/>
    </xf>
    <xf numFmtId="0" fontId="13" fillId="0" borderId="67" xfId="0" applyFont="1" applyBorder="1" applyAlignment="1" applyProtection="1">
      <alignment horizontal="left" vertical="top" wrapText="1"/>
    </xf>
    <xf numFmtId="0" fontId="23" fillId="40" borderId="367" xfId="23" applyBorder="1" applyAlignment="1" applyProtection="1">
      <alignment horizontal="left" vertical="top" wrapText="1"/>
      <protection locked="0"/>
    </xf>
    <xf numFmtId="0" fontId="23" fillId="40" borderId="0" xfId="23" applyBorder="1" applyAlignment="1">
      <alignment horizontal="left" vertical="top" wrapText="1"/>
      <protection locked="0"/>
    </xf>
    <xf numFmtId="0" fontId="21" fillId="0" borderId="34" xfId="4" applyFont="1" applyBorder="1" applyAlignment="1" applyProtection="1">
      <alignment horizontal="left" vertical="center" wrapText="1"/>
    </xf>
    <xf numFmtId="0" fontId="21" fillId="0" borderId="117" xfId="4" applyFont="1" applyBorder="1" applyAlignment="1" applyProtection="1">
      <alignment horizontal="left" vertical="center" wrapText="1"/>
    </xf>
    <xf numFmtId="0" fontId="15" fillId="0" borderId="118" xfId="4" applyNumberFormat="1" applyFont="1" applyBorder="1" applyAlignment="1" applyProtection="1">
      <alignment horizontal="center" vertical="center" wrapText="1"/>
      <protection locked="0"/>
    </xf>
    <xf numFmtId="0" fontId="15" fillId="0" borderId="787" xfId="4" applyNumberFormat="1" applyFont="1" applyBorder="1" applyAlignment="1" applyProtection="1">
      <alignment horizontal="center" vertical="center" wrapText="1"/>
      <protection locked="0"/>
    </xf>
    <xf numFmtId="0" fontId="21" fillId="0" borderId="67" xfId="4" applyFont="1" applyBorder="1"/>
    <xf numFmtId="1" fontId="26" fillId="10" borderId="51" xfId="9" applyBorder="1" applyProtection="1">
      <alignment horizontal="center" vertical="center"/>
      <protection locked="0"/>
    </xf>
    <xf numFmtId="0" fontId="15" fillId="0" borderId="118" xfId="4" applyFont="1" applyBorder="1" applyAlignment="1" applyProtection="1">
      <alignment horizontal="center" vertical="center" wrapText="1"/>
      <protection locked="0"/>
    </xf>
    <xf numFmtId="0" fontId="17" fillId="0" borderId="0" xfId="5" applyBorder="1" applyAlignment="1" applyProtection="1">
      <alignment horizontal="left" vertical="top"/>
      <protection locked="0"/>
    </xf>
    <xf numFmtId="0" fontId="21" fillId="0" borderId="413" xfId="4" applyNumberFormat="1" applyFont="1" applyBorder="1" applyAlignment="1">
      <alignment vertical="top" wrapText="1"/>
    </xf>
    <xf numFmtId="0" fontId="21" fillId="0" borderId="413" xfId="4" quotePrefix="1" applyNumberFormat="1" applyFont="1" applyBorder="1" applyAlignment="1">
      <alignment vertical="top" wrapText="1"/>
    </xf>
    <xf numFmtId="0" fontId="21" fillId="0" borderId="139" xfId="4" applyNumberFormat="1" applyFont="1" applyBorder="1" applyAlignment="1">
      <alignment vertical="top" wrapText="1"/>
    </xf>
    <xf numFmtId="0" fontId="23" fillId="40" borderId="26" xfId="23" applyBorder="1" applyAlignment="1">
      <alignment horizontal="left" vertical="top" wrapText="1"/>
      <protection locked="0"/>
    </xf>
    <xf numFmtId="0" fontId="21" fillId="0" borderId="67" xfId="4" quotePrefix="1" applyNumberFormat="1" applyFont="1" applyBorder="1" applyAlignment="1">
      <alignment horizontal="left" vertical="top" wrapText="1"/>
    </xf>
    <xf numFmtId="0" fontId="8" fillId="17" borderId="383" xfId="4" applyNumberFormat="1" applyFont="1" applyFill="1" applyBorder="1" applyAlignment="1">
      <alignment horizontal="center" vertical="center" wrapText="1"/>
    </xf>
    <xf numFmtId="0" fontId="8" fillId="17" borderId="381" xfId="4" applyNumberFormat="1" applyFont="1" applyFill="1" applyBorder="1" applyAlignment="1">
      <alignment horizontal="center" vertical="center" wrapText="1"/>
    </xf>
    <xf numFmtId="0" fontId="21" fillId="0" borderId="809" xfId="4" applyNumberFormat="1" applyFont="1" applyBorder="1" applyAlignment="1">
      <alignment horizontal="center" vertical="center" wrapText="1"/>
    </xf>
    <xf numFmtId="0" fontId="21" fillId="0" borderId="747" xfId="4" applyNumberFormat="1" applyFont="1" applyBorder="1" applyAlignment="1">
      <alignment horizontal="center" vertical="center" wrapText="1"/>
    </xf>
    <xf numFmtId="0" fontId="21" fillId="0" borderId="817" xfId="4" applyNumberFormat="1" applyFont="1" applyBorder="1" applyAlignment="1">
      <alignment horizontal="center" vertical="center" wrapText="1"/>
    </xf>
    <xf numFmtId="0" fontId="21" fillId="0" borderId="818" xfId="4" applyNumberFormat="1" applyFont="1" applyBorder="1" applyAlignment="1">
      <alignment horizontal="center" vertical="center" wrapText="1"/>
    </xf>
    <xf numFmtId="0" fontId="22" fillId="0" borderId="32" xfId="4" applyNumberFormat="1" applyFont="1" applyBorder="1" applyAlignment="1">
      <alignment horizontal="center" vertical="center" wrapText="1"/>
    </xf>
    <xf numFmtId="0" fontId="23" fillId="40" borderId="820" xfId="23" applyBorder="1" applyAlignment="1" applyProtection="1">
      <alignment horizontal="left" vertical="top" wrapText="1"/>
      <protection locked="0"/>
    </xf>
    <xf numFmtId="0" fontId="23" fillId="40" borderId="821" xfId="23" applyBorder="1" applyAlignment="1" applyProtection="1">
      <alignment horizontal="left" vertical="top" wrapText="1"/>
      <protection locked="0"/>
    </xf>
    <xf numFmtId="0" fontId="22" fillId="0" borderId="384" xfId="4" applyNumberFormat="1" applyFont="1" applyBorder="1" applyAlignment="1">
      <alignment horizontal="center" vertical="center" wrapText="1"/>
    </xf>
    <xf numFmtId="0" fontId="22" fillId="0" borderId="385" xfId="4" applyNumberFormat="1" applyFont="1" applyBorder="1" applyAlignment="1">
      <alignment horizontal="center" vertical="center" wrapText="1"/>
    </xf>
    <xf numFmtId="0" fontId="22" fillId="0" borderId="386" xfId="4" applyNumberFormat="1" applyFont="1" applyBorder="1" applyAlignment="1">
      <alignment horizontal="center" vertical="center" wrapText="1"/>
    </xf>
    <xf numFmtId="167" fontId="27" fillId="11" borderId="217" xfId="10" applyBorder="1">
      <alignment horizontal="left" vertical="top" wrapText="1"/>
    </xf>
    <xf numFmtId="49" fontId="0" fillId="0" borderId="118" xfId="0" applyNumberFormat="1" applyBorder="1" applyAlignment="1" applyProtection="1">
      <alignment horizontal="center" vertical="center"/>
      <protection locked="0"/>
    </xf>
    <xf numFmtId="0" fontId="21" fillId="0" borderId="67" xfId="4" applyNumberFormat="1" applyFont="1" applyBorder="1" applyAlignment="1" applyProtection="1">
      <alignment horizontal="left" vertical="top" wrapText="1"/>
    </xf>
    <xf numFmtId="0" fontId="21" fillId="0" borderId="730" xfId="4" applyNumberFormat="1" applyFont="1" applyBorder="1" applyAlignment="1">
      <alignment horizontal="left" vertical="top" wrapText="1"/>
    </xf>
    <xf numFmtId="0" fontId="21" fillId="0" borderId="824" xfId="4" applyNumberFormat="1" applyFont="1" applyBorder="1" applyAlignment="1">
      <alignment horizontal="left" vertical="top" wrapText="1"/>
    </xf>
    <xf numFmtId="167" fontId="27" fillId="11" borderId="21" xfId="10" applyBorder="1" applyProtection="1">
      <alignment horizontal="left" vertical="top" wrapText="1"/>
    </xf>
    <xf numFmtId="0" fontId="23" fillId="40" borderId="17" xfId="23" applyBorder="1">
      <alignment horizontal="left" vertical="top" wrapText="1"/>
      <protection locked="0"/>
    </xf>
    <xf numFmtId="0" fontId="23" fillId="40" borderId="25" xfId="23" applyBorder="1">
      <alignment horizontal="left" vertical="top" wrapText="1"/>
      <protection locked="0"/>
    </xf>
    <xf numFmtId="0" fontId="23" fillId="40" borderId="26" xfId="23" applyBorder="1">
      <alignment horizontal="left" vertical="top" wrapText="1"/>
      <protection locked="0"/>
    </xf>
    <xf numFmtId="0" fontId="23" fillId="0" borderId="781" xfId="0" applyFont="1" applyBorder="1" applyAlignment="1" applyProtection="1">
      <alignment vertical="top"/>
    </xf>
    <xf numFmtId="0" fontId="21" fillId="0" borderId="173" xfId="4" applyNumberFormat="1" applyFont="1" applyBorder="1" applyAlignment="1">
      <alignment vertical="top" wrapText="1"/>
    </xf>
    <xf numFmtId="0" fontId="21" fillId="0" borderId="173" xfId="4" quotePrefix="1" applyNumberFormat="1" applyFont="1" applyBorder="1" applyAlignment="1">
      <alignment vertical="top" wrapText="1"/>
    </xf>
    <xf numFmtId="49" fontId="14" fillId="0" borderId="0" xfId="4" applyNumberFormat="1" applyFont="1" applyBorder="1" applyAlignment="1">
      <alignment horizontal="center" vertical="center" wrapText="1"/>
    </xf>
    <xf numFmtId="167" fontId="27" fillId="11" borderId="43" xfId="10" applyBorder="1">
      <alignment horizontal="left" vertical="top" wrapText="1"/>
    </xf>
    <xf numFmtId="167" fontId="27" fillId="11" borderId="44" xfId="10" applyBorder="1">
      <alignment horizontal="left" vertical="top" wrapText="1"/>
    </xf>
    <xf numFmtId="167" fontId="27" fillId="11" borderId="45" xfId="10" applyBorder="1">
      <alignment horizontal="left" vertical="top" wrapText="1"/>
    </xf>
    <xf numFmtId="0" fontId="15" fillId="0" borderId="0" xfId="4" quotePrefix="1" applyNumberFormat="1" applyFont="1" applyBorder="1" applyAlignment="1">
      <alignment vertical="top" wrapText="1"/>
    </xf>
    <xf numFmtId="0" fontId="23" fillId="40" borderId="608" xfId="23" applyBorder="1" applyAlignment="1" applyProtection="1">
      <alignment horizontal="left" vertical="top" wrapText="1"/>
      <protection locked="0"/>
    </xf>
    <xf numFmtId="0" fontId="23" fillId="40" borderId="609" xfId="23" applyBorder="1" applyAlignment="1" applyProtection="1">
      <alignment horizontal="left" vertical="top" wrapText="1"/>
      <protection locked="0"/>
    </xf>
    <xf numFmtId="0" fontId="21" fillId="0" borderId="0" xfId="4" applyNumberFormat="1" applyFont="1" applyBorder="1" applyAlignment="1" applyProtection="1">
      <alignment vertical="top" wrapText="1"/>
    </xf>
    <xf numFmtId="0" fontId="21" fillId="0" borderId="61" xfId="4" applyNumberFormat="1" applyFont="1" applyBorder="1" applyAlignment="1">
      <alignment horizontal="left" wrapText="1"/>
    </xf>
    <xf numFmtId="0" fontId="21" fillId="0" borderId="0" xfId="4" applyNumberFormat="1" applyFont="1" applyBorder="1" applyAlignment="1">
      <alignment horizontal="left" wrapText="1"/>
    </xf>
    <xf numFmtId="0" fontId="30" fillId="3" borderId="0" xfId="0" applyFont="1" applyFill="1" applyBorder="1" applyAlignment="1">
      <alignment horizontal="center" vertical="center" wrapText="1"/>
    </xf>
    <xf numFmtId="0" fontId="30" fillId="3" borderId="8" xfId="0" applyFont="1" applyFill="1" applyBorder="1" applyAlignment="1">
      <alignment horizontal="center" vertical="center" wrapText="1"/>
    </xf>
    <xf numFmtId="0" fontId="23" fillId="0" borderId="702" xfId="0" applyFont="1" applyBorder="1" applyAlignment="1">
      <alignment vertical="top" wrapText="1"/>
    </xf>
    <xf numFmtId="2" fontId="21" fillId="0" borderId="791" xfId="4" quotePrefix="1" applyNumberFormat="1" applyFont="1" applyBorder="1" applyAlignment="1" applyProtection="1">
      <alignment horizontal="left" vertical="top"/>
    </xf>
    <xf numFmtId="2" fontId="21" fillId="0" borderId="786" xfId="4" quotePrefix="1" applyNumberFormat="1" applyFont="1" applyBorder="1" applyAlignment="1" applyProtection="1">
      <alignment horizontal="left" vertical="top"/>
    </xf>
    <xf numFmtId="0" fontId="21" fillId="0" borderId="34" xfId="4" quotePrefix="1" applyNumberFormat="1" applyFont="1" applyBorder="1" applyAlignment="1" applyProtection="1">
      <alignment horizontal="center" vertical="top"/>
    </xf>
    <xf numFmtId="0" fontId="21" fillId="0" borderId="32" xfId="4" quotePrefix="1" applyNumberFormat="1" applyFont="1" applyBorder="1" applyAlignment="1" applyProtection="1">
      <alignment horizontal="center" vertical="top"/>
    </xf>
    <xf numFmtId="0" fontId="21" fillId="0" borderId="34" xfId="4" quotePrefix="1" applyNumberFormat="1" applyFont="1" applyBorder="1" applyAlignment="1" applyProtection="1">
      <alignment horizontal="left" vertical="top"/>
    </xf>
    <xf numFmtId="0" fontId="21" fillId="0" borderId="32" xfId="4" quotePrefix="1" applyNumberFormat="1" applyFont="1" applyBorder="1" applyAlignment="1" applyProtection="1">
      <alignment horizontal="left" vertical="top"/>
    </xf>
    <xf numFmtId="0" fontId="0" fillId="0" borderId="121" xfId="0" applyBorder="1" applyProtection="1"/>
    <xf numFmtId="0" fontId="0" fillId="0" borderId="61" xfId="0" applyBorder="1" applyProtection="1"/>
    <xf numFmtId="0" fontId="0" fillId="0" borderId="122" xfId="0" applyBorder="1" applyProtection="1"/>
    <xf numFmtId="49" fontId="14" fillId="0" borderId="24" xfId="4" applyNumberFormat="1" applyFont="1" applyBorder="1" applyAlignment="1">
      <alignment horizontal="center" vertical="top" wrapText="1"/>
    </xf>
    <xf numFmtId="0" fontId="21" fillId="0" borderId="785" xfId="4" applyNumberFormat="1" applyFont="1" applyBorder="1" applyAlignment="1">
      <alignment horizontal="left" vertical="top" wrapText="1"/>
    </xf>
    <xf numFmtId="0" fontId="15" fillId="0" borderId="67" xfId="4" applyNumberFormat="1" applyFont="1" applyBorder="1" applyAlignment="1">
      <alignment horizontal="left" vertical="top" wrapText="1"/>
    </xf>
    <xf numFmtId="0" fontId="21" fillId="0" borderId="828" xfId="0" applyFont="1" applyBorder="1" applyAlignment="1" applyProtection="1">
      <alignment horizontal="left" vertical="top" wrapText="1"/>
    </xf>
    <xf numFmtId="0" fontId="23" fillId="40" borderId="895" xfId="23" applyBorder="1" applyAlignment="1">
      <alignment horizontal="left" vertical="top" wrapText="1"/>
      <protection locked="0"/>
    </xf>
    <xf numFmtId="0" fontId="23" fillId="40" borderId="828" xfId="23" applyBorder="1" applyAlignment="1">
      <alignment horizontal="left" vertical="top" wrapText="1"/>
      <protection locked="0"/>
    </xf>
    <xf numFmtId="0" fontId="0" fillId="0" borderId="202" xfId="0" applyBorder="1" applyAlignment="1" applyProtection="1">
      <alignment horizontal="center" vertical="center"/>
      <protection locked="0"/>
    </xf>
    <xf numFmtId="0" fontId="23" fillId="40" borderId="19" xfId="23" applyBorder="1">
      <alignment horizontal="left" vertical="top" wrapText="1"/>
      <protection locked="0"/>
    </xf>
    <xf numFmtId="0" fontId="23" fillId="40" borderId="18" xfId="23" applyBorder="1">
      <alignment horizontal="left" vertical="top" wrapText="1"/>
      <protection locked="0"/>
    </xf>
    <xf numFmtId="0" fontId="23" fillId="40" borderId="88" xfId="23" applyBorder="1">
      <alignment horizontal="left" vertical="top" wrapText="1"/>
      <protection locked="0"/>
    </xf>
    <xf numFmtId="0" fontId="23" fillId="40" borderId="672" xfId="23" applyBorder="1">
      <alignment horizontal="left" vertical="top" wrapText="1"/>
      <protection locked="0"/>
    </xf>
    <xf numFmtId="0" fontId="23" fillId="40" borderId="673" xfId="23" applyBorder="1">
      <alignment horizontal="left" vertical="top" wrapText="1"/>
      <protection locked="0"/>
    </xf>
    <xf numFmtId="0" fontId="23" fillId="40" borderId="674" xfId="23" applyBorder="1">
      <alignment horizontal="left" vertical="top" wrapText="1"/>
      <protection locked="0"/>
    </xf>
    <xf numFmtId="0" fontId="0" fillId="0" borderId="0" xfId="0" applyProtection="1"/>
    <xf numFmtId="0" fontId="22" fillId="0" borderId="368" xfId="0" applyFont="1" applyBorder="1" applyAlignment="1" applyProtection="1">
      <alignment horizontal="center" vertical="center" wrapText="1"/>
    </xf>
    <xf numFmtId="0" fontId="22" fillId="0" borderId="94" xfId="0" applyFont="1" applyBorder="1" applyAlignment="1" applyProtection="1">
      <alignment horizontal="center" vertical="center" wrapText="1"/>
    </xf>
    <xf numFmtId="0" fontId="1" fillId="0" borderId="72" xfId="0" applyFont="1" applyBorder="1" applyProtection="1"/>
    <xf numFmtId="0" fontId="1" fillId="0" borderId="58" xfId="0" applyFont="1" applyBorder="1" applyProtection="1"/>
    <xf numFmtId="0" fontId="1" fillId="0" borderId="455" xfId="0" applyFont="1" applyBorder="1" applyProtection="1"/>
    <xf numFmtId="0" fontId="30" fillId="0" borderId="106" xfId="0" applyFont="1" applyBorder="1" applyAlignment="1" applyProtection="1">
      <alignment horizontal="center" vertical="center" wrapText="1"/>
      <protection locked="0"/>
    </xf>
    <xf numFmtId="0" fontId="21" fillId="0" borderId="67" xfId="0" applyFont="1" applyBorder="1" applyAlignment="1" applyProtection="1">
      <alignment vertical="top" wrapText="1"/>
    </xf>
    <xf numFmtId="0" fontId="22" fillId="0" borderId="67" xfId="0" applyFont="1" applyBorder="1" applyAlignment="1" applyProtection="1">
      <alignment vertical="top" wrapText="1"/>
    </xf>
    <xf numFmtId="0" fontId="23" fillId="40" borderId="367" xfId="23" applyBorder="1">
      <alignment horizontal="left" vertical="top" wrapText="1"/>
      <protection locked="0"/>
    </xf>
    <xf numFmtId="0" fontId="23" fillId="40" borderId="67" xfId="23" applyBorder="1">
      <alignment horizontal="left" vertical="top" wrapText="1"/>
      <protection locked="0"/>
    </xf>
    <xf numFmtId="0" fontId="23" fillId="0" borderId="122" xfId="0" quotePrefix="1" applyFont="1" applyBorder="1" applyAlignment="1" applyProtection="1">
      <alignment horizontal="center" vertical="center" wrapText="1"/>
      <protection locked="0"/>
    </xf>
    <xf numFmtId="0" fontId="23" fillId="0" borderId="13" xfId="0" applyFont="1" applyBorder="1" applyAlignment="1" applyProtection="1">
      <alignment horizontal="center" vertical="center" wrapText="1"/>
      <protection locked="0"/>
    </xf>
    <xf numFmtId="0" fontId="21" fillId="0" borderId="0" xfId="0" applyFont="1" applyBorder="1" applyAlignment="1" applyProtection="1">
      <alignment vertical="top" wrapText="1"/>
    </xf>
    <xf numFmtId="0" fontId="22" fillId="0" borderId="67" xfId="0" applyFont="1" applyBorder="1" applyAlignment="1" applyProtection="1">
      <alignment horizontal="left" vertical="top" wrapText="1"/>
    </xf>
    <xf numFmtId="0" fontId="23" fillId="0" borderId="13" xfId="0" quotePrefix="1" applyFont="1" applyBorder="1" applyAlignment="1" applyProtection="1">
      <alignment horizontal="center" vertical="center" wrapText="1"/>
      <protection locked="0"/>
    </xf>
    <xf numFmtId="167" fontId="26" fillId="0" borderId="550" xfId="10" applyFont="1" applyFill="1" applyBorder="1" applyAlignment="1">
      <alignment horizontal="left" vertical="center" wrapText="1"/>
    </xf>
    <xf numFmtId="167" fontId="26" fillId="0" borderId="580" xfId="10" applyFont="1" applyFill="1" applyBorder="1" applyAlignment="1">
      <alignment horizontal="left" vertical="center" wrapText="1"/>
    </xf>
    <xf numFmtId="167" fontId="26" fillId="0" borderId="581" xfId="10" applyFont="1" applyFill="1" applyBorder="1" applyAlignment="1">
      <alignment horizontal="left" vertical="center" wrapText="1"/>
    </xf>
    <xf numFmtId="0" fontId="21" fillId="0" borderId="0" xfId="0" applyFont="1" applyBorder="1" applyAlignment="1" applyProtection="1">
      <alignment horizontal="left" vertical="top" wrapText="1"/>
    </xf>
    <xf numFmtId="0" fontId="21" fillId="0" borderId="81" xfId="0" applyNumberFormat="1" applyFont="1" applyBorder="1" applyAlignment="1" applyProtection="1">
      <alignment horizontal="center" vertical="center" wrapText="1"/>
    </xf>
    <xf numFmtId="0" fontId="21" fillId="0" borderId="82" xfId="0" applyNumberFormat="1" applyFont="1" applyBorder="1" applyAlignment="1" applyProtection="1">
      <alignment horizontal="center" vertical="center" wrapText="1"/>
    </xf>
    <xf numFmtId="0" fontId="22" fillId="0" borderId="75" xfId="0" applyFont="1" applyBorder="1" applyAlignment="1" applyProtection="1">
      <alignment horizontal="center" vertical="top" wrapText="1"/>
    </xf>
    <xf numFmtId="0" fontId="22" fillId="0" borderId="76" xfId="0" applyFont="1" applyBorder="1" applyAlignment="1" applyProtection="1">
      <alignment horizontal="center" vertical="top" wrapText="1"/>
    </xf>
    <xf numFmtId="0" fontId="22" fillId="0" borderId="77" xfId="0" applyFont="1" applyBorder="1" applyAlignment="1" applyProtection="1">
      <alignment horizontal="center" vertical="top" wrapText="1"/>
    </xf>
    <xf numFmtId="0" fontId="0" fillId="0" borderId="0" xfId="0" applyFont="1" applyBorder="1" applyAlignment="1" applyProtection="1">
      <alignment horizontal="left" vertical="top"/>
    </xf>
    <xf numFmtId="0" fontId="55" fillId="0" borderId="0" xfId="0" applyFont="1" applyBorder="1" applyAlignment="1" applyProtection="1">
      <alignment vertical="top" wrapText="1"/>
    </xf>
    <xf numFmtId="0" fontId="22" fillId="0" borderId="67" xfId="0" applyFont="1" applyBorder="1" applyAlignment="1" applyProtection="1">
      <alignment horizontal="center" vertical="center" wrapText="1"/>
    </xf>
    <xf numFmtId="0" fontId="22" fillId="0" borderId="0" xfId="0" applyFont="1" applyBorder="1" applyAlignment="1" applyProtection="1">
      <alignment horizontal="center" vertical="center" wrapText="1"/>
    </xf>
    <xf numFmtId="1" fontId="26" fillId="10" borderId="16" xfId="9" applyBorder="1" applyProtection="1">
      <alignment horizontal="center" vertical="center"/>
      <protection locked="0"/>
    </xf>
    <xf numFmtId="167" fontId="27" fillId="11" borderId="60" xfId="10" applyBorder="1" applyAlignment="1" applyProtection="1">
      <alignment horizontal="left" vertical="center" wrapText="1"/>
    </xf>
    <xf numFmtId="0" fontId="23" fillId="40" borderId="367" xfId="23" applyBorder="1" applyProtection="1">
      <alignment horizontal="left" vertical="top" wrapText="1"/>
      <protection locked="0"/>
    </xf>
    <xf numFmtId="0" fontId="23" fillId="40" borderId="67" xfId="23" applyBorder="1" applyProtection="1">
      <alignment horizontal="left" vertical="top" wrapText="1"/>
      <protection locked="0"/>
    </xf>
    <xf numFmtId="0" fontId="23" fillId="40" borderId="72" xfId="23" applyBorder="1" applyProtection="1">
      <alignment horizontal="left" vertical="top" wrapText="1"/>
      <protection locked="0"/>
    </xf>
    <xf numFmtId="0" fontId="23" fillId="40" borderId="58" xfId="23" applyBorder="1" applyProtection="1">
      <alignment horizontal="left" vertical="top" wrapText="1"/>
      <protection locked="0"/>
    </xf>
    <xf numFmtId="0" fontId="23" fillId="40" borderId="32" xfId="23" applyBorder="1">
      <alignment horizontal="left" vertical="top" wrapText="1"/>
      <protection locked="0"/>
    </xf>
    <xf numFmtId="0" fontId="21" fillId="0" borderId="67" xfId="0" applyFont="1" applyBorder="1" applyAlignment="1" applyProtection="1">
      <alignment horizontal="left" vertical="top" wrapText="1"/>
    </xf>
    <xf numFmtId="0" fontId="23" fillId="40" borderId="482" xfId="23" applyBorder="1">
      <alignment horizontal="left" vertical="top" wrapText="1"/>
      <protection locked="0"/>
    </xf>
    <xf numFmtId="0" fontId="23" fillId="40" borderId="91" xfId="23" applyBorder="1">
      <alignment horizontal="left" vertical="top" wrapText="1"/>
      <protection locked="0"/>
    </xf>
    <xf numFmtId="0" fontId="1" fillId="0" borderId="34" xfId="0" applyFont="1" applyBorder="1" applyProtection="1"/>
    <xf numFmtId="0" fontId="1" fillId="0" borderId="117" xfId="0" applyFont="1" applyBorder="1" applyProtection="1"/>
    <xf numFmtId="0" fontId="23" fillId="40" borderId="8" xfId="23" applyBorder="1">
      <alignment horizontal="left" vertical="top" wrapText="1"/>
      <protection locked="0"/>
    </xf>
    <xf numFmtId="49" fontId="20" fillId="52" borderId="688" xfId="7" applyBorder="1">
      <alignment horizontal="left" vertical="center" wrapText="1"/>
    </xf>
    <xf numFmtId="49" fontId="20" fillId="52" borderId="559" xfId="7" applyBorder="1">
      <alignment horizontal="left" vertical="center" wrapText="1"/>
    </xf>
    <xf numFmtId="49" fontId="20" fillId="52" borderId="689" xfId="7" applyBorder="1">
      <alignment horizontal="left" vertical="center" wrapText="1"/>
    </xf>
    <xf numFmtId="0" fontId="22" fillId="0" borderId="0" xfId="0" applyFont="1" applyBorder="1" applyAlignment="1" applyProtection="1">
      <alignment vertical="top" wrapText="1"/>
    </xf>
    <xf numFmtId="0" fontId="22" fillId="0" borderId="78" xfId="0" applyFont="1" applyBorder="1" applyAlignment="1" applyProtection="1">
      <alignment horizontal="center" vertical="top" wrapText="1"/>
    </xf>
    <xf numFmtId="0" fontId="22" fillId="0" borderId="79" xfId="0" applyFont="1" applyBorder="1" applyAlignment="1" applyProtection="1">
      <alignment horizontal="center" vertical="top" wrapText="1"/>
    </xf>
    <xf numFmtId="49" fontId="22" fillId="0" borderId="79" xfId="0" applyNumberFormat="1" applyFont="1" applyBorder="1" applyAlignment="1" applyProtection="1">
      <alignment horizontal="center" vertical="center" wrapText="1"/>
    </xf>
    <xf numFmtId="49" fontId="22" fillId="0" borderId="488" xfId="0" applyNumberFormat="1" applyFont="1" applyBorder="1" applyAlignment="1" applyProtection="1">
      <alignment horizontal="center" vertical="center" wrapText="1"/>
    </xf>
    <xf numFmtId="49" fontId="21" fillId="0" borderId="78" xfId="0" applyNumberFormat="1" applyFont="1" applyBorder="1" applyAlignment="1" applyProtection="1">
      <alignment horizontal="center" vertical="center" wrapText="1"/>
    </xf>
    <xf numFmtId="49" fontId="21" fillId="0" borderId="79" xfId="0" applyNumberFormat="1" applyFont="1" applyBorder="1" applyAlignment="1" applyProtection="1">
      <alignment horizontal="center" vertical="center" wrapText="1"/>
    </xf>
    <xf numFmtId="49" fontId="21" fillId="0" borderId="80" xfId="0" applyNumberFormat="1" applyFont="1" applyBorder="1" applyAlignment="1" applyProtection="1">
      <alignment horizontal="center" vertical="center" wrapText="1"/>
    </xf>
    <xf numFmtId="49" fontId="21" fillId="0" borderId="81" xfId="0" applyNumberFormat="1" applyFont="1" applyBorder="1" applyAlignment="1" applyProtection="1">
      <alignment horizontal="center" vertical="center" wrapText="1"/>
    </xf>
    <xf numFmtId="0" fontId="21" fillId="0" borderId="79" xfId="0" applyNumberFormat="1" applyFont="1" applyBorder="1" applyAlignment="1" applyProtection="1">
      <alignment horizontal="center" vertical="center" wrapText="1"/>
    </xf>
    <xf numFmtId="0" fontId="21" fillId="0" borderId="488" xfId="0" applyNumberFormat="1" applyFont="1" applyBorder="1" applyAlignment="1" applyProtection="1">
      <alignment horizontal="center" vertical="center" wrapText="1"/>
    </xf>
    <xf numFmtId="0" fontId="23" fillId="40" borderId="528" xfId="23" applyBorder="1">
      <alignment horizontal="left" vertical="top" wrapText="1"/>
      <protection locked="0"/>
    </xf>
    <xf numFmtId="0" fontId="23" fillId="40" borderId="529" xfId="23" applyBorder="1">
      <alignment horizontal="left" vertical="top" wrapText="1"/>
      <protection locked="0"/>
    </xf>
    <xf numFmtId="167" fontId="50" fillId="11" borderId="408" xfId="10" applyFont="1" applyBorder="1" applyProtection="1">
      <alignment horizontal="left" vertical="top" wrapText="1"/>
    </xf>
    <xf numFmtId="0" fontId="0" fillId="0" borderId="89" xfId="0" applyBorder="1" applyProtection="1"/>
    <xf numFmtId="0" fontId="21" fillId="0" borderId="79" xfId="0" applyFont="1" applyBorder="1" applyAlignment="1" applyProtection="1">
      <alignment horizontal="center" vertical="top" wrapText="1"/>
    </xf>
    <xf numFmtId="0" fontId="21" fillId="0" borderId="488" xfId="0" applyFont="1" applyBorder="1" applyAlignment="1" applyProtection="1">
      <alignment horizontal="center" vertical="top" wrapText="1"/>
    </xf>
    <xf numFmtId="0" fontId="13" fillId="0" borderId="75" xfId="0" applyFont="1" applyBorder="1" applyAlignment="1" applyProtection="1">
      <alignment horizontal="center" vertical="center" wrapText="1"/>
    </xf>
    <xf numFmtId="0" fontId="13" fillId="0" borderId="76" xfId="0" applyFont="1" applyBorder="1" applyAlignment="1" applyProtection="1">
      <alignment horizontal="center" vertical="center"/>
    </xf>
    <xf numFmtId="0" fontId="13" fillId="0" borderId="77" xfId="0" applyFont="1" applyBorder="1" applyAlignment="1" applyProtection="1">
      <alignment horizontal="center" vertical="center"/>
    </xf>
    <xf numFmtId="0" fontId="23" fillId="0" borderId="78" xfId="0" applyFont="1" applyBorder="1" applyAlignment="1" applyProtection="1">
      <alignment horizontal="center"/>
    </xf>
    <xf numFmtId="0" fontId="23" fillId="0" borderId="79" xfId="0" applyFont="1" applyBorder="1" applyAlignment="1" applyProtection="1">
      <alignment horizontal="center"/>
    </xf>
    <xf numFmtId="167" fontId="50" fillId="11" borderId="71" xfId="10" applyFont="1" applyBorder="1" applyProtection="1">
      <alignment horizontal="left" vertical="top" wrapText="1"/>
    </xf>
    <xf numFmtId="0" fontId="22" fillId="0" borderId="18" xfId="0" applyFont="1" applyBorder="1" applyAlignment="1" applyProtection="1">
      <alignment vertical="top" wrapText="1"/>
    </xf>
    <xf numFmtId="1" fontId="21" fillId="0" borderId="81" xfId="0" applyNumberFormat="1" applyFont="1" applyBorder="1" applyAlignment="1" applyProtection="1">
      <alignment horizontal="center" vertical="center" wrapText="1"/>
    </xf>
    <xf numFmtId="0" fontId="21" fillId="0" borderId="81" xfId="0" applyFont="1" applyBorder="1" applyAlignment="1" applyProtection="1">
      <alignment horizontal="center" vertical="center" wrapText="1"/>
    </xf>
    <xf numFmtId="0" fontId="21" fillId="0" borderId="428" xfId="0" applyFont="1" applyBorder="1" applyAlignment="1" applyProtection="1">
      <alignment horizontal="center" vertical="top" wrapText="1"/>
    </xf>
    <xf numFmtId="0" fontId="21" fillId="0" borderId="501" xfId="0" applyFont="1" applyBorder="1" applyAlignment="1" applyProtection="1">
      <alignment horizontal="center" vertical="top" wrapText="1"/>
    </xf>
    <xf numFmtId="0" fontId="22" fillId="0" borderId="80" xfId="0" applyFont="1" applyBorder="1" applyAlignment="1" applyProtection="1">
      <alignment horizontal="center" vertical="center" wrapText="1"/>
    </xf>
    <xf numFmtId="0" fontId="22" fillId="0" borderId="81" xfId="0" applyFont="1" applyBorder="1" applyAlignment="1" applyProtection="1">
      <alignment horizontal="center" vertical="center" wrapText="1"/>
    </xf>
    <xf numFmtId="0" fontId="28" fillId="0" borderId="362" xfId="0" applyFont="1" applyBorder="1" applyAlignment="1" applyProtection="1">
      <alignment horizontal="center" vertical="center" wrapText="1"/>
    </xf>
    <xf numFmtId="0" fontId="28" fillId="0" borderId="0" xfId="0" applyFont="1" applyBorder="1" applyAlignment="1" applyProtection="1">
      <alignment horizontal="center" vertical="center" wrapText="1"/>
    </xf>
    <xf numFmtId="0" fontId="28" fillId="0" borderId="593" xfId="0" applyFont="1" applyBorder="1" applyAlignment="1" applyProtection="1">
      <alignment horizontal="center" vertical="center" wrapText="1"/>
    </xf>
    <xf numFmtId="0" fontId="28" fillId="0" borderId="30" xfId="0" applyFont="1" applyBorder="1" applyAlignment="1" applyProtection="1">
      <alignment horizontal="center" vertical="center" wrapText="1"/>
    </xf>
    <xf numFmtId="0" fontId="22" fillId="0" borderId="0" xfId="0" applyFont="1" applyBorder="1" applyAlignment="1" applyProtection="1">
      <alignment horizontal="center" vertical="top" wrapText="1"/>
    </xf>
    <xf numFmtId="0" fontId="13" fillId="0" borderId="78" xfId="0" applyFont="1" applyBorder="1" applyAlignment="1" applyProtection="1">
      <alignment horizontal="center" vertical="center" wrapText="1"/>
    </xf>
    <xf numFmtId="0" fontId="13" fillId="0" borderId="79" xfId="0" applyFont="1" applyBorder="1" applyAlignment="1" applyProtection="1">
      <alignment horizontal="center" vertical="center" wrapText="1"/>
    </xf>
    <xf numFmtId="0" fontId="13" fillId="0" borderId="488" xfId="0" applyFont="1" applyBorder="1" applyAlignment="1" applyProtection="1">
      <alignment horizontal="center" vertical="center" wrapText="1"/>
    </xf>
    <xf numFmtId="0" fontId="21" fillId="0" borderId="0" xfId="0" applyFont="1" applyBorder="1" applyAlignment="1" applyProtection="1">
      <alignment horizontal="center" vertical="center"/>
    </xf>
    <xf numFmtId="0" fontId="21" fillId="0" borderId="89" xfId="0" applyFont="1" applyBorder="1" applyAlignment="1" applyProtection="1">
      <alignment horizontal="center" vertical="center"/>
    </xf>
    <xf numFmtId="167" fontId="50" fillId="11" borderId="60" xfId="10" applyFont="1" applyBorder="1" applyProtection="1">
      <alignment horizontal="left" vertical="top" wrapText="1"/>
    </xf>
    <xf numFmtId="0" fontId="22" fillId="0" borderId="174" xfId="0" applyFont="1" applyBorder="1" applyAlignment="1" applyProtection="1">
      <alignment horizontal="center" vertical="top" wrapText="1"/>
    </xf>
    <xf numFmtId="0" fontId="22" fillId="0" borderId="27" xfId="0" applyFont="1" applyBorder="1" applyAlignment="1" applyProtection="1">
      <alignment horizontal="center" vertical="top" wrapText="1"/>
    </xf>
    <xf numFmtId="0" fontId="22" fillId="0" borderId="175" xfId="0" applyFont="1" applyBorder="1" applyAlignment="1" applyProtection="1">
      <alignment horizontal="center" vertical="top" wrapText="1"/>
    </xf>
    <xf numFmtId="0" fontId="23" fillId="0" borderId="400" xfId="0" applyFont="1" applyFill="1" applyBorder="1" applyAlignment="1" applyProtection="1">
      <alignment vertical="top"/>
    </xf>
    <xf numFmtId="0" fontId="23" fillId="0" borderId="366" xfId="0" applyFont="1" applyFill="1" applyBorder="1" applyAlignment="1" applyProtection="1">
      <alignment vertical="top"/>
    </xf>
    <xf numFmtId="0" fontId="61" fillId="0" borderId="12" xfId="0" applyFont="1" applyBorder="1" applyAlignment="1" applyProtection="1">
      <alignment vertical="top" wrapText="1"/>
    </xf>
    <xf numFmtId="0" fontId="61" fillId="0" borderId="0" xfId="0" applyFont="1" applyBorder="1" applyAlignment="1" applyProtection="1">
      <alignment vertical="top" wrapText="1"/>
    </xf>
    <xf numFmtId="0" fontId="22" fillId="0" borderId="0" xfId="18" applyFont="1" applyFill="1" applyBorder="1" applyProtection="1">
      <alignment horizontal="left" vertical="center"/>
    </xf>
    <xf numFmtId="167" fontId="49" fillId="11" borderId="21" xfId="10" applyFont="1" applyBorder="1" applyProtection="1">
      <alignment horizontal="left" vertical="top" wrapText="1"/>
    </xf>
    <xf numFmtId="0" fontId="0" fillId="0" borderId="522" xfId="0" applyBorder="1" applyAlignment="1" applyProtection="1">
      <alignment horizontal="left" vertical="top"/>
    </xf>
    <xf numFmtId="0" fontId="0" fillId="0" borderId="147" xfId="0" applyBorder="1" applyAlignment="1" applyProtection="1">
      <alignment horizontal="left" vertical="top"/>
    </xf>
    <xf numFmtId="0" fontId="0" fillId="0" borderId="196" xfId="0" applyBorder="1" applyAlignment="1" applyProtection="1">
      <alignment horizontal="left" vertical="top"/>
    </xf>
    <xf numFmtId="0" fontId="22" fillId="0" borderId="89" xfId="18" applyFont="1" applyFill="1" applyBorder="1" applyProtection="1">
      <alignment horizontal="left" vertical="center"/>
    </xf>
    <xf numFmtId="0" fontId="23" fillId="40" borderId="519" xfId="23" applyBorder="1">
      <alignment horizontal="left" vertical="top" wrapText="1"/>
      <protection locked="0"/>
    </xf>
    <xf numFmtId="0" fontId="23" fillId="40" borderId="366" xfId="23" applyBorder="1">
      <alignment horizontal="left" vertical="top" wrapText="1"/>
      <protection locked="0"/>
    </xf>
    <xf numFmtId="0" fontId="23" fillId="0" borderId="342" xfId="0" applyFont="1" applyFill="1" applyBorder="1" applyAlignment="1" applyProtection="1">
      <alignment vertical="top"/>
    </xf>
    <xf numFmtId="0" fontId="23" fillId="0" borderId="67" xfId="0" applyFont="1" applyFill="1" applyBorder="1" applyAlignment="1" applyProtection="1">
      <alignment vertical="top"/>
    </xf>
    <xf numFmtId="0" fontId="23" fillId="40" borderId="520" xfId="23" applyBorder="1">
      <alignment horizontal="left" vertical="top" wrapText="1"/>
      <protection locked="0"/>
    </xf>
    <xf numFmtId="0" fontId="23" fillId="40" borderId="521" xfId="23" applyBorder="1">
      <alignment horizontal="left" vertical="top" wrapText="1"/>
      <protection locked="0"/>
    </xf>
    <xf numFmtId="0" fontId="23" fillId="0" borderId="342" xfId="0" applyFont="1" applyFill="1" applyBorder="1" applyAlignment="1" applyProtection="1">
      <alignment vertical="top" wrapText="1"/>
    </xf>
    <xf numFmtId="0" fontId="22" fillId="0" borderId="32" xfId="0" applyFont="1" applyBorder="1" applyAlignment="1" applyProtection="1">
      <alignment vertical="top" wrapText="1"/>
    </xf>
    <xf numFmtId="0" fontId="22" fillId="0" borderId="96" xfId="0" applyFont="1" applyBorder="1" applyAlignment="1" applyProtection="1">
      <alignment vertical="top" wrapText="1"/>
    </xf>
    <xf numFmtId="0" fontId="23" fillId="40" borderId="90" xfId="23" applyBorder="1">
      <alignment horizontal="left" vertical="top" wrapText="1"/>
      <protection locked="0"/>
    </xf>
    <xf numFmtId="0" fontId="22" fillId="0" borderId="34" xfId="0" applyFont="1" applyBorder="1" applyAlignment="1" applyProtection="1">
      <alignment horizontal="left" vertical="top" wrapText="1"/>
    </xf>
    <xf numFmtId="0" fontId="22" fillId="0" borderId="34" xfId="0" applyFont="1" applyBorder="1" applyAlignment="1" applyProtection="1">
      <alignment vertical="top" wrapText="1"/>
    </xf>
    <xf numFmtId="0" fontId="22" fillId="0" borderId="117" xfId="0" applyFont="1" applyBorder="1" applyAlignment="1" applyProtection="1">
      <alignment vertical="top" wrapText="1"/>
    </xf>
    <xf numFmtId="0" fontId="21" fillId="0" borderId="26" xfId="0" applyFont="1" applyBorder="1" applyAlignment="1" applyProtection="1">
      <alignment vertical="top" wrapText="1"/>
    </xf>
    <xf numFmtId="0" fontId="21" fillId="0" borderId="518" xfId="0" applyFont="1" applyBorder="1" applyAlignment="1" applyProtection="1">
      <alignment horizontal="left" vertical="top" wrapText="1"/>
    </xf>
    <xf numFmtId="0" fontId="101" fillId="0" borderId="518" xfId="0" applyFont="1" applyBorder="1" applyAlignment="1" applyProtection="1">
      <alignment horizontal="left" vertical="top" wrapText="1"/>
    </xf>
    <xf numFmtId="0" fontId="21" fillId="0" borderId="78" xfId="0" applyFont="1" applyBorder="1" applyAlignment="1" applyProtection="1">
      <alignment horizontal="left" vertical="top" wrapText="1"/>
    </xf>
    <xf numFmtId="0" fontId="21" fillId="0" borderId="79" xfId="0" applyFont="1" applyBorder="1" applyAlignment="1" applyProtection="1">
      <alignment horizontal="left" vertical="top" wrapText="1"/>
    </xf>
    <xf numFmtId="0" fontId="21" fillId="0" borderId="488" xfId="0" applyFont="1" applyBorder="1" applyAlignment="1" applyProtection="1">
      <alignment horizontal="left" vertical="top" wrapText="1"/>
    </xf>
    <xf numFmtId="0" fontId="23" fillId="0" borderId="89" xfId="0" applyFont="1" applyBorder="1" applyAlignment="1" applyProtection="1">
      <alignment horizontal="left" vertical="top"/>
    </xf>
    <xf numFmtId="0" fontId="21" fillId="0" borderId="80" xfId="0" applyFont="1" applyBorder="1" applyAlignment="1" applyProtection="1">
      <alignment horizontal="left" vertical="top" wrapText="1"/>
    </xf>
    <xf numFmtId="0" fontId="21" fillId="0" borderId="81" xfId="0" applyFont="1" applyBorder="1" applyAlignment="1" applyProtection="1">
      <alignment horizontal="left" vertical="top" wrapText="1"/>
    </xf>
    <xf numFmtId="0" fontId="21" fillId="0" borderId="82" xfId="0" applyFont="1" applyBorder="1" applyAlignment="1" applyProtection="1">
      <alignment horizontal="left" vertical="top" wrapText="1"/>
    </xf>
    <xf numFmtId="0" fontId="23" fillId="0" borderId="26" xfId="0" applyFont="1" applyBorder="1" applyAlignment="1" applyProtection="1">
      <alignment horizontal="left" vertical="top"/>
    </xf>
    <xf numFmtId="0" fontId="23" fillId="0" borderId="90" xfId="0" applyFont="1" applyBorder="1" applyAlignment="1" applyProtection="1">
      <alignment horizontal="left" vertical="top"/>
    </xf>
    <xf numFmtId="167" fontId="21" fillId="0" borderId="26" xfId="12" applyNumberFormat="1" applyFill="1" applyBorder="1" applyProtection="1">
      <alignment horizontal="left" vertical="top" wrapText="1"/>
    </xf>
    <xf numFmtId="0" fontId="0" fillId="0" borderId="13" xfId="0" quotePrefix="1" applyBorder="1" applyAlignment="1" applyProtection="1">
      <alignment horizontal="center" vertical="center" wrapText="1"/>
      <protection locked="0"/>
    </xf>
    <xf numFmtId="0" fontId="0" fillId="0" borderId="140" xfId="0" quotePrefix="1" applyBorder="1" applyAlignment="1" applyProtection="1">
      <alignment horizontal="center" vertical="center" wrapText="1"/>
      <protection locked="0"/>
    </xf>
    <xf numFmtId="0" fontId="23" fillId="0" borderId="12" xfId="0" applyFont="1" applyFill="1" applyBorder="1" applyAlignment="1" applyProtection="1">
      <alignment vertical="top"/>
    </xf>
    <xf numFmtId="0" fontId="23" fillId="0" borderId="0" xfId="0" applyFont="1" applyFill="1" applyBorder="1" applyAlignment="1" applyProtection="1">
      <alignment vertical="top"/>
    </xf>
    <xf numFmtId="167" fontId="23" fillId="0" borderId="160" xfId="0" applyNumberFormat="1" applyFont="1" applyFill="1" applyBorder="1" applyAlignment="1" applyProtection="1">
      <alignment vertical="top"/>
    </xf>
    <xf numFmtId="167" fontId="23" fillId="0" borderId="18" xfId="0" applyNumberFormat="1" applyFont="1" applyFill="1" applyBorder="1" applyAlignment="1" applyProtection="1">
      <alignment vertical="top"/>
    </xf>
    <xf numFmtId="0" fontId="21" fillId="0" borderId="18" xfId="0" applyFont="1" applyBorder="1" applyAlignment="1" applyProtection="1">
      <alignment vertical="top" wrapText="1"/>
    </xf>
    <xf numFmtId="0" fontId="23" fillId="40" borderId="0" xfId="23" applyProtection="1">
      <alignment horizontal="left" vertical="top" wrapText="1"/>
      <protection locked="0"/>
    </xf>
    <xf numFmtId="0" fontId="39" fillId="0" borderId="18" xfId="0" applyFont="1" applyBorder="1" applyProtection="1"/>
    <xf numFmtId="0" fontId="23" fillId="40" borderId="592" xfId="23" applyBorder="1" applyProtection="1">
      <alignment horizontal="left" vertical="top" wrapText="1"/>
      <protection locked="0"/>
    </xf>
    <xf numFmtId="0" fontId="21" fillId="0" borderId="75" xfId="0" applyFont="1" applyBorder="1" applyAlignment="1" applyProtection="1">
      <alignment horizontal="left" vertical="top" wrapText="1"/>
    </xf>
    <xf numFmtId="0" fontId="21" fillId="0" borderId="76" xfId="0" applyFont="1" applyBorder="1" applyAlignment="1" applyProtection="1">
      <alignment horizontal="left" vertical="top" wrapText="1"/>
    </xf>
    <xf numFmtId="0" fontId="21" fillId="0" borderId="77" xfId="0" applyFont="1" applyBorder="1" applyAlignment="1" applyProtection="1">
      <alignment horizontal="left" vertical="top" wrapText="1"/>
    </xf>
    <xf numFmtId="0" fontId="21" fillId="0" borderId="591" xfId="0" applyFont="1" applyBorder="1" applyAlignment="1" applyProtection="1">
      <alignment vertical="top" wrapText="1"/>
    </xf>
    <xf numFmtId="0" fontId="22" fillId="0" borderId="0" xfId="4" applyFont="1" applyBorder="1" applyAlignment="1">
      <alignment horizontal="right" wrapText="1"/>
    </xf>
    <xf numFmtId="0" fontId="22" fillId="0" borderId="24" xfId="4" applyFont="1" applyBorder="1" applyAlignment="1">
      <alignment horizontal="right" wrapText="1"/>
    </xf>
    <xf numFmtId="0" fontId="0" fillId="0" borderId="64" xfId="0" applyBorder="1" applyProtection="1"/>
    <xf numFmtId="0" fontId="21" fillId="0" borderId="8" xfId="0" applyFont="1" applyBorder="1" applyAlignment="1" applyProtection="1">
      <alignment vertical="top" wrapText="1"/>
    </xf>
    <xf numFmtId="0" fontId="23" fillId="0" borderId="193" xfId="0" applyFont="1" applyBorder="1" applyAlignment="1" applyProtection="1">
      <alignment vertical="top"/>
    </xf>
    <xf numFmtId="0" fontId="23" fillId="0" borderId="27" xfId="0" applyFont="1" applyBorder="1" applyAlignment="1" applyProtection="1">
      <alignment vertical="top"/>
    </xf>
    <xf numFmtId="0" fontId="23" fillId="40" borderId="29" xfId="23" applyBorder="1">
      <alignment horizontal="left" vertical="top" wrapText="1"/>
      <protection locked="0"/>
    </xf>
    <xf numFmtId="0" fontId="23" fillId="40" borderId="27" xfId="23" applyBorder="1">
      <alignment horizontal="left" vertical="top" wrapText="1"/>
      <protection locked="0"/>
    </xf>
    <xf numFmtId="167" fontId="21" fillId="0" borderId="0" xfId="12" applyNumberFormat="1" applyFill="1" applyBorder="1" applyProtection="1">
      <alignment horizontal="left" vertical="top" wrapText="1"/>
    </xf>
    <xf numFmtId="49" fontId="54" fillId="0" borderId="0" xfId="16" applyBorder="1" applyAlignment="1" applyProtection="1">
      <alignment horizontal="center" vertical="center" wrapText="1"/>
    </xf>
    <xf numFmtId="49" fontId="54" fillId="0" borderId="26" xfId="16" applyBorder="1" applyAlignment="1" applyProtection="1">
      <alignment horizontal="center" vertical="center" wrapText="1"/>
    </xf>
    <xf numFmtId="167" fontId="24" fillId="0" borderId="18" xfId="12" applyNumberFormat="1" applyFont="1" applyFill="1" applyBorder="1" applyProtection="1">
      <alignment horizontal="left" vertical="top" wrapText="1"/>
    </xf>
    <xf numFmtId="167" fontId="21" fillId="0" borderId="18" xfId="12" applyNumberFormat="1" applyFill="1" applyBorder="1" applyProtection="1">
      <alignment horizontal="left" vertical="top" wrapText="1"/>
    </xf>
    <xf numFmtId="167" fontId="21" fillId="0" borderId="88" xfId="12" applyNumberFormat="1" applyFill="1" applyBorder="1" applyProtection="1">
      <alignment horizontal="left" vertical="top" wrapText="1"/>
    </xf>
    <xf numFmtId="0" fontId="23" fillId="0" borderId="441" xfId="0" quotePrefix="1" applyFont="1" applyBorder="1" applyAlignment="1" applyProtection="1">
      <alignment horizontal="center" vertical="center" wrapText="1"/>
      <protection locked="0"/>
    </xf>
    <xf numFmtId="0" fontId="23" fillId="0" borderId="587" xfId="0" quotePrefix="1" applyFont="1" applyBorder="1" applyAlignment="1" applyProtection="1">
      <alignment horizontal="center" vertical="center" wrapText="1"/>
      <protection locked="0"/>
    </xf>
    <xf numFmtId="0" fontId="0" fillId="0" borderId="18" xfId="0" applyBorder="1"/>
    <xf numFmtId="0" fontId="0" fillId="0" borderId="0" xfId="0"/>
    <xf numFmtId="0" fontId="21" fillId="0" borderId="27" xfId="0" applyFont="1" applyBorder="1" applyAlignment="1" applyProtection="1">
      <alignment vertical="top" wrapText="1"/>
    </xf>
    <xf numFmtId="0" fontId="22" fillId="0" borderId="34" xfId="0" applyFont="1" applyBorder="1" applyAlignment="1" applyProtection="1">
      <alignment horizontal="center" vertical="center" wrapText="1"/>
    </xf>
    <xf numFmtId="0" fontId="17" fillId="0" borderId="0" xfId="5" applyBorder="1" applyAlignment="1" applyProtection="1">
      <alignment vertical="center" wrapText="1"/>
      <protection locked="0"/>
    </xf>
    <xf numFmtId="0" fontId="1" fillId="0" borderId="0" xfId="0" applyFont="1" applyBorder="1" applyProtection="1"/>
    <xf numFmtId="167" fontId="27" fillId="11" borderId="71" xfId="10" applyBorder="1" applyProtection="1">
      <alignment horizontal="left" vertical="top" wrapText="1"/>
    </xf>
    <xf numFmtId="0" fontId="1" fillId="0" borderId="26" xfId="0" applyFont="1" applyBorder="1" applyProtection="1"/>
    <xf numFmtId="0" fontId="13" fillId="0" borderId="34" xfId="17" applyFont="1" applyFill="1" applyBorder="1" applyAlignment="1" applyProtection="1">
      <alignment vertical="top" wrapText="1"/>
    </xf>
    <xf numFmtId="0" fontId="23" fillId="0" borderId="32" xfId="17" applyFont="1" applyFill="1" applyBorder="1" applyAlignment="1" applyProtection="1">
      <alignment vertical="top" wrapText="1"/>
    </xf>
    <xf numFmtId="167" fontId="50" fillId="11" borderId="60" xfId="10" applyFont="1" applyBorder="1" applyAlignment="1">
      <alignment horizontal="left" vertical="center" wrapText="1"/>
    </xf>
    <xf numFmtId="0" fontId="1" fillId="0" borderId="0" xfId="0" applyFont="1" applyBorder="1" applyAlignment="1" applyProtection="1">
      <alignment vertical="center"/>
    </xf>
    <xf numFmtId="167" fontId="27" fillId="11" borderId="550" xfId="10" applyBorder="1" applyAlignment="1" applyProtection="1">
      <alignment horizontal="left" vertical="center" wrapText="1"/>
    </xf>
    <xf numFmtId="167" fontId="27" fillId="11" borderId="580" xfId="10" applyBorder="1" applyAlignment="1" applyProtection="1">
      <alignment horizontal="left" vertical="center" wrapText="1"/>
    </xf>
    <xf numFmtId="167" fontId="27" fillId="11" borderId="581" xfId="10" applyBorder="1" applyAlignment="1" applyProtection="1">
      <alignment horizontal="left" vertical="center" wrapText="1"/>
    </xf>
    <xf numFmtId="0" fontId="0" fillId="40" borderId="367" xfId="23" applyFont="1" applyBorder="1" applyAlignment="1" applyProtection="1">
      <alignment horizontal="left" vertical="top"/>
      <protection locked="0"/>
    </xf>
    <xf numFmtId="0" fontId="23" fillId="40" borderId="67" xfId="23" applyBorder="1" applyAlignment="1" applyProtection="1">
      <alignment horizontal="left" vertical="top"/>
      <protection locked="0"/>
    </xf>
    <xf numFmtId="0" fontId="23" fillId="40" borderId="72" xfId="23" applyBorder="1" applyAlignment="1" applyProtection="1">
      <alignment horizontal="left" vertical="top"/>
      <protection locked="0"/>
    </xf>
    <xf numFmtId="0" fontId="23" fillId="40" borderId="58" xfId="23" applyBorder="1" applyAlignment="1" applyProtection="1">
      <alignment horizontal="left" vertical="top"/>
      <protection locked="0"/>
    </xf>
    <xf numFmtId="0" fontId="22" fillId="0" borderId="58" xfId="0" applyFont="1" applyBorder="1" applyAlignment="1" applyProtection="1">
      <alignment horizontal="center" vertical="center" wrapText="1"/>
    </xf>
    <xf numFmtId="1" fontId="22" fillId="10" borderId="425" xfId="9" applyFont="1" applyBorder="1" applyAlignment="1" applyProtection="1">
      <alignment horizontal="center" vertical="center"/>
      <protection locked="0"/>
    </xf>
    <xf numFmtId="1" fontId="22" fillId="10" borderId="457" xfId="9" applyFont="1" applyBorder="1" applyAlignment="1" applyProtection="1">
      <alignment horizontal="center" vertical="center"/>
      <protection locked="0"/>
    </xf>
    <xf numFmtId="0" fontId="21" fillId="0" borderId="26" xfId="0" applyFont="1" applyBorder="1" applyAlignment="1" applyProtection="1">
      <alignment horizontal="left" vertical="top" wrapText="1"/>
    </xf>
    <xf numFmtId="0" fontId="22" fillId="0" borderId="34" xfId="18" applyFont="1" applyFill="1" applyBorder="1" applyProtection="1">
      <alignment horizontal="left" vertical="center"/>
    </xf>
    <xf numFmtId="0" fontId="1" fillId="10" borderId="29" xfId="0" applyFont="1" applyFill="1" applyBorder="1" applyAlignment="1" applyProtection="1">
      <protection locked="0"/>
    </xf>
    <xf numFmtId="0" fontId="0" fillId="10" borderId="27" xfId="0" applyFill="1" applyBorder="1" applyAlignment="1" applyProtection="1">
      <protection locked="0"/>
    </xf>
    <xf numFmtId="0" fontId="23" fillId="40" borderId="36" xfId="23" applyBorder="1">
      <alignment horizontal="left" vertical="top" wrapText="1"/>
      <protection locked="0"/>
    </xf>
    <xf numFmtId="0" fontId="23" fillId="40" borderId="37" xfId="23" applyBorder="1">
      <alignment horizontal="left" vertical="top" wrapText="1"/>
      <protection locked="0"/>
    </xf>
    <xf numFmtId="0" fontId="21" fillId="0" borderId="413" xfId="0" applyFont="1" applyBorder="1" applyAlignment="1" applyProtection="1">
      <alignment vertical="top" wrapText="1"/>
    </xf>
    <xf numFmtId="0" fontId="22" fillId="0" borderId="34" xfId="18" applyFont="1" applyFill="1" applyBorder="1" applyAlignment="1" applyProtection="1">
      <alignment horizontal="left" vertical="center"/>
    </xf>
    <xf numFmtId="0" fontId="23" fillId="40" borderId="412" xfId="23" applyBorder="1">
      <alignment horizontal="left" vertical="top" wrapText="1"/>
      <protection locked="0"/>
    </xf>
    <xf numFmtId="0" fontId="23" fillId="40" borderId="413" xfId="23" applyBorder="1">
      <alignment horizontal="left" vertical="top" wrapText="1"/>
      <protection locked="0"/>
    </xf>
    <xf numFmtId="0" fontId="22" fillId="0" borderId="34" xfId="18" applyFont="1" applyFill="1" applyBorder="1" applyAlignment="1" applyProtection="1">
      <alignment horizontal="center" vertical="center"/>
    </xf>
    <xf numFmtId="0" fontId="22" fillId="0" borderId="117" xfId="18" applyFont="1" applyFill="1" applyBorder="1" applyAlignment="1" applyProtection="1">
      <alignment horizontal="center" vertical="center"/>
    </xf>
    <xf numFmtId="0" fontId="28" fillId="0" borderId="159" xfId="0" applyFont="1" applyBorder="1" applyAlignment="1" applyProtection="1">
      <alignment horizontal="left" vertical="top" wrapText="1"/>
    </xf>
    <xf numFmtId="0" fontId="28" fillId="0" borderId="26" xfId="0" applyFont="1" applyBorder="1" applyAlignment="1" applyProtection="1">
      <alignment horizontal="left" vertical="top" wrapText="1"/>
    </xf>
    <xf numFmtId="0" fontId="64" fillId="0" borderId="190" xfId="0" applyFont="1" applyBorder="1" applyAlignment="1" applyProtection="1">
      <alignment horizontal="left" vertical="top" wrapText="1"/>
    </xf>
    <xf numFmtId="0" fontId="64" fillId="0" borderId="191" xfId="0" applyFont="1" applyBorder="1" applyAlignment="1" applyProtection="1">
      <alignment horizontal="left" vertical="top" wrapText="1"/>
    </xf>
    <xf numFmtId="0" fontId="64" fillId="0" borderId="192" xfId="0" applyFont="1" applyBorder="1" applyAlignment="1" applyProtection="1">
      <alignment horizontal="left" vertical="top" wrapText="1"/>
    </xf>
    <xf numFmtId="0" fontId="22" fillId="0" borderId="69" xfId="18" applyFont="1" applyFill="1" applyBorder="1" applyProtection="1">
      <alignment horizontal="left" vertical="center"/>
    </xf>
    <xf numFmtId="0" fontId="13" fillId="0" borderId="513" xfId="0" applyFont="1" applyBorder="1" applyAlignment="1" applyProtection="1">
      <alignment horizontal="center" vertical="center" wrapText="1"/>
    </xf>
    <xf numFmtId="0" fontId="13" fillId="0" borderId="27" xfId="0" applyFont="1" applyBorder="1" applyAlignment="1" applyProtection="1">
      <alignment horizontal="center" vertical="center" wrapText="1"/>
    </xf>
    <xf numFmtId="0" fontId="13" fillId="0" borderId="175" xfId="0" applyFont="1" applyBorder="1" applyAlignment="1" applyProtection="1">
      <alignment horizontal="center" vertical="center" wrapText="1"/>
    </xf>
    <xf numFmtId="0" fontId="13" fillId="0" borderId="514" xfId="0" applyFont="1" applyBorder="1" applyAlignment="1" applyProtection="1">
      <alignment horizontal="center" vertical="center"/>
    </xf>
    <xf numFmtId="0" fontId="13" fillId="0" borderId="429" xfId="0" applyFont="1" applyBorder="1" applyAlignment="1" applyProtection="1">
      <alignment horizontal="center" vertical="center"/>
    </xf>
    <xf numFmtId="0" fontId="13" fillId="0" borderId="430" xfId="0" applyFont="1" applyBorder="1" applyAlignment="1" applyProtection="1">
      <alignment horizontal="center" vertical="center"/>
    </xf>
    <xf numFmtId="167" fontId="50" fillId="11" borderId="21" xfId="10" applyFont="1" applyBorder="1" applyProtection="1">
      <alignment horizontal="left" vertical="top" wrapText="1"/>
    </xf>
    <xf numFmtId="0" fontId="21" fillId="0" borderId="27" xfId="0" applyFont="1" applyBorder="1" applyAlignment="1" applyProtection="1">
      <alignment horizontal="left" vertical="top" wrapText="1"/>
    </xf>
    <xf numFmtId="1" fontId="94" fillId="45" borderId="16" xfId="9" applyFont="1" applyFill="1" applyBorder="1" applyAlignment="1" applyProtection="1">
      <alignment horizontal="center" vertical="center" wrapText="1"/>
      <protection locked="0"/>
    </xf>
    <xf numFmtId="1" fontId="94" fillId="45" borderId="41" xfId="9" applyFont="1" applyFill="1" applyBorder="1" applyAlignment="1" applyProtection="1">
      <alignment horizontal="center" vertical="center" wrapText="1"/>
      <protection locked="0"/>
    </xf>
    <xf numFmtId="1" fontId="94" fillId="45" borderId="51" xfId="9" applyFont="1" applyFill="1" applyBorder="1" applyAlignment="1" applyProtection="1">
      <alignment horizontal="center" vertical="center" wrapText="1"/>
      <protection locked="0"/>
    </xf>
    <xf numFmtId="0" fontId="23" fillId="40" borderId="73" xfId="23" applyBorder="1">
      <alignment horizontal="left" vertical="top" wrapText="1"/>
      <protection locked="0"/>
    </xf>
    <xf numFmtId="0" fontId="23" fillId="40" borderId="59" xfId="23" applyBorder="1">
      <alignment horizontal="left" vertical="top" wrapText="1"/>
      <protection locked="0"/>
    </xf>
    <xf numFmtId="0" fontId="13" fillId="0" borderId="100" xfId="0" applyFont="1" applyBorder="1" applyAlignment="1" applyProtection="1">
      <alignment horizontal="center" vertical="center" wrapText="1"/>
    </xf>
    <xf numFmtId="0" fontId="13" fillId="0" borderId="101" xfId="0" applyFont="1" applyBorder="1" applyAlignment="1" applyProtection="1">
      <alignment horizontal="center" vertical="center" wrapText="1"/>
    </xf>
    <xf numFmtId="0" fontId="27" fillId="0" borderId="369" xfId="0" applyFont="1" applyBorder="1" applyAlignment="1" applyProtection="1">
      <alignment horizontal="center" vertical="center" wrapText="1"/>
    </xf>
    <xf numFmtId="0" fontId="27" fillId="0" borderId="370" xfId="0" applyFont="1" applyBorder="1" applyAlignment="1" applyProtection="1">
      <alignment horizontal="center" vertical="center" wrapText="1"/>
    </xf>
    <xf numFmtId="0" fontId="22" fillId="0" borderId="75" xfId="0" applyFont="1" applyBorder="1" applyAlignment="1" applyProtection="1">
      <alignment horizontal="center" vertical="center" wrapText="1"/>
    </xf>
    <xf numFmtId="0" fontId="21" fillId="0" borderId="76" xfId="0" applyFont="1" applyBorder="1" applyAlignment="1" applyProtection="1">
      <alignment horizontal="center" vertical="center" wrapText="1"/>
    </xf>
    <xf numFmtId="0" fontId="21" fillId="0" borderId="77" xfId="0" applyFont="1" applyBorder="1" applyAlignment="1" applyProtection="1">
      <alignment horizontal="center" vertical="center" wrapText="1"/>
    </xf>
    <xf numFmtId="0" fontId="21" fillId="0" borderId="97" xfId="0" applyFont="1" applyBorder="1" applyAlignment="1" applyProtection="1">
      <alignment horizontal="center" vertical="center" wrapText="1"/>
    </xf>
    <xf numFmtId="0" fontId="21" fillId="0" borderId="98" xfId="0" applyFont="1" applyBorder="1" applyAlignment="1" applyProtection="1">
      <alignment horizontal="center" vertical="center" wrapText="1"/>
    </xf>
    <xf numFmtId="0" fontId="21" fillId="0" borderId="99" xfId="0" applyFont="1" applyBorder="1" applyAlignment="1" applyProtection="1">
      <alignment horizontal="center" vertical="center" wrapText="1"/>
    </xf>
    <xf numFmtId="0" fontId="22" fillId="0" borderId="79" xfId="0" applyFont="1" applyBorder="1" applyAlignment="1" applyProtection="1">
      <alignment horizontal="center" vertical="center" wrapText="1"/>
    </xf>
    <xf numFmtId="2" fontId="22" fillId="0" borderId="531" xfId="0" applyNumberFormat="1" applyFont="1" applyBorder="1" applyAlignment="1" applyProtection="1">
      <alignment horizontal="center" vertical="center" wrapText="1"/>
    </xf>
    <xf numFmtId="2" fontId="22" fillId="0" borderId="59" xfId="0" applyNumberFormat="1" applyFont="1" applyBorder="1" applyAlignment="1" applyProtection="1">
      <alignment horizontal="center" vertical="center" wrapText="1"/>
    </xf>
    <xf numFmtId="2" fontId="22" fillId="0" borderId="532" xfId="0" applyNumberFormat="1" applyFont="1" applyBorder="1" applyAlignment="1" applyProtection="1">
      <alignment horizontal="center" vertical="center" wrapText="1"/>
    </xf>
    <xf numFmtId="0" fontId="22" fillId="0" borderId="513" xfId="0" applyFont="1" applyBorder="1" applyAlignment="1" applyProtection="1">
      <alignment horizontal="center" vertical="center" wrapText="1"/>
    </xf>
    <xf numFmtId="0" fontId="22" fillId="0" borderId="27" xfId="0" applyFont="1" applyBorder="1" applyAlignment="1" applyProtection="1">
      <alignment horizontal="center" vertical="center" wrapText="1"/>
    </xf>
    <xf numFmtId="0" fontId="22" fillId="0" borderId="500" xfId="0" applyFont="1" applyBorder="1" applyAlignment="1" applyProtection="1">
      <alignment horizontal="center" vertical="center" wrapText="1"/>
    </xf>
    <xf numFmtId="1" fontId="21" fillId="0" borderId="533" xfId="0" applyNumberFormat="1" applyFont="1" applyBorder="1" applyAlignment="1" applyProtection="1">
      <alignment horizontal="center" vertical="center" wrapText="1"/>
    </xf>
    <xf numFmtId="1" fontId="21" fillId="0" borderId="534" xfId="0" applyNumberFormat="1" applyFont="1" applyBorder="1" applyAlignment="1" applyProtection="1">
      <alignment horizontal="center" vertical="center" wrapText="1"/>
    </xf>
    <xf numFmtId="1" fontId="21" fillId="0" borderId="535" xfId="0" applyNumberFormat="1" applyFont="1" applyBorder="1" applyAlignment="1" applyProtection="1">
      <alignment horizontal="center" vertical="center" wrapText="1"/>
    </xf>
    <xf numFmtId="0" fontId="22" fillId="0" borderId="97" xfId="0" applyFont="1" applyBorder="1" applyAlignment="1" applyProtection="1">
      <alignment horizontal="center" vertical="center" wrapText="1"/>
    </xf>
    <xf numFmtId="0" fontId="22" fillId="0" borderId="98" xfId="0" applyFont="1" applyBorder="1" applyAlignment="1" applyProtection="1">
      <alignment horizontal="center" vertical="center" wrapText="1"/>
    </xf>
    <xf numFmtId="0" fontId="22" fillId="0" borderId="99" xfId="0" applyFont="1" applyBorder="1" applyAlignment="1" applyProtection="1">
      <alignment horizontal="center" vertical="center" wrapText="1"/>
    </xf>
    <xf numFmtId="0" fontId="22" fillId="0" borderId="100" xfId="0" applyFont="1" applyBorder="1" applyAlignment="1" applyProtection="1">
      <alignment horizontal="center" vertical="center" wrapText="1"/>
    </xf>
    <xf numFmtId="0" fontId="22" fillId="0" borderId="101" xfId="0" applyFont="1" applyBorder="1" applyAlignment="1" applyProtection="1">
      <alignment horizontal="center" vertical="center" wrapText="1"/>
    </xf>
    <xf numFmtId="0" fontId="22" fillId="0" borderId="102" xfId="0" applyFont="1" applyBorder="1" applyAlignment="1" applyProtection="1">
      <alignment horizontal="center" vertical="center" wrapText="1"/>
    </xf>
    <xf numFmtId="0" fontId="13" fillId="0" borderId="78" xfId="0" applyFont="1" applyBorder="1" applyAlignment="1" applyProtection="1">
      <alignment horizontal="center" vertical="center"/>
    </xf>
    <xf numFmtId="0" fontId="13" fillId="0" borderId="79" xfId="0" applyFont="1" applyBorder="1" applyAlignment="1" applyProtection="1">
      <alignment horizontal="center" vertical="center"/>
    </xf>
    <xf numFmtId="0" fontId="13" fillId="0" borderId="488" xfId="0" applyFont="1" applyBorder="1" applyAlignment="1" applyProtection="1">
      <alignment horizontal="center" vertical="center"/>
    </xf>
    <xf numFmtId="0" fontId="13" fillId="0" borderId="100" xfId="0" applyFont="1" applyBorder="1" applyAlignment="1" applyProtection="1">
      <alignment horizontal="center" vertical="center"/>
    </xf>
    <xf numFmtId="0" fontId="13" fillId="0" borderId="101" xfId="0" applyFont="1" applyBorder="1" applyAlignment="1" applyProtection="1">
      <alignment horizontal="center" vertical="center"/>
    </xf>
    <xf numFmtId="0" fontId="13" fillId="0" borderId="102" xfId="0" applyFont="1" applyBorder="1" applyAlignment="1" applyProtection="1">
      <alignment horizontal="center" vertical="center"/>
    </xf>
    <xf numFmtId="0" fontId="22" fillId="0" borderId="76" xfId="0" applyFont="1" applyBorder="1" applyAlignment="1" applyProtection="1">
      <alignment horizontal="center" vertical="center" wrapText="1"/>
    </xf>
    <xf numFmtId="0" fontId="22" fillId="0" borderId="77" xfId="0" applyFont="1" applyBorder="1" applyAlignment="1" applyProtection="1">
      <alignment horizontal="center" vertical="center" wrapText="1"/>
    </xf>
    <xf numFmtId="0" fontId="28" fillId="0" borderId="189" xfId="0" applyFont="1" applyBorder="1" applyAlignment="1" applyProtection="1">
      <alignment horizontal="left" vertical="top" wrapText="1"/>
    </xf>
    <xf numFmtId="0" fontId="13" fillId="0" borderId="76" xfId="0" applyFont="1" applyBorder="1" applyAlignment="1" applyProtection="1">
      <alignment horizontal="center" vertical="center" wrapText="1"/>
    </xf>
    <xf numFmtId="0" fontId="13" fillId="0" borderId="77" xfId="0" applyFont="1" applyBorder="1" applyAlignment="1" applyProtection="1">
      <alignment horizontal="center" vertical="center" wrapText="1"/>
    </xf>
    <xf numFmtId="1" fontId="26" fillId="10" borderId="16" xfId="9" applyBorder="1" applyAlignment="1" applyProtection="1">
      <alignment horizontal="center" vertical="center"/>
      <protection locked="0"/>
    </xf>
    <xf numFmtId="1" fontId="26" fillId="10" borderId="41" xfId="9" applyBorder="1" applyAlignment="1" applyProtection="1">
      <alignment horizontal="center" vertical="center"/>
      <protection locked="0"/>
    </xf>
    <xf numFmtId="1" fontId="26" fillId="10" borderId="457" xfId="9" applyBorder="1" applyAlignment="1" applyProtection="1">
      <alignment horizontal="center" vertical="center"/>
      <protection locked="0"/>
    </xf>
    <xf numFmtId="1" fontId="26" fillId="10" borderId="425" xfId="9" applyBorder="1" applyAlignment="1" applyProtection="1">
      <alignment horizontal="center" vertical="center"/>
      <protection locked="0"/>
    </xf>
    <xf numFmtId="0" fontId="26" fillId="45" borderId="16" xfId="9" applyNumberFormat="1" applyFill="1" applyBorder="1" applyAlignment="1" applyProtection="1">
      <alignment horizontal="center" vertical="center" wrapText="1"/>
      <protection locked="0"/>
    </xf>
    <xf numFmtId="0" fontId="26" fillId="45" borderId="51" xfId="9" applyNumberFormat="1" applyFill="1" applyBorder="1" applyAlignment="1" applyProtection="1">
      <alignment horizontal="center" vertical="center" wrapText="1"/>
      <protection locked="0"/>
    </xf>
    <xf numFmtId="167" fontId="50" fillId="11" borderId="406" xfId="10" applyFont="1" applyBorder="1" applyProtection="1">
      <alignment horizontal="left" vertical="top" wrapText="1"/>
    </xf>
    <xf numFmtId="0" fontId="23" fillId="0" borderId="81" xfId="0" applyFont="1" applyBorder="1" applyAlignment="1" applyProtection="1">
      <alignment horizontal="center" vertical="center" wrapText="1"/>
    </xf>
    <xf numFmtId="0" fontId="23" fillId="0" borderId="81" xfId="0" applyFont="1" applyBorder="1" applyAlignment="1" applyProtection="1">
      <alignment horizontal="center"/>
    </xf>
    <xf numFmtId="0" fontId="23" fillId="0" borderId="82" xfId="0" applyFont="1" applyBorder="1" applyAlignment="1" applyProtection="1">
      <alignment horizontal="center"/>
    </xf>
    <xf numFmtId="167" fontId="27" fillId="11" borderId="408" xfId="10" applyBorder="1" applyProtection="1">
      <alignment horizontal="left" vertical="top" wrapText="1"/>
    </xf>
    <xf numFmtId="167" fontId="50" fillId="11" borderId="478" xfId="10" applyFont="1" applyBorder="1" applyProtection="1">
      <alignment horizontal="left" vertical="top" wrapText="1"/>
    </xf>
    <xf numFmtId="0" fontId="0" fillId="0" borderId="58" xfId="0" applyBorder="1" applyProtection="1"/>
    <xf numFmtId="0" fontId="0" fillId="0" borderId="455" xfId="0" applyBorder="1" applyProtection="1"/>
    <xf numFmtId="0" fontId="23" fillId="40" borderId="530" xfId="23" applyBorder="1">
      <alignment horizontal="left" vertical="top" wrapText="1"/>
      <protection locked="0"/>
    </xf>
    <xf numFmtId="0" fontId="23" fillId="40" borderId="89" xfId="23" applyBorder="1">
      <alignment horizontal="left" vertical="top" wrapText="1"/>
      <protection locked="0"/>
    </xf>
    <xf numFmtId="0" fontId="23" fillId="40" borderId="72" xfId="23" applyBorder="1">
      <alignment horizontal="left" vertical="top" wrapText="1"/>
      <protection locked="0"/>
    </xf>
    <xf numFmtId="0" fontId="23" fillId="40" borderId="455" xfId="23" applyBorder="1">
      <alignment horizontal="left" vertical="top" wrapText="1"/>
      <protection locked="0"/>
    </xf>
    <xf numFmtId="0" fontId="0" fillId="0" borderId="14" xfId="0" quotePrefix="1" applyBorder="1" applyAlignment="1" applyProtection="1">
      <alignment horizontal="center" vertical="center"/>
      <protection locked="0"/>
    </xf>
    <xf numFmtId="0" fontId="0" fillId="0" borderId="465" xfId="0" quotePrefix="1" applyBorder="1" applyAlignment="1" applyProtection="1">
      <alignment horizontal="center" vertical="center"/>
      <protection locked="0"/>
    </xf>
    <xf numFmtId="0" fontId="0" fillId="0" borderId="476" xfId="0" quotePrefix="1" applyBorder="1" applyAlignment="1" applyProtection="1">
      <alignment horizontal="center" vertical="center"/>
      <protection locked="0"/>
    </xf>
    <xf numFmtId="0" fontId="110" fillId="0" borderId="0" xfId="0" applyFont="1" applyBorder="1" applyAlignment="1" applyProtection="1">
      <alignment horizontal="center" vertical="center" wrapText="1"/>
    </xf>
    <xf numFmtId="0" fontId="110" fillId="0" borderId="13" xfId="0" applyFont="1" applyBorder="1" applyAlignment="1" applyProtection="1">
      <alignment horizontal="center" vertical="center" wrapText="1"/>
    </xf>
    <xf numFmtId="0" fontId="110" fillId="0" borderId="32" xfId="0" applyFont="1" applyBorder="1" applyAlignment="1" applyProtection="1">
      <alignment horizontal="center" vertical="center" wrapText="1"/>
    </xf>
    <xf numFmtId="0" fontId="110" fillId="0" borderId="202" xfId="0" applyFont="1" applyBorder="1" applyAlignment="1" applyProtection="1">
      <alignment horizontal="center" vertical="center" wrapText="1"/>
    </xf>
    <xf numFmtId="1" fontId="26" fillId="10" borderId="374" xfId="9" applyBorder="1" applyProtection="1">
      <alignment horizontal="center" vertical="center"/>
      <protection locked="0"/>
    </xf>
    <xf numFmtId="0" fontId="23" fillId="0" borderId="0" xfId="0" applyFont="1" applyBorder="1" applyProtection="1"/>
    <xf numFmtId="0" fontId="23" fillId="0" borderId="428" xfId="0" applyFont="1" applyBorder="1" applyAlignment="1" applyProtection="1">
      <alignment horizontal="center" vertical="center" wrapText="1"/>
    </xf>
    <xf numFmtId="0" fontId="23" fillId="0" borderId="430" xfId="0" applyFont="1" applyBorder="1" applyAlignment="1" applyProtection="1">
      <alignment horizontal="center" vertical="center" wrapText="1"/>
    </xf>
    <xf numFmtId="0" fontId="23" fillId="0" borderId="501" xfId="0" applyFont="1" applyBorder="1" applyAlignment="1" applyProtection="1">
      <alignment horizontal="center" vertical="center" wrapText="1"/>
    </xf>
    <xf numFmtId="0" fontId="13" fillId="0" borderId="526" xfId="0" applyFont="1" applyBorder="1" applyAlignment="1" applyProtection="1">
      <alignment horizontal="center" vertical="center" wrapText="1"/>
    </xf>
    <xf numFmtId="0" fontId="13" fillId="0" borderId="426" xfId="0" applyFont="1" applyBorder="1" applyAlignment="1" applyProtection="1">
      <alignment horizontal="center" vertical="center"/>
    </xf>
    <xf numFmtId="0" fontId="13" fillId="0" borderId="502" xfId="0" applyFont="1" applyBorder="1" applyAlignment="1" applyProtection="1">
      <alignment horizontal="center" vertical="center"/>
    </xf>
    <xf numFmtId="0" fontId="13" fillId="0" borderId="500" xfId="0" applyFont="1" applyBorder="1" applyAlignment="1" applyProtection="1">
      <alignment horizontal="center" vertical="center" wrapText="1"/>
    </xf>
    <xf numFmtId="167" fontId="50" fillId="11" borderId="524" xfId="10" applyFont="1" applyBorder="1" applyProtection="1">
      <alignment horizontal="left" vertical="top" wrapText="1"/>
    </xf>
    <xf numFmtId="167" fontId="50" fillId="11" borderId="21" xfId="10" applyFont="1">
      <alignment horizontal="left" vertical="top" wrapText="1"/>
    </xf>
    <xf numFmtId="0" fontId="80" fillId="0" borderId="0" xfId="0" applyFont="1" applyBorder="1" applyAlignment="1" applyProtection="1">
      <alignment horizontal="left" vertical="top" wrapText="1"/>
    </xf>
    <xf numFmtId="2" fontId="21" fillId="0" borderId="428" xfId="0" applyNumberFormat="1" applyFont="1" applyBorder="1" applyAlignment="1" applyProtection="1">
      <alignment horizontal="center" vertical="center" wrapText="1"/>
    </xf>
    <xf numFmtId="2" fontId="21" fillId="0" borderId="430" xfId="0" applyNumberFormat="1" applyFont="1" applyBorder="1" applyAlignment="1" applyProtection="1">
      <alignment horizontal="center" vertical="center" wrapText="1"/>
    </xf>
    <xf numFmtId="0" fontId="21" fillId="0" borderId="0" xfId="2" applyFont="1" applyFill="1" applyBorder="1" applyAlignment="1" applyProtection="1">
      <alignment horizontal="center" vertical="center" wrapText="1"/>
    </xf>
    <xf numFmtId="0" fontId="21" fillId="0" borderId="89" xfId="2" applyFont="1" applyFill="1" applyBorder="1" applyAlignment="1" applyProtection="1">
      <alignment horizontal="center" vertical="center" wrapText="1"/>
    </xf>
    <xf numFmtId="0" fontId="13" fillId="0" borderId="80" xfId="0" applyFont="1" applyBorder="1" applyAlignment="1" applyProtection="1">
      <alignment horizontal="center" vertical="center"/>
    </xf>
    <xf numFmtId="0" fontId="13" fillId="0" borderId="81" xfId="0" applyFont="1" applyBorder="1" applyAlignment="1" applyProtection="1">
      <alignment horizontal="center" vertical="center"/>
    </xf>
    <xf numFmtId="0" fontId="23" fillId="0" borderId="79" xfId="0" applyFont="1" applyBorder="1" applyAlignment="1" applyProtection="1">
      <alignment horizontal="center" vertical="center"/>
    </xf>
    <xf numFmtId="0" fontId="23" fillId="0" borderId="488" xfId="0" applyFont="1" applyBorder="1" applyAlignment="1" applyProtection="1">
      <alignment horizontal="center" vertical="center"/>
    </xf>
    <xf numFmtId="0" fontId="23" fillId="0" borderId="129" xfId="0" applyFont="1" applyBorder="1" applyAlignment="1" applyProtection="1">
      <alignment horizontal="left" vertical="top" wrapText="1"/>
    </xf>
    <xf numFmtId="0" fontId="23" fillId="0" borderId="81" xfId="0" applyFont="1" applyBorder="1" applyAlignment="1" applyProtection="1">
      <alignment horizontal="center" vertical="center"/>
    </xf>
    <xf numFmtId="0" fontId="23" fillId="0" borderId="82" xfId="0" applyFont="1" applyBorder="1" applyAlignment="1" applyProtection="1">
      <alignment horizontal="center" vertical="center"/>
    </xf>
    <xf numFmtId="0" fontId="80" fillId="0" borderId="18" xfId="0" applyFont="1" applyBorder="1" applyAlignment="1" applyProtection="1">
      <alignment horizontal="left" vertical="top" wrapText="1"/>
    </xf>
    <xf numFmtId="0" fontId="13" fillId="0" borderId="174" xfId="0" applyFont="1" applyBorder="1" applyAlignment="1" applyProtection="1">
      <alignment horizontal="center" vertical="center" wrapText="1"/>
    </xf>
    <xf numFmtId="0" fontId="0" fillId="0" borderId="26" xfId="0" applyBorder="1" applyProtection="1"/>
    <xf numFmtId="0" fontId="0" fillId="0" borderId="90" xfId="0" applyBorder="1" applyProtection="1"/>
    <xf numFmtId="0" fontId="23" fillId="0" borderId="79" xfId="0" applyFont="1" applyBorder="1" applyAlignment="1" applyProtection="1">
      <alignment horizontal="center" vertical="top" wrapText="1"/>
    </xf>
    <xf numFmtId="0" fontId="1" fillId="0" borderId="89" xfId="0" applyFont="1" applyBorder="1" applyProtection="1"/>
    <xf numFmtId="0" fontId="13" fillId="0" borderId="75" xfId="0" applyFont="1" applyBorder="1" applyAlignment="1" applyProtection="1">
      <alignment horizontal="center" vertical="center"/>
    </xf>
    <xf numFmtId="167" fontId="50" fillId="11" borderId="186" xfId="10" applyFont="1" applyBorder="1" applyProtection="1">
      <alignment horizontal="left" vertical="top" wrapText="1"/>
    </xf>
    <xf numFmtId="0" fontId="17" fillId="0" borderId="0" xfId="5" applyBorder="1" applyAlignment="1" applyProtection="1">
      <alignment vertical="top" wrapText="1"/>
      <protection locked="0"/>
    </xf>
    <xf numFmtId="0" fontId="17" fillId="0" borderId="0" xfId="5" applyFont="1" applyBorder="1" applyProtection="1"/>
    <xf numFmtId="0" fontId="15" fillId="0" borderId="13" xfId="0" applyFont="1" applyBorder="1" applyAlignment="1" applyProtection="1">
      <alignment horizontal="center" vertical="center" wrapText="1"/>
      <protection locked="0"/>
    </xf>
    <xf numFmtId="0" fontId="15" fillId="0" borderId="523" xfId="0" applyFont="1" applyBorder="1" applyAlignment="1" applyProtection="1">
      <alignment horizontal="center" vertical="center" wrapText="1"/>
      <protection locked="0"/>
    </xf>
    <xf numFmtId="0" fontId="23" fillId="40" borderId="149" xfId="23" applyBorder="1">
      <alignment horizontal="left" vertical="top" wrapText="1"/>
      <protection locked="0"/>
    </xf>
    <xf numFmtId="0" fontId="23" fillId="40" borderId="147" xfId="23" applyBorder="1">
      <alignment horizontal="left" vertical="top" wrapText="1"/>
      <protection locked="0"/>
    </xf>
    <xf numFmtId="0" fontId="23" fillId="0" borderId="32" xfId="0" applyFont="1" applyBorder="1" applyAlignment="1" applyProtection="1">
      <alignment horizontal="left" vertical="top" wrapText="1"/>
    </xf>
    <xf numFmtId="0" fontId="23" fillId="0" borderId="12" xfId="0" applyFont="1" applyFill="1" applyBorder="1" applyAlignment="1" applyProtection="1">
      <alignment horizontal="left" vertical="top" wrapText="1"/>
    </xf>
    <xf numFmtId="0" fontId="23" fillId="0" borderId="31" xfId="0" applyFont="1" applyFill="1" applyBorder="1" applyAlignment="1" applyProtection="1">
      <alignment horizontal="left" vertical="top" wrapText="1"/>
    </xf>
    <xf numFmtId="0" fontId="23" fillId="0" borderId="0" xfId="0" applyFont="1" applyFill="1" applyBorder="1" applyAlignment="1" applyProtection="1">
      <alignment horizontal="left" vertical="top" wrapText="1"/>
    </xf>
    <xf numFmtId="0" fontId="23" fillId="0" borderId="32" xfId="0" applyFont="1" applyFill="1" applyBorder="1" applyAlignment="1" applyProtection="1">
      <alignment horizontal="left" vertical="top" wrapText="1"/>
    </xf>
    <xf numFmtId="0" fontId="56" fillId="0" borderId="18" xfId="0" applyFont="1" applyBorder="1" applyAlignment="1" applyProtection="1">
      <alignment vertical="top"/>
    </xf>
    <xf numFmtId="0" fontId="24" fillId="0" borderId="0" xfId="18" applyFont="1" applyFill="1" applyBorder="1" applyAlignment="1" applyProtection="1">
      <alignment horizontal="left" vertical="center" wrapText="1"/>
    </xf>
    <xf numFmtId="0" fontId="24" fillId="0" borderId="0" xfId="18" applyFont="1" applyFill="1" applyBorder="1" applyProtection="1">
      <alignment horizontal="left" vertical="center"/>
    </xf>
    <xf numFmtId="0" fontId="23" fillId="0" borderId="159" xfId="0" applyFont="1" applyFill="1" applyBorder="1" applyAlignment="1" applyProtection="1">
      <alignment vertical="top" wrapText="1"/>
    </xf>
    <xf numFmtId="0" fontId="23" fillId="0" borderId="26" xfId="0" applyFont="1" applyFill="1" applyBorder="1" applyAlignment="1" applyProtection="1">
      <alignment vertical="top"/>
    </xf>
    <xf numFmtId="0" fontId="23" fillId="0" borderId="160" xfId="0" applyFont="1" applyFill="1" applyBorder="1" applyAlignment="1" applyProtection="1">
      <alignment vertical="top" wrapText="1"/>
    </xf>
    <xf numFmtId="0" fontId="23" fillId="0" borderId="18" xfId="0" applyFont="1" applyFill="1" applyBorder="1" applyAlignment="1" applyProtection="1">
      <alignment vertical="top"/>
    </xf>
    <xf numFmtId="0" fontId="23" fillId="0" borderId="0" xfId="0" applyFont="1" applyBorder="1" applyAlignment="1" applyProtection="1">
      <alignment horizontal="left" vertical="center" wrapText="1"/>
    </xf>
    <xf numFmtId="0" fontId="23" fillId="0" borderId="89" xfId="0" applyFont="1" applyBorder="1" applyAlignment="1" applyProtection="1">
      <alignment horizontal="left" vertical="center" wrapText="1"/>
    </xf>
    <xf numFmtId="0" fontId="23" fillId="0" borderId="159" xfId="0" applyFont="1" applyBorder="1" applyAlignment="1" applyProtection="1">
      <alignment vertical="top"/>
    </xf>
    <xf numFmtId="0" fontId="23" fillId="0" borderId="26" xfId="0" applyFont="1" applyBorder="1" applyAlignment="1" applyProtection="1">
      <alignment vertical="top"/>
    </xf>
    <xf numFmtId="0" fontId="23" fillId="0" borderId="18" xfId="0" applyFont="1" applyBorder="1" applyAlignment="1" applyProtection="1">
      <alignment horizontal="left" vertical="top"/>
    </xf>
    <xf numFmtId="0" fontId="23" fillId="0" borderId="88" xfId="0" applyFont="1" applyBorder="1" applyAlignment="1" applyProtection="1">
      <alignment horizontal="left" vertical="top"/>
    </xf>
    <xf numFmtId="1" fontId="94" fillId="44" borderId="16" xfId="9" applyFont="1" applyFill="1" applyBorder="1" applyAlignment="1" applyProtection="1">
      <alignment horizontal="center" vertical="center" wrapText="1"/>
      <protection locked="0"/>
    </xf>
    <xf numFmtId="1" fontId="94" fillId="44" borderId="41" xfId="9" applyFont="1" applyFill="1" applyBorder="1" applyAlignment="1" applyProtection="1">
      <alignment horizontal="center" vertical="center" wrapText="1"/>
      <protection locked="0"/>
    </xf>
    <xf numFmtId="1" fontId="94" fillId="44" borderId="178" xfId="9" applyFont="1" applyFill="1" applyBorder="1" applyAlignment="1" applyProtection="1">
      <alignment horizontal="center" vertical="center" wrapText="1"/>
      <protection locked="0"/>
    </xf>
    <xf numFmtId="0" fontId="22" fillId="0" borderId="177" xfId="0" applyFont="1" applyBorder="1" applyAlignment="1" applyProtection="1">
      <alignment vertical="top" wrapText="1"/>
    </xf>
    <xf numFmtId="0" fontId="23" fillId="0" borderId="0" xfId="0" applyFont="1" applyBorder="1" applyAlignment="1" applyProtection="1">
      <alignment vertical="top"/>
    </xf>
    <xf numFmtId="0" fontId="23" fillId="0" borderId="32" xfId="0" applyFont="1" applyBorder="1" applyAlignment="1" applyProtection="1">
      <alignment vertical="top"/>
    </xf>
    <xf numFmtId="0" fontId="22" fillId="0" borderId="0" xfId="0" applyFont="1" applyBorder="1" applyAlignment="1" applyProtection="1">
      <alignment horizontal="left" vertical="top" wrapText="1"/>
    </xf>
    <xf numFmtId="0" fontId="22" fillId="0" borderId="34" xfId="4" applyFont="1" applyBorder="1" applyProtection="1"/>
    <xf numFmtId="0" fontId="61" fillId="0" borderId="39" xfId="0" applyFont="1" applyBorder="1" applyAlignment="1" applyProtection="1">
      <alignment vertical="top" wrapText="1"/>
    </xf>
    <xf numFmtId="0" fontId="61" fillId="0" borderId="34" xfId="0" applyFont="1" applyBorder="1" applyAlignment="1" applyProtection="1">
      <alignment vertical="top" wrapText="1"/>
    </xf>
    <xf numFmtId="49" fontId="54" fillId="0" borderId="0" xfId="16" applyBorder="1" applyProtection="1">
      <alignment horizontal="center" vertical="center" wrapText="1"/>
    </xf>
    <xf numFmtId="49" fontId="54" fillId="0" borderId="147" xfId="16" applyBorder="1" applyProtection="1">
      <alignment horizontal="center" vertical="center" wrapText="1"/>
    </xf>
    <xf numFmtId="0" fontId="23" fillId="40" borderId="516" xfId="23" applyBorder="1">
      <alignment horizontal="left" vertical="top" wrapText="1"/>
      <protection locked="0"/>
    </xf>
    <xf numFmtId="0" fontId="22" fillId="0" borderId="143" xfId="0" applyFont="1" applyBorder="1" applyAlignment="1" applyProtection="1">
      <alignment vertical="top" wrapText="1"/>
    </xf>
    <xf numFmtId="0" fontId="22" fillId="0" borderId="487" xfId="0" applyFont="1" applyBorder="1" applyAlignment="1" applyProtection="1">
      <alignment vertical="top" wrapText="1"/>
    </xf>
    <xf numFmtId="0" fontId="23" fillId="0" borderId="31" xfId="0" applyFont="1" applyBorder="1" applyAlignment="1" applyProtection="1">
      <alignment vertical="top" wrapText="1"/>
    </xf>
    <xf numFmtId="0" fontId="23" fillId="0" borderId="32" xfId="0" applyFont="1" applyBorder="1" applyAlignment="1" applyProtection="1">
      <alignment vertical="top" wrapText="1"/>
    </xf>
    <xf numFmtId="167" fontId="60" fillId="0" borderId="179" xfId="10" applyFont="1" applyFill="1" applyBorder="1" applyAlignment="1" applyProtection="1">
      <alignment horizontal="left" vertical="center" wrapText="1"/>
    </xf>
    <xf numFmtId="167" fontId="60" fillId="0" borderId="180" xfId="10" applyFont="1" applyFill="1" applyBorder="1" applyAlignment="1" applyProtection="1">
      <alignment horizontal="left" vertical="center" wrapText="1"/>
    </xf>
    <xf numFmtId="167" fontId="60" fillId="0" borderId="181" xfId="10" applyFont="1" applyFill="1" applyBorder="1" applyAlignment="1" applyProtection="1">
      <alignment horizontal="left" vertical="center" wrapText="1"/>
    </xf>
    <xf numFmtId="0" fontId="148" fillId="8" borderId="135" xfId="6" applyFont="1" applyBorder="1" applyProtection="1">
      <alignment horizontal="center" vertical="center" wrapText="1"/>
    </xf>
    <xf numFmtId="0" fontId="148" fillId="8" borderId="136" xfId="6" applyFont="1" applyBorder="1" applyProtection="1">
      <alignment horizontal="center" vertical="center" wrapText="1"/>
    </xf>
    <xf numFmtId="0" fontId="59" fillId="0" borderId="0" xfId="0" applyFont="1" applyBorder="1" applyAlignment="1" applyProtection="1">
      <alignment horizontal="center" vertical="center" wrapText="1"/>
    </xf>
    <xf numFmtId="0" fontId="59" fillId="0" borderId="89" xfId="0" applyFont="1" applyBorder="1" applyAlignment="1" applyProtection="1">
      <alignment horizontal="center" vertical="center" wrapText="1"/>
    </xf>
    <xf numFmtId="0" fontId="5" fillId="0" borderId="1" xfId="4" applyFont="1" applyBorder="1" applyAlignment="1" applyProtection="1">
      <alignment horizontal="center" vertical="center"/>
    </xf>
    <xf numFmtId="0" fontId="13" fillId="0" borderId="738" xfId="0" applyFont="1" applyBorder="1" applyAlignment="1" applyProtection="1">
      <alignment horizontal="right"/>
    </xf>
    <xf numFmtId="0" fontId="13" fillId="0" borderId="785" xfId="0" applyFont="1" applyBorder="1" applyAlignment="1" applyProtection="1">
      <alignment horizontal="right"/>
    </xf>
    <xf numFmtId="1" fontId="58" fillId="0" borderId="785" xfId="0" applyNumberFormat="1" applyFont="1" applyBorder="1" applyAlignment="1" applyProtection="1">
      <alignment horizontal="left"/>
    </xf>
    <xf numFmtId="1" fontId="58" fillId="0" borderId="739" xfId="0" applyNumberFormat="1" applyFont="1" applyBorder="1" applyAlignment="1" applyProtection="1">
      <alignment horizontal="left"/>
    </xf>
    <xf numFmtId="0" fontId="148" fillId="8" borderId="201" xfId="6" applyFont="1" applyBorder="1" applyAlignment="1" applyProtection="1">
      <alignment horizontal="center" vertical="center" wrapText="1"/>
    </xf>
    <xf numFmtId="0" fontId="148" fillId="8" borderId="200" xfId="6" applyFont="1" applyBorder="1" applyAlignment="1" applyProtection="1">
      <alignment horizontal="center" vertical="center" wrapText="1"/>
    </xf>
    <xf numFmtId="0" fontId="148" fillId="8" borderId="136" xfId="6" applyFont="1" applyBorder="1" applyAlignment="1" applyProtection="1">
      <alignment horizontal="center" vertical="center" wrapText="1"/>
    </xf>
    <xf numFmtId="0" fontId="6" fillId="52" borderId="0" xfId="2" applyFont="1" applyBorder="1" applyAlignment="1">
      <alignment horizontal="left" vertical="center" wrapText="1"/>
    </xf>
    <xf numFmtId="0" fontId="16" fillId="3" borderId="0" xfId="4" applyFont="1" applyFill="1" applyBorder="1" applyAlignment="1" applyProtection="1">
      <alignment horizontal="left" vertical="center"/>
    </xf>
    <xf numFmtId="0" fontId="16" fillId="3" borderId="2" xfId="4" applyFont="1" applyFill="1" applyBorder="1" applyAlignment="1" applyProtection="1">
      <alignment horizontal="left" vertical="center"/>
    </xf>
    <xf numFmtId="0" fontId="21" fillId="0" borderId="0" xfId="4" applyFont="1" applyAlignment="1" applyProtection="1">
      <alignment horizontal="center"/>
    </xf>
    <xf numFmtId="0" fontId="15" fillId="3" borderId="0" xfId="4" applyFont="1" applyFill="1" applyBorder="1" applyAlignment="1" applyProtection="1">
      <alignment horizontal="center" vertical="center" wrapText="1"/>
    </xf>
    <xf numFmtId="0" fontId="15" fillId="3" borderId="8" xfId="4" applyFont="1" applyFill="1" applyBorder="1" applyAlignment="1" applyProtection="1">
      <alignment horizontal="center" vertical="center" wrapText="1"/>
    </xf>
    <xf numFmtId="0" fontId="18" fillId="0" borderId="829" xfId="5" applyFont="1" applyBorder="1" applyAlignment="1" applyProtection="1">
      <alignment horizontal="left" vertical="center" wrapText="1"/>
    </xf>
    <xf numFmtId="0" fontId="32" fillId="0" borderId="829" xfId="5" applyFont="1" applyBorder="1" applyAlignment="1" applyProtection="1">
      <alignment horizontal="left" vertical="center"/>
    </xf>
    <xf numFmtId="0" fontId="32" fillId="0" borderId="78" xfId="0" applyFont="1" applyBorder="1" applyAlignment="1" applyProtection="1">
      <alignment horizontal="center" vertical="top" wrapText="1"/>
    </xf>
    <xf numFmtId="0" fontId="32" fillId="0" borderId="79" xfId="0" applyFont="1" applyBorder="1" applyAlignment="1" applyProtection="1">
      <alignment horizontal="center" vertical="top" wrapText="1"/>
    </xf>
    <xf numFmtId="0" fontId="32" fillId="0" borderId="488" xfId="0" applyFont="1" applyBorder="1" applyAlignment="1" applyProtection="1">
      <alignment horizontal="center" vertical="top" wrapText="1"/>
    </xf>
    <xf numFmtId="0" fontId="22" fillId="0" borderId="18" xfId="0" applyFont="1" applyBorder="1" applyAlignment="1" applyProtection="1">
      <alignment horizontal="left" vertical="top" wrapText="1"/>
    </xf>
    <xf numFmtId="0" fontId="22" fillId="0" borderId="88" xfId="0" applyFont="1" applyBorder="1" applyAlignment="1" applyProtection="1">
      <alignment vertical="top" wrapText="1"/>
    </xf>
    <xf numFmtId="167" fontId="50" fillId="11" borderId="217" xfId="10" applyFont="1" applyBorder="1">
      <alignment horizontal="left" vertical="top" wrapText="1"/>
    </xf>
    <xf numFmtId="0" fontId="23" fillId="0" borderId="431" xfId="0" applyFont="1" applyBorder="1" applyAlignment="1" applyProtection="1">
      <alignment horizontal="center" vertical="center" wrapText="1"/>
    </xf>
    <xf numFmtId="0" fontId="23" fillId="0" borderId="504" xfId="0" applyFont="1" applyBorder="1" applyAlignment="1" applyProtection="1">
      <alignment horizontal="center" vertical="center" wrapText="1"/>
    </xf>
    <xf numFmtId="0" fontId="22" fillId="0" borderId="488" xfId="0" applyFont="1" applyBorder="1" applyAlignment="1" applyProtection="1">
      <alignment horizontal="center" vertical="center" wrapText="1"/>
    </xf>
    <xf numFmtId="0" fontId="22" fillId="0" borderId="78" xfId="0" applyFont="1" applyBorder="1" applyAlignment="1" applyProtection="1">
      <alignment horizontal="center" vertical="center" wrapText="1"/>
    </xf>
    <xf numFmtId="2" fontId="21" fillId="0" borderId="501" xfId="0" applyNumberFormat="1" applyFont="1" applyBorder="1" applyAlignment="1" applyProtection="1">
      <alignment horizontal="center" vertical="center" wrapText="1"/>
    </xf>
    <xf numFmtId="0" fontId="22" fillId="0" borderId="174" xfId="0" applyFont="1" applyBorder="1" applyAlignment="1" applyProtection="1">
      <alignment horizontal="center" vertical="center" wrapText="1"/>
    </xf>
    <xf numFmtId="0" fontId="22" fillId="0" borderId="175" xfId="0" applyFont="1" applyBorder="1" applyAlignment="1" applyProtection="1">
      <alignment horizontal="center" vertical="center" wrapText="1"/>
    </xf>
    <xf numFmtId="2" fontId="21" fillId="0" borderId="81" xfId="0" applyNumberFormat="1" applyFont="1" applyBorder="1" applyAlignment="1" applyProtection="1">
      <alignment horizontal="center" vertical="center" wrapText="1"/>
    </xf>
    <xf numFmtId="0" fontId="13" fillId="0" borderId="526" xfId="0" applyFont="1" applyBorder="1" applyAlignment="1" applyProtection="1">
      <alignment horizontal="center" vertical="center"/>
    </xf>
    <xf numFmtId="49" fontId="26" fillId="0" borderId="67" xfId="16" applyFont="1" applyBorder="1" applyAlignment="1" applyProtection="1">
      <alignment horizontal="center" vertical="center" wrapText="1"/>
    </xf>
    <xf numFmtId="49" fontId="26" fillId="0" borderId="0" xfId="16" applyFont="1" applyBorder="1" applyAlignment="1" applyProtection="1">
      <alignment horizontal="center" vertical="center" wrapText="1"/>
    </xf>
    <xf numFmtId="0" fontId="23" fillId="40" borderId="17" xfId="23" quotePrefix="1" applyBorder="1">
      <alignment horizontal="left" vertical="top" wrapText="1"/>
      <protection locked="0"/>
    </xf>
    <xf numFmtId="0" fontId="23" fillId="40" borderId="0" xfId="23" quotePrefix="1" applyBorder="1">
      <alignment horizontal="left" vertical="top" wrapText="1"/>
      <protection locked="0"/>
    </xf>
    <xf numFmtId="0" fontId="17" fillId="0" borderId="67" xfId="5" applyFont="1" applyBorder="1" applyAlignment="1" applyProtection="1">
      <alignment horizontal="center" vertical="center" wrapText="1"/>
    </xf>
    <xf numFmtId="0" fontId="17" fillId="0" borderId="91" xfId="5" applyFont="1" applyBorder="1" applyAlignment="1" applyProtection="1">
      <alignment horizontal="center" vertical="center" wrapText="1"/>
    </xf>
    <xf numFmtId="0" fontId="55" fillId="0" borderId="511" xfId="0" applyFont="1" applyBorder="1" applyAlignment="1" applyProtection="1">
      <alignment horizontal="left" vertical="top" wrapText="1"/>
    </xf>
    <xf numFmtId="0" fontId="0" fillId="0" borderId="129" xfId="0" applyFont="1" applyBorder="1" applyAlignment="1" applyProtection="1">
      <alignment horizontal="left" vertical="top"/>
    </xf>
    <xf numFmtId="0" fontId="0" fillId="0" borderId="89" xfId="0" applyFont="1" applyBorder="1" applyAlignment="1" applyProtection="1">
      <alignment horizontal="left" vertical="top"/>
    </xf>
    <xf numFmtId="0" fontId="23" fillId="9" borderId="14" xfId="8" applyBorder="1" applyProtection="1">
      <alignment horizontal="left" vertical="top" wrapText="1"/>
    </xf>
    <xf numFmtId="0" fontId="0" fillId="0" borderId="89" xfId="0" applyBorder="1" applyAlignment="1" applyProtection="1">
      <alignment horizontal="center"/>
    </xf>
    <xf numFmtId="0" fontId="0" fillId="0" borderId="129" xfId="0" applyBorder="1" applyProtection="1"/>
    <xf numFmtId="0" fontId="21" fillId="0" borderId="521" xfId="0" applyFont="1" applyBorder="1" applyAlignment="1" applyProtection="1">
      <alignment vertical="top" wrapText="1"/>
    </xf>
    <xf numFmtId="0" fontId="0" fillId="0" borderId="13" xfId="0" quotePrefix="1" applyBorder="1" applyAlignment="1" applyProtection="1">
      <alignment horizontal="center" vertical="center"/>
      <protection locked="0"/>
    </xf>
    <xf numFmtId="0" fontId="22" fillId="0" borderId="18" xfId="0" applyFont="1" applyBorder="1" applyAlignment="1" applyProtection="1">
      <alignment horizontal="center" vertical="center" wrapText="1"/>
    </xf>
    <xf numFmtId="0" fontId="22" fillId="0" borderId="26" xfId="0" applyFont="1" applyBorder="1" applyAlignment="1" applyProtection="1">
      <alignment horizontal="center" vertical="center" wrapText="1"/>
    </xf>
    <xf numFmtId="0" fontId="23" fillId="0" borderId="18" xfId="0" applyFont="1" applyBorder="1" applyAlignment="1" applyProtection="1">
      <alignment horizontal="left" vertical="top" wrapText="1"/>
    </xf>
    <xf numFmtId="0" fontId="23" fillId="0" borderId="88" xfId="0" applyFont="1" applyBorder="1" applyAlignment="1" applyProtection="1">
      <alignment horizontal="left" vertical="top" wrapText="1"/>
    </xf>
    <xf numFmtId="0" fontId="0" fillId="0" borderId="13" xfId="0" applyBorder="1" applyAlignment="1" applyProtection="1">
      <alignment horizontal="center" vertical="center" wrapText="1"/>
      <protection locked="0"/>
    </xf>
    <xf numFmtId="49" fontId="3" fillId="52" borderId="11" xfId="7" applyFont="1" applyBorder="1" applyProtection="1">
      <alignment horizontal="left" vertical="center" wrapText="1"/>
    </xf>
    <xf numFmtId="0" fontId="22" fillId="0" borderId="357" xfId="18" applyFont="1" applyFill="1" applyBorder="1" applyProtection="1">
      <alignment horizontal="left" vertical="center"/>
    </xf>
    <xf numFmtId="0" fontId="0" fillId="0" borderId="396" xfId="0" quotePrefix="1" applyBorder="1" applyAlignment="1" applyProtection="1">
      <alignment horizontal="center" vertical="center"/>
      <protection locked="0"/>
    </xf>
    <xf numFmtId="0" fontId="23" fillId="0" borderId="59" xfId="0" applyFont="1" applyBorder="1" applyAlignment="1" applyProtection="1">
      <alignment horizontal="left" vertical="top" wrapText="1"/>
    </xf>
    <xf numFmtId="1" fontId="26" fillId="10" borderId="15" xfId="9">
      <alignment horizontal="center" vertical="center"/>
      <protection locked="0"/>
    </xf>
    <xf numFmtId="0" fontId="30" fillId="0" borderId="343" xfId="0" applyFont="1" applyFill="1" applyBorder="1" applyAlignment="1" applyProtection="1">
      <alignment horizontal="center" vertical="center" wrapText="1"/>
      <protection locked="0"/>
    </xf>
    <xf numFmtId="0" fontId="30" fillId="0" borderId="140" xfId="0" applyFont="1" applyFill="1" applyBorder="1" applyAlignment="1" applyProtection="1">
      <alignment horizontal="center" vertical="center" wrapText="1"/>
      <protection locked="0"/>
    </xf>
    <xf numFmtId="167" fontId="50" fillId="11" borderId="48" xfId="10" applyFont="1" applyBorder="1" applyAlignment="1">
      <alignment horizontal="left" vertical="center" wrapText="1"/>
    </xf>
    <xf numFmtId="167" fontId="50" fillId="11" borderId="46" xfId="10" applyFont="1" applyBorder="1" applyAlignment="1">
      <alignment horizontal="left" vertical="center" wrapText="1"/>
    </xf>
    <xf numFmtId="167" fontId="50" fillId="11" borderId="49" xfId="10" applyFont="1" applyBorder="1" applyAlignment="1">
      <alignment horizontal="left" vertical="center" wrapText="1"/>
    </xf>
    <xf numFmtId="0" fontId="22" fillId="0" borderId="0" xfId="0" applyFont="1" applyBorder="1" applyAlignment="1" applyProtection="1">
      <alignment vertical="center" wrapText="1"/>
    </xf>
    <xf numFmtId="0" fontId="24" fillId="0" borderId="0" xfId="0" applyFont="1" applyBorder="1" applyAlignment="1" applyProtection="1">
      <alignment vertical="center" wrapText="1"/>
    </xf>
    <xf numFmtId="0" fontId="1" fillId="0" borderId="18" xfId="0" applyFont="1" applyBorder="1" applyAlignment="1" applyProtection="1">
      <alignment horizontal="center" vertical="center"/>
    </xf>
    <xf numFmtId="0" fontId="1" fillId="0" borderId="88" xfId="0" applyFont="1" applyBorder="1" applyAlignment="1" applyProtection="1">
      <alignment horizontal="center" vertical="center"/>
    </xf>
    <xf numFmtId="0" fontId="17" fillId="0" borderId="0" xfId="5" applyFont="1" applyBorder="1" applyAlignment="1" applyProtection="1">
      <alignment vertical="center" wrapText="1"/>
      <protection locked="0"/>
    </xf>
    <xf numFmtId="0" fontId="30" fillId="0" borderId="208" xfId="0" applyFont="1" applyFill="1" applyBorder="1" applyAlignment="1" applyProtection="1">
      <alignment horizontal="center" vertical="center" wrapText="1"/>
      <protection locked="0"/>
    </xf>
    <xf numFmtId="0" fontId="30" fillId="0" borderId="396" xfId="0" applyFont="1" applyFill="1" applyBorder="1" applyAlignment="1" applyProtection="1">
      <alignment horizontal="center" vertical="center" wrapText="1"/>
      <protection locked="0"/>
    </xf>
    <xf numFmtId="0" fontId="105" fillId="0" borderId="30" xfId="0" applyFont="1" applyBorder="1" applyAlignment="1" applyProtection="1">
      <alignment horizontal="left" vertical="top" wrapText="1"/>
    </xf>
    <xf numFmtId="0" fontId="64" fillId="0" borderId="0" xfId="0" applyFont="1" applyBorder="1" applyAlignment="1" applyProtection="1">
      <alignment vertical="top" wrapText="1"/>
    </xf>
    <xf numFmtId="0" fontId="64" fillId="0" borderId="89" xfId="0" applyFont="1" applyBorder="1" applyAlignment="1" applyProtection="1">
      <alignment vertical="top" wrapText="1"/>
    </xf>
    <xf numFmtId="0" fontId="23" fillId="0" borderId="12" xfId="0" applyFont="1" applyBorder="1" applyAlignment="1" applyProtection="1">
      <alignment vertical="top"/>
    </xf>
    <xf numFmtId="0" fontId="23" fillId="0" borderId="424" xfId="0" applyFont="1" applyBorder="1" applyAlignment="1" applyProtection="1">
      <alignment vertical="top"/>
    </xf>
    <xf numFmtId="0" fontId="23" fillId="0" borderId="58" xfId="0" applyFont="1" applyBorder="1" applyAlignment="1" applyProtection="1">
      <alignment vertical="top"/>
    </xf>
    <xf numFmtId="0" fontId="23" fillId="0" borderId="342" xfId="0" applyFont="1" applyBorder="1" applyAlignment="1" applyProtection="1">
      <alignment vertical="top"/>
    </xf>
    <xf numFmtId="0" fontId="23" fillId="0" borderId="67" xfId="0" applyFont="1" applyBorder="1" applyAlignment="1" applyProtection="1">
      <alignment vertical="top"/>
    </xf>
    <xf numFmtId="0" fontId="28" fillId="0" borderId="30" xfId="0" applyFont="1" applyBorder="1" applyAlignment="1" applyProtection="1">
      <alignment horizontal="left" vertical="center" wrapText="1"/>
    </xf>
    <xf numFmtId="0" fontId="28" fillId="0" borderId="30" xfId="0" applyFont="1" applyBorder="1" applyAlignment="1" applyProtection="1">
      <alignment vertical="center" wrapText="1"/>
    </xf>
    <xf numFmtId="0" fontId="23" fillId="0" borderId="61" xfId="0" applyFont="1" applyBorder="1" applyAlignment="1">
      <alignment horizontal="left" vertical="top" wrapText="1"/>
    </xf>
    <xf numFmtId="0" fontId="13" fillId="0" borderId="160" xfId="0" applyFont="1" applyBorder="1" applyAlignment="1" applyProtection="1">
      <alignment vertical="top"/>
    </xf>
    <xf numFmtId="0" fontId="3" fillId="0" borderId="18" xfId="0" applyFont="1" applyBorder="1" applyAlignment="1">
      <alignment vertical="top"/>
    </xf>
    <xf numFmtId="0" fontId="13" fillId="11" borderId="697" xfId="0" applyFont="1" applyFill="1" applyBorder="1" applyAlignment="1" applyProtection="1">
      <alignment horizontal="right" vertical="center"/>
    </xf>
    <xf numFmtId="0" fontId="3" fillId="11" borderId="157" xfId="0" applyFont="1" applyFill="1" applyBorder="1" applyAlignment="1">
      <alignment horizontal="right" vertical="center"/>
    </xf>
    <xf numFmtId="0" fontId="0" fillId="0" borderId="0" xfId="0" applyAlignment="1">
      <alignment horizontal="center" vertical="center" wrapText="1"/>
    </xf>
    <xf numFmtId="0" fontId="0" fillId="0" borderId="343" xfId="0" quotePrefix="1" applyBorder="1" applyAlignment="1" applyProtection="1">
      <alignment horizontal="center" vertical="center"/>
      <protection locked="0"/>
    </xf>
    <xf numFmtId="0" fontId="0" fillId="0" borderId="396" xfId="0" applyBorder="1" applyAlignment="1" applyProtection="1">
      <alignment horizontal="center" vertical="center"/>
      <protection locked="0"/>
    </xf>
    <xf numFmtId="0" fontId="23" fillId="0" borderId="18" xfId="0" applyFont="1" applyBorder="1" applyAlignment="1">
      <alignment horizontal="left" vertical="top"/>
    </xf>
    <xf numFmtId="1" fontId="26" fillId="10" borderId="185" xfId="9" applyBorder="1" applyAlignment="1">
      <alignment horizontal="center" vertical="center"/>
      <protection locked="0"/>
    </xf>
    <xf numFmtId="1" fontId="26" fillId="10" borderId="418" xfId="9" applyBorder="1" applyAlignment="1">
      <alignment horizontal="center" vertical="center"/>
      <protection locked="0"/>
    </xf>
    <xf numFmtId="0" fontId="21" fillId="52" borderId="0" xfId="2" applyFont="1" applyBorder="1" applyAlignment="1">
      <alignment horizontal="left" vertical="center" wrapText="1"/>
    </xf>
    <xf numFmtId="0" fontId="21" fillId="52" borderId="2" xfId="2" applyFont="1" applyBorder="1" applyAlignment="1">
      <alignment horizontal="left" vertical="center" wrapText="1"/>
    </xf>
    <xf numFmtId="0" fontId="0" fillId="0" borderId="0" xfId="0" applyFont="1" applyBorder="1" applyAlignment="1">
      <alignment horizontal="center"/>
    </xf>
    <xf numFmtId="167" fontId="27" fillId="11" borderId="438" xfId="10" applyBorder="1">
      <alignment horizontal="left" vertical="top" wrapText="1"/>
    </xf>
    <xf numFmtId="0" fontId="23" fillId="0" borderId="160" xfId="0" applyFont="1" applyBorder="1" applyAlignment="1" applyProtection="1">
      <alignment horizontal="left" vertical="top" wrapText="1"/>
    </xf>
    <xf numFmtId="0" fontId="23" fillId="0" borderId="69" xfId="0" applyFont="1" applyBorder="1" applyAlignment="1">
      <alignment horizontal="left" vertical="top" wrapText="1"/>
    </xf>
    <xf numFmtId="0" fontId="23" fillId="0" borderId="76" xfId="0" applyFont="1" applyBorder="1" applyAlignment="1">
      <alignment horizontal="left" vertical="top" wrapText="1"/>
    </xf>
    <xf numFmtId="0" fontId="23" fillId="0" borderId="401" xfId="0" applyFont="1" applyBorder="1" applyAlignment="1">
      <alignment horizontal="left" vertical="top" wrapText="1"/>
    </xf>
    <xf numFmtId="0" fontId="23" fillId="0" borderId="488" xfId="0" applyFont="1" applyBorder="1" applyAlignment="1">
      <alignment horizontal="left" vertical="top" wrapText="1"/>
    </xf>
    <xf numFmtId="0" fontId="23" fillId="0" borderId="12" xfId="0" applyFont="1" applyBorder="1" applyAlignment="1" applyProtection="1">
      <alignment horizontal="left" vertical="top" wrapText="1"/>
    </xf>
    <xf numFmtId="167" fontId="27" fillId="11" borderId="408" xfId="10" applyBorder="1">
      <alignment horizontal="left" vertical="top" wrapText="1"/>
    </xf>
    <xf numFmtId="49" fontId="23" fillId="0" borderId="202" xfId="0" applyNumberFormat="1" applyFont="1" applyBorder="1" applyAlignment="1" applyProtection="1">
      <alignment horizontal="center" vertical="center" wrapText="1"/>
      <protection locked="0"/>
    </xf>
    <xf numFmtId="1" fontId="26" fillId="10" borderId="16" xfId="9" applyBorder="1" applyAlignment="1">
      <alignment horizontal="center" vertical="center" wrapText="1"/>
      <protection locked="0"/>
    </xf>
    <xf numFmtId="1" fontId="26" fillId="10" borderId="51" xfId="9" applyBorder="1" applyAlignment="1">
      <alignment horizontal="center" vertical="center" wrapText="1"/>
      <protection locked="0"/>
    </xf>
    <xf numFmtId="0" fontId="23" fillId="0" borderId="98" xfId="0" applyFont="1" applyBorder="1" applyAlignment="1">
      <alignment horizontal="left" vertical="top" wrapText="1"/>
    </xf>
    <xf numFmtId="0" fontId="23" fillId="40" borderId="69" xfId="23" applyBorder="1">
      <alignment horizontal="left" vertical="top" wrapText="1"/>
      <protection locked="0"/>
    </xf>
    <xf numFmtId="49" fontId="0" fillId="0" borderId="397" xfId="0" applyNumberFormat="1" applyBorder="1" applyAlignment="1" applyProtection="1">
      <alignment horizontal="center" vertical="center"/>
      <protection locked="0"/>
    </xf>
    <xf numFmtId="167" fontId="27" fillId="11" borderId="33" xfId="10" applyBorder="1" applyProtection="1">
      <alignment horizontal="left" vertical="top" wrapText="1"/>
    </xf>
    <xf numFmtId="1" fontId="94" fillId="45" borderId="16" xfId="9" applyFont="1" applyFill="1" applyBorder="1" applyAlignment="1">
      <alignment horizontal="center" vertical="center" wrapText="1"/>
      <protection locked="0"/>
    </xf>
    <xf numFmtId="1" fontId="94" fillId="45" borderId="41" xfId="9" applyFont="1" applyFill="1" applyBorder="1" applyAlignment="1">
      <alignment horizontal="center" vertical="center" wrapText="1"/>
      <protection locked="0"/>
    </xf>
    <xf numFmtId="1" fontId="94" fillId="45" borderId="51" xfId="9" applyFont="1" applyFill="1" applyBorder="1" applyAlignment="1">
      <alignment horizontal="center" vertical="center" wrapText="1"/>
      <protection locked="0"/>
    </xf>
    <xf numFmtId="0" fontId="23" fillId="0" borderId="77" xfId="0" applyFont="1" applyBorder="1" applyAlignment="1">
      <alignment horizontal="left" vertical="top" wrapText="1"/>
    </xf>
    <xf numFmtId="0" fontId="23" fillId="0" borderId="81" xfId="0" applyFont="1" applyBorder="1" applyAlignment="1">
      <alignment horizontal="left" vertical="top" wrapText="1"/>
    </xf>
    <xf numFmtId="0" fontId="23" fillId="0" borderId="82" xfId="0" applyFont="1" applyBorder="1" applyAlignment="1">
      <alignment horizontal="left" vertical="top" wrapText="1"/>
    </xf>
    <xf numFmtId="0" fontId="23" fillId="0" borderId="160" xfId="0" applyFont="1" applyBorder="1" applyAlignment="1">
      <alignment horizontal="left" vertical="top" wrapText="1"/>
    </xf>
    <xf numFmtId="0" fontId="23" fillId="0" borderId="398" xfId="0" applyFont="1" applyBorder="1" applyAlignment="1">
      <alignment horizontal="left" vertical="top" wrapText="1"/>
    </xf>
    <xf numFmtId="0" fontId="23" fillId="0" borderId="108" xfId="0" applyFont="1" applyBorder="1" applyAlignment="1">
      <alignment horizontal="left" vertical="top" wrapText="1"/>
    </xf>
    <xf numFmtId="0" fontId="23" fillId="0" borderId="18" xfId="0" applyFont="1" applyBorder="1" applyAlignment="1" applyProtection="1">
      <alignment horizontal="left" vertical="top" wrapText="1"/>
      <protection locked="0"/>
    </xf>
    <xf numFmtId="0" fontId="23" fillId="40" borderId="119" xfId="23" applyBorder="1">
      <alignment horizontal="left" vertical="top" wrapText="1"/>
      <protection locked="0"/>
    </xf>
    <xf numFmtId="0" fontId="23" fillId="40" borderId="108" xfId="23" applyBorder="1">
      <alignment horizontal="left" vertical="top" wrapText="1"/>
      <protection locked="0"/>
    </xf>
    <xf numFmtId="0" fontId="30" fillId="0" borderId="87" xfId="0" applyFont="1" applyBorder="1" applyAlignment="1" applyProtection="1">
      <alignment horizontal="center" vertical="center" wrapText="1"/>
      <protection locked="0"/>
    </xf>
    <xf numFmtId="1" fontId="26" fillId="10" borderId="414" xfId="9" applyBorder="1" applyProtection="1">
      <alignment horizontal="center" vertical="center"/>
      <protection locked="0"/>
    </xf>
    <xf numFmtId="1" fontId="26" fillId="10" borderId="85" xfId="9" applyBorder="1" applyProtection="1">
      <alignment horizontal="center" vertical="center"/>
      <protection locked="0"/>
    </xf>
    <xf numFmtId="0" fontId="23" fillId="0" borderId="34" xfId="0" applyFont="1" applyBorder="1" applyAlignment="1">
      <alignment horizontal="left" vertical="center" wrapText="1"/>
    </xf>
    <xf numFmtId="0" fontId="13" fillId="15" borderId="436" xfId="15" applyBorder="1">
      <alignment horizontal="center" vertical="center"/>
    </xf>
    <xf numFmtId="0" fontId="13" fillId="0" borderId="18" xfId="0" applyFont="1" applyBorder="1" applyAlignment="1" applyProtection="1">
      <alignment horizontal="center" vertical="center" wrapText="1"/>
    </xf>
    <xf numFmtId="0" fontId="13" fillId="0" borderId="32" xfId="0" applyFont="1" applyBorder="1" applyAlignment="1" applyProtection="1">
      <alignment horizontal="center" vertical="center" wrapText="1"/>
    </xf>
    <xf numFmtId="49" fontId="30" fillId="0" borderId="202" xfId="0" applyNumberFormat="1" applyFont="1" applyBorder="1" applyAlignment="1" applyProtection="1">
      <alignment horizontal="center" vertical="center" wrapText="1"/>
      <protection locked="0"/>
    </xf>
    <xf numFmtId="0" fontId="23" fillId="40" borderId="128" xfId="23" applyBorder="1">
      <alignment horizontal="left" vertical="top" wrapText="1"/>
      <protection locked="0"/>
    </xf>
    <xf numFmtId="0" fontId="23" fillId="0" borderId="67" xfId="0" applyFont="1" applyBorder="1" applyAlignment="1" applyProtection="1">
      <alignment horizontal="left" vertical="top" wrapText="1"/>
    </xf>
    <xf numFmtId="0" fontId="13" fillId="0" borderId="731" xfId="0" applyFont="1" applyBorder="1" applyAlignment="1" applyProtection="1">
      <alignment horizontal="center" vertical="center" wrapText="1"/>
    </xf>
    <xf numFmtId="0" fontId="13" fillId="0" borderId="26" xfId="0" applyFont="1" applyBorder="1" applyAlignment="1" applyProtection="1">
      <alignment horizontal="center" vertical="center" wrapText="1"/>
    </xf>
    <xf numFmtId="0" fontId="13" fillId="0" borderId="40" xfId="0" applyFont="1" applyBorder="1" applyAlignment="1" applyProtection="1">
      <alignment horizontal="center" vertical="center" wrapText="1"/>
    </xf>
    <xf numFmtId="0" fontId="13" fillId="0" borderId="50" xfId="0" applyFont="1" applyBorder="1" applyAlignment="1" applyProtection="1">
      <alignment horizontal="center" vertical="center" wrapText="1"/>
    </xf>
    <xf numFmtId="49" fontId="30" fillId="0" borderId="396" xfId="0" applyNumberFormat="1" applyFont="1" applyBorder="1" applyAlignment="1" applyProtection="1">
      <alignment horizontal="center" vertical="center" wrapText="1"/>
      <protection locked="0"/>
    </xf>
    <xf numFmtId="0" fontId="13" fillId="0" borderId="67" xfId="0" applyFont="1" applyBorder="1" applyAlignment="1">
      <alignment horizontal="center" vertical="center"/>
    </xf>
    <xf numFmtId="0" fontId="13" fillId="0" borderId="32" xfId="0" applyFont="1" applyBorder="1" applyAlignment="1">
      <alignment horizontal="center" vertical="center"/>
    </xf>
    <xf numFmtId="49" fontId="21" fillId="0" borderId="208" xfId="4" applyNumberFormat="1" applyFont="1" applyFill="1" applyBorder="1" applyAlignment="1" applyProtection="1">
      <alignment horizontal="center" vertical="center" wrapText="1"/>
      <protection locked="0"/>
    </xf>
    <xf numFmtId="49" fontId="21" fillId="0" borderId="202" xfId="4" applyNumberFormat="1" applyFont="1" applyFill="1" applyBorder="1" applyAlignment="1" applyProtection="1">
      <alignment horizontal="center" vertical="center" wrapText="1"/>
      <protection locked="0"/>
    </xf>
    <xf numFmtId="0" fontId="21" fillId="0" borderId="0" xfId="12" applyFill="1" applyBorder="1" applyAlignment="1" applyProtection="1">
      <alignment horizontal="left" vertical="top" wrapText="1"/>
    </xf>
    <xf numFmtId="0" fontId="21" fillId="0" borderId="89" xfId="12" applyFill="1" applyBorder="1" applyAlignment="1" applyProtection="1">
      <alignment horizontal="left" vertical="top" wrapText="1"/>
    </xf>
    <xf numFmtId="1" fontId="26" fillId="10" borderId="185" xfId="9" applyBorder="1" applyAlignment="1">
      <alignment horizontal="center" vertical="center" wrapText="1"/>
      <protection locked="0"/>
    </xf>
    <xf numFmtId="1" fontId="26" fillId="10" borderId="418" xfId="9" applyBorder="1" applyAlignment="1">
      <alignment horizontal="center" vertical="center" wrapText="1"/>
      <protection locked="0"/>
    </xf>
    <xf numFmtId="0" fontId="23" fillId="0" borderId="208" xfId="0" applyFont="1" applyBorder="1" applyAlignment="1" applyProtection="1">
      <alignment horizontal="center" vertical="center" wrapText="1"/>
      <protection locked="0"/>
    </xf>
    <xf numFmtId="0" fontId="23" fillId="0" borderId="140" xfId="0" applyFont="1" applyBorder="1" applyAlignment="1" applyProtection="1">
      <alignment horizontal="center" vertical="center" wrapText="1"/>
      <protection locked="0"/>
    </xf>
    <xf numFmtId="49" fontId="21" fillId="0" borderId="13" xfId="12" applyNumberFormat="1" applyFill="1" applyBorder="1" applyAlignment="1" applyProtection="1">
      <alignment horizontal="center" vertical="center" wrapText="1"/>
      <protection locked="0"/>
    </xf>
    <xf numFmtId="49" fontId="21" fillId="0" borderId="140" xfId="12" applyNumberFormat="1" applyFill="1" applyBorder="1" applyAlignment="1" applyProtection="1">
      <alignment horizontal="center" vertical="center" wrapText="1"/>
      <protection locked="0"/>
    </xf>
    <xf numFmtId="0" fontId="21" fillId="0" borderId="34" xfId="12" applyFill="1" applyBorder="1" applyAlignment="1" applyProtection="1">
      <alignment horizontal="left" vertical="center" wrapText="1"/>
    </xf>
    <xf numFmtId="0" fontId="23" fillId="0" borderId="34" xfId="0" applyFont="1" applyFill="1" applyBorder="1" applyAlignment="1" applyProtection="1">
      <alignment horizontal="left" vertical="center" wrapText="1"/>
    </xf>
    <xf numFmtId="0" fontId="23" fillId="0" borderId="117" xfId="0" applyFont="1" applyFill="1" applyBorder="1" applyAlignment="1" applyProtection="1">
      <alignment horizontal="left" vertical="center" wrapText="1"/>
    </xf>
    <xf numFmtId="1" fontId="26" fillId="45" borderId="16" xfId="9" applyFill="1" applyBorder="1" applyAlignment="1">
      <alignment horizontal="center" vertical="center" wrapText="1"/>
      <protection locked="0"/>
    </xf>
    <xf numFmtId="1" fontId="26" fillId="45" borderId="41" xfId="9" applyFill="1" applyBorder="1" applyAlignment="1">
      <alignment horizontal="center" vertical="center" wrapText="1"/>
      <protection locked="0"/>
    </xf>
    <xf numFmtId="1" fontId="26" fillId="45" borderId="51" xfId="9" applyFill="1" applyBorder="1" applyAlignment="1">
      <alignment horizontal="center" vertical="center" wrapText="1"/>
      <protection locked="0"/>
    </xf>
    <xf numFmtId="1" fontId="26" fillId="10" borderId="162" xfId="9" applyBorder="1">
      <alignment horizontal="center" vertical="center"/>
      <protection locked="0"/>
    </xf>
    <xf numFmtId="0" fontId="23" fillId="0" borderId="256" xfId="0" applyFont="1" applyBorder="1" applyAlignment="1">
      <alignment horizontal="left" vertical="top" wrapText="1"/>
    </xf>
    <xf numFmtId="0" fontId="23" fillId="0" borderId="426" xfId="0" applyFont="1" applyBorder="1" applyAlignment="1">
      <alignment horizontal="left" vertical="top" wrapText="1"/>
    </xf>
    <xf numFmtId="0" fontId="23" fillId="0" borderId="427" xfId="0" applyFont="1" applyBorder="1" applyAlignment="1">
      <alignment horizontal="left" vertical="top" wrapText="1"/>
    </xf>
    <xf numFmtId="0" fontId="23" fillId="0" borderId="174" xfId="0" applyFont="1" applyBorder="1" applyAlignment="1">
      <alignment horizontal="left" vertical="top" wrapText="1"/>
    </xf>
    <xf numFmtId="0" fontId="23" fillId="0" borderId="175" xfId="0" applyFont="1" applyBorder="1" applyAlignment="1">
      <alignment horizontal="left" vertical="top" wrapText="1"/>
    </xf>
    <xf numFmtId="0" fontId="23" fillId="0" borderId="428" xfId="0" applyFont="1" applyBorder="1" applyAlignment="1">
      <alignment horizontal="left" vertical="top" wrapText="1"/>
    </xf>
    <xf numFmtId="0" fontId="23" fillId="0" borderId="429" xfId="0" applyFont="1" applyBorder="1" applyAlignment="1">
      <alignment horizontal="left" vertical="top" wrapText="1"/>
    </xf>
    <xf numFmtId="0" fontId="23" fillId="0" borderId="430" xfId="0" applyFont="1" applyBorder="1" applyAlignment="1">
      <alignment horizontal="left" vertical="top" wrapText="1"/>
    </xf>
    <xf numFmtId="0" fontId="78" fillId="0" borderId="362" xfId="0" applyFont="1" applyBorder="1" applyAlignment="1">
      <alignment horizontal="center" vertical="center" wrapText="1"/>
    </xf>
    <xf numFmtId="167" fontId="23" fillId="0" borderId="69" xfId="0" applyNumberFormat="1" applyFont="1" applyBorder="1" applyAlignment="1">
      <alignment horizontal="center" vertical="top" wrapText="1"/>
    </xf>
    <xf numFmtId="167" fontId="23" fillId="0" borderId="8" xfId="0" applyNumberFormat="1" applyFont="1" applyBorder="1" applyAlignment="1">
      <alignment horizontal="center" vertical="top" wrapText="1"/>
    </xf>
    <xf numFmtId="0" fontId="23" fillId="0" borderId="8" xfId="0" applyFont="1" applyBorder="1" applyAlignment="1">
      <alignment horizontal="left" vertical="top" wrapText="1"/>
    </xf>
    <xf numFmtId="0" fontId="13" fillId="0" borderId="86" xfId="0" applyFont="1" applyBorder="1" applyAlignment="1">
      <alignment horizontal="center" vertical="center" wrapText="1"/>
    </xf>
    <xf numFmtId="0" fontId="13" fillId="0" borderId="24" xfId="0" applyFont="1" applyBorder="1" applyAlignment="1" applyProtection="1">
      <alignment horizontal="center" vertical="center" wrapText="1"/>
    </xf>
    <xf numFmtId="0" fontId="13" fillId="0" borderId="26" xfId="0" applyFont="1" applyBorder="1" applyAlignment="1" applyProtection="1">
      <alignment horizontal="left" vertical="top" wrapText="1"/>
    </xf>
    <xf numFmtId="0" fontId="21" fillId="0" borderId="26" xfId="12" applyFill="1" applyBorder="1" applyAlignment="1" applyProtection="1">
      <alignment horizontal="left" vertical="top" wrapText="1"/>
    </xf>
    <xf numFmtId="0" fontId="21" fillId="0" borderId="50" xfId="12" applyFill="1" applyBorder="1" applyAlignment="1" applyProtection="1">
      <alignment horizontal="left" vertical="top" wrapText="1"/>
    </xf>
    <xf numFmtId="0" fontId="23" fillId="40" borderId="115" xfId="23" applyBorder="1">
      <alignment horizontal="left" vertical="top" wrapText="1"/>
      <protection locked="0"/>
    </xf>
    <xf numFmtId="0" fontId="23" fillId="40" borderId="66" xfId="23" applyBorder="1">
      <alignment horizontal="left" vertical="top" wrapText="1"/>
      <protection locked="0"/>
    </xf>
    <xf numFmtId="0" fontId="23" fillId="0" borderId="370" xfId="0" applyFont="1" applyBorder="1" applyAlignment="1">
      <alignment horizontal="left" vertical="top" wrapText="1"/>
    </xf>
    <xf numFmtId="0" fontId="23" fillId="0" borderId="98" xfId="0" applyFont="1" applyBorder="1" applyAlignment="1">
      <alignment horizontal="center" vertical="top" wrapText="1"/>
    </xf>
    <xf numFmtId="0" fontId="23" fillId="0" borderId="99" xfId="0" applyFont="1" applyBorder="1" applyAlignment="1">
      <alignment horizontal="center" vertical="top" wrapText="1"/>
    </xf>
    <xf numFmtId="0" fontId="23" fillId="0" borderId="370" xfId="0" applyFont="1" applyBorder="1" applyAlignment="1">
      <alignment horizontal="center" vertical="top" wrapText="1"/>
    </xf>
    <xf numFmtId="0" fontId="23" fillId="0" borderId="371" xfId="0" applyFont="1" applyBorder="1" applyAlignment="1">
      <alignment horizontal="center" vertical="top" wrapText="1"/>
    </xf>
    <xf numFmtId="1" fontId="26" fillId="45" borderId="103" xfId="9" applyFill="1" applyBorder="1" applyAlignment="1" applyProtection="1">
      <alignment horizontal="center" vertical="center" wrapText="1"/>
      <protection locked="0"/>
    </xf>
    <xf numFmtId="1" fontId="26" fillId="10" borderId="185" xfId="9" applyBorder="1" applyAlignment="1" applyProtection="1">
      <alignment horizontal="center" vertical="center" wrapText="1"/>
      <protection locked="0"/>
    </xf>
    <xf numFmtId="1" fontId="26" fillId="10" borderId="93" xfId="9" applyBorder="1" applyAlignment="1" applyProtection="1">
      <alignment horizontal="center" vertical="center" wrapText="1"/>
      <protection locked="0"/>
    </xf>
    <xf numFmtId="0" fontId="23" fillId="0" borderId="34" xfId="0" applyFont="1" applyBorder="1" applyAlignment="1">
      <alignment horizontal="center" vertical="center" wrapText="1"/>
    </xf>
    <xf numFmtId="167" fontId="26" fillId="11" borderId="21" xfId="10" applyFont="1" applyBorder="1">
      <alignment horizontal="left" vertical="top" wrapText="1"/>
    </xf>
    <xf numFmtId="0" fontId="13" fillId="0" borderId="368" xfId="0" applyFont="1" applyBorder="1" applyAlignment="1">
      <alignment horizontal="center" vertical="center"/>
    </xf>
    <xf numFmtId="0" fontId="13" fillId="0" borderId="94" xfId="0" applyFont="1" applyBorder="1" applyAlignment="1">
      <alignment horizontal="center" vertical="center"/>
    </xf>
    <xf numFmtId="1" fontId="26" fillId="10" borderId="425" xfId="9" applyFont="1" applyBorder="1" applyAlignment="1" applyProtection="1">
      <alignment horizontal="center" vertical="center"/>
      <protection locked="0"/>
    </xf>
    <xf numFmtId="1" fontId="26" fillId="10" borderId="41" xfId="9" applyFont="1" applyBorder="1" applyAlignment="1" applyProtection="1">
      <alignment horizontal="center" vertical="center"/>
      <protection locked="0"/>
    </xf>
    <xf numFmtId="0" fontId="17" fillId="0" borderId="433" xfId="5" applyNumberFormat="1" applyFill="1" applyBorder="1" applyAlignment="1" applyProtection="1">
      <alignment vertical="top" wrapText="1"/>
      <protection locked="0"/>
    </xf>
    <xf numFmtId="0" fontId="0" fillId="0" borderId="8" xfId="0" applyBorder="1" applyProtection="1"/>
    <xf numFmtId="167" fontId="23" fillId="0" borderId="108" xfId="0" applyNumberFormat="1" applyFont="1" applyBorder="1" applyAlignment="1" applyProtection="1">
      <alignment horizontal="left" vertical="top" wrapText="1"/>
    </xf>
    <xf numFmtId="167" fontId="23" fillId="0" borderId="108" xfId="0" applyNumberFormat="1" applyFont="1" applyBorder="1" applyAlignment="1">
      <alignment horizontal="left" vertical="top" wrapText="1"/>
    </xf>
    <xf numFmtId="167" fontId="23" fillId="0" borderId="69" xfId="0" applyNumberFormat="1" applyFont="1" applyBorder="1" applyAlignment="1">
      <alignment horizontal="left" vertical="top" wrapText="1"/>
    </xf>
    <xf numFmtId="0" fontId="23" fillId="40" borderId="437" xfId="23" applyBorder="1">
      <alignment horizontal="left" vertical="top" wrapText="1"/>
      <protection locked="0"/>
    </xf>
    <xf numFmtId="167" fontId="27" fillId="11" borderId="453" xfId="10" applyBorder="1">
      <alignment horizontal="left" vertical="top" wrapText="1"/>
    </xf>
    <xf numFmtId="0" fontId="13" fillId="0" borderId="8" xfId="0" applyFont="1" applyBorder="1" applyAlignment="1">
      <alignment horizontal="center" vertical="center" wrapText="1"/>
    </xf>
    <xf numFmtId="1" fontId="26" fillId="10" borderId="197" xfId="9" applyBorder="1" applyProtection="1">
      <alignment horizontal="center" vertical="center"/>
      <protection locked="0"/>
    </xf>
    <xf numFmtId="49" fontId="30" fillId="0" borderId="87" xfId="0" applyNumberFormat="1" applyFont="1" applyBorder="1" applyAlignment="1" applyProtection="1">
      <alignment horizontal="center" vertical="center" wrapText="1"/>
      <protection locked="0"/>
    </xf>
    <xf numFmtId="49" fontId="30" fillId="0" borderId="106" xfId="0" applyNumberFormat="1" applyFont="1" applyBorder="1" applyAlignment="1" applyProtection="1">
      <alignment horizontal="center" vertical="center" wrapText="1"/>
      <protection locked="0"/>
    </xf>
    <xf numFmtId="0" fontId="23" fillId="0" borderId="104" xfId="0" applyFont="1" applyBorder="1" applyAlignment="1">
      <alignment horizontal="left" vertical="top" wrapText="1"/>
    </xf>
    <xf numFmtId="0" fontId="21" fillId="0" borderId="0" xfId="4" applyNumberFormat="1" applyFont="1" applyFill="1" applyBorder="1" applyAlignment="1">
      <alignment horizontal="center" vertical="top" wrapText="1"/>
    </xf>
    <xf numFmtId="0" fontId="23" fillId="0" borderId="111" xfId="0" applyFont="1" applyBorder="1" applyAlignment="1">
      <alignment horizontal="left" vertical="top" wrapText="1"/>
    </xf>
    <xf numFmtId="1" fontId="26" fillId="45" borderId="103" xfId="9" applyFill="1" applyBorder="1" applyAlignment="1">
      <alignment horizontal="center" vertical="center" wrapText="1"/>
      <protection locked="0"/>
    </xf>
    <xf numFmtId="0" fontId="23" fillId="0" borderId="378" xfId="0" applyFont="1" applyBorder="1" applyAlignment="1">
      <alignment horizontal="left" vertical="top" wrapText="1"/>
    </xf>
    <xf numFmtId="0" fontId="23" fillId="0" borderId="452" xfId="0" applyFont="1" applyBorder="1" applyAlignment="1">
      <alignment horizontal="left" vertical="top" wrapText="1"/>
    </xf>
    <xf numFmtId="0" fontId="13" fillId="0" borderId="0" xfId="0" applyFont="1" applyBorder="1" applyAlignment="1" applyProtection="1">
      <alignment vertical="top" wrapText="1"/>
    </xf>
    <xf numFmtId="0" fontId="23" fillId="0" borderId="228" xfId="0" applyFont="1" applyBorder="1" applyAlignment="1">
      <alignment horizontal="left" vertical="top" wrapText="1"/>
    </xf>
    <xf numFmtId="0" fontId="13" fillId="15" borderId="661" xfId="15" applyBorder="1" applyAlignment="1" applyProtection="1">
      <alignment horizontal="center" vertical="center"/>
    </xf>
    <xf numFmtId="0" fontId="13" fillId="15" borderId="86" xfId="15" applyBorder="1" applyAlignment="1" applyProtection="1">
      <alignment horizontal="center" vertical="center"/>
    </xf>
    <xf numFmtId="167" fontId="27" fillId="11" borderId="662" xfId="10" applyBorder="1">
      <alignment horizontal="left" vertical="top" wrapText="1"/>
    </xf>
    <xf numFmtId="0" fontId="0" fillId="0" borderId="61" xfId="0" applyFont="1" applyBorder="1" applyAlignment="1">
      <alignment horizontal="left" wrapText="1"/>
    </xf>
    <xf numFmtId="0" fontId="0" fillId="0" borderId="0" xfId="0" applyFont="1" applyAlignment="1">
      <alignment horizontal="left" wrapText="1"/>
    </xf>
    <xf numFmtId="49" fontId="21" fillId="0" borderId="343" xfId="4" applyNumberFormat="1" applyFont="1" applyFill="1" applyBorder="1" applyAlignment="1" applyProtection="1">
      <alignment horizontal="center" vertical="center" wrapText="1"/>
      <protection locked="0"/>
    </xf>
    <xf numFmtId="49" fontId="21" fillId="0" borderId="140" xfId="4" applyNumberFormat="1" applyFont="1" applyFill="1" applyBorder="1" applyAlignment="1" applyProtection="1">
      <alignment horizontal="center" vertical="center" wrapText="1"/>
      <protection locked="0"/>
    </xf>
    <xf numFmtId="0" fontId="21" fillId="0" borderId="0" xfId="4" applyNumberFormat="1" applyFont="1" applyFill="1" applyBorder="1" applyAlignment="1">
      <alignment vertical="top" wrapText="1"/>
    </xf>
    <xf numFmtId="0" fontId="26" fillId="0" borderId="32" xfId="0" applyFont="1" applyBorder="1" applyAlignment="1">
      <alignment horizontal="left" vertical="top"/>
    </xf>
    <xf numFmtId="0" fontId="5" fillId="0" borderId="1" xfId="4" applyFont="1" applyBorder="1" applyAlignment="1">
      <alignment horizontal="center" vertical="center"/>
    </xf>
    <xf numFmtId="0" fontId="79" fillId="8" borderId="199" xfId="6" applyFont="1" applyBorder="1" applyAlignment="1">
      <alignment horizontal="center" vertical="center" wrapText="1"/>
    </xf>
    <xf numFmtId="0" fontId="79" fillId="8" borderId="200" xfId="6" applyFont="1" applyBorder="1" applyAlignment="1">
      <alignment horizontal="center" vertical="center" wrapText="1"/>
    </xf>
    <xf numFmtId="0" fontId="79" fillId="8" borderId="136" xfId="6" applyFont="1" applyBorder="1" applyAlignment="1">
      <alignment horizontal="center" vertical="center" wrapText="1"/>
    </xf>
    <xf numFmtId="0" fontId="79" fillId="8" borderId="136" xfId="6" applyFont="1" applyBorder="1">
      <alignment horizontal="center" vertical="center" wrapText="1"/>
    </xf>
    <xf numFmtId="0" fontId="30" fillId="0" borderId="67" xfId="0" applyFont="1" applyBorder="1" applyAlignment="1">
      <alignment vertical="top" wrapText="1"/>
    </xf>
    <xf numFmtId="0" fontId="79" fillId="8" borderId="201" xfId="6" applyFont="1" applyBorder="1" applyAlignment="1">
      <alignment horizontal="center" vertical="center" wrapText="1"/>
    </xf>
    <xf numFmtId="167" fontId="27" fillId="11" borderId="477" xfId="10" applyBorder="1">
      <alignment horizontal="left" vertical="top" wrapText="1"/>
    </xf>
    <xf numFmtId="49" fontId="23" fillId="20" borderId="13" xfId="8" quotePrefix="1" applyNumberFormat="1" applyFill="1" applyBorder="1" applyAlignment="1" applyProtection="1">
      <alignment horizontal="center" vertical="center" wrapText="1"/>
      <protection locked="0"/>
    </xf>
    <xf numFmtId="49" fontId="23" fillId="20" borderId="396" xfId="8" quotePrefix="1" applyNumberFormat="1" applyFill="1" applyBorder="1" applyAlignment="1" applyProtection="1">
      <alignment horizontal="center" vertical="center" wrapText="1"/>
      <protection locked="0"/>
    </xf>
    <xf numFmtId="0" fontId="50" fillId="11" borderId="607" xfId="10" applyNumberFormat="1" applyFont="1" applyBorder="1">
      <alignment horizontal="left" vertical="top" wrapText="1"/>
    </xf>
    <xf numFmtId="0" fontId="13" fillId="15" borderId="120" xfId="15">
      <alignment horizontal="center" vertical="center"/>
    </xf>
    <xf numFmtId="0" fontId="23" fillId="40" borderId="0" xfId="23" applyBorder="1" applyAlignment="1" applyProtection="1">
      <alignment horizontal="left" vertical="top"/>
      <protection locked="0"/>
    </xf>
    <xf numFmtId="0" fontId="23" fillId="40" borderId="157" xfId="23" applyBorder="1" applyAlignment="1" applyProtection="1">
      <alignment horizontal="left" vertical="top"/>
      <protection locked="0"/>
    </xf>
    <xf numFmtId="0" fontId="23" fillId="0" borderId="606" xfId="0" quotePrefix="1" applyFont="1" applyBorder="1" applyAlignment="1" applyProtection="1">
      <alignment horizontal="center" vertical="center" wrapText="1"/>
      <protection locked="0"/>
    </xf>
    <xf numFmtId="0" fontId="23" fillId="40" borderId="602" xfId="23" applyBorder="1" applyProtection="1">
      <alignment horizontal="left" vertical="top" wrapText="1"/>
      <protection locked="0"/>
    </xf>
    <xf numFmtId="0" fontId="23" fillId="40" borderId="455" xfId="23" applyBorder="1" applyProtection="1">
      <alignment horizontal="left" vertical="top" wrapText="1"/>
      <protection locked="0"/>
    </xf>
    <xf numFmtId="0" fontId="23" fillId="40" borderId="601" xfId="23" applyBorder="1" applyProtection="1">
      <alignment horizontal="left" vertical="top" wrapText="1"/>
      <protection locked="0"/>
    </xf>
    <xf numFmtId="0" fontId="23" fillId="40" borderId="496" xfId="23" applyBorder="1" applyProtection="1">
      <alignment horizontal="left" vertical="top" wrapText="1"/>
      <protection locked="0"/>
    </xf>
    <xf numFmtId="0" fontId="23" fillId="40" borderId="497" xfId="23" applyBorder="1" applyProtection="1">
      <alignment horizontal="left" vertical="top" wrapText="1"/>
      <protection locked="0"/>
    </xf>
    <xf numFmtId="0" fontId="23" fillId="40" borderId="96" xfId="23" applyBorder="1">
      <alignment horizontal="left" vertical="top" wrapText="1"/>
      <protection locked="0"/>
    </xf>
    <xf numFmtId="0" fontId="23" fillId="40" borderId="212" xfId="23" applyBorder="1">
      <alignment horizontal="left" vertical="top" wrapText="1"/>
      <protection locked="0"/>
    </xf>
    <xf numFmtId="0" fontId="23" fillId="40" borderId="210" xfId="23" applyBorder="1">
      <alignment horizontal="left" vertical="top" wrapText="1"/>
      <protection locked="0"/>
    </xf>
    <xf numFmtId="0" fontId="23" fillId="40" borderId="493" xfId="23" applyBorder="1">
      <alignment horizontal="left" vertical="top" wrapText="1"/>
      <protection locked="0"/>
    </xf>
    <xf numFmtId="1" fontId="111" fillId="45" borderId="103" xfId="9" applyFont="1" applyFill="1" applyBorder="1" applyAlignment="1">
      <alignment horizontal="center" vertical="center" wrapText="1"/>
      <protection locked="0"/>
    </xf>
    <xf numFmtId="1" fontId="111" fillId="45" borderId="51" xfId="9" applyFont="1" applyFill="1" applyBorder="1" applyAlignment="1">
      <alignment horizontal="center" vertical="center" wrapText="1"/>
      <protection locked="0"/>
    </xf>
    <xf numFmtId="0" fontId="17" fillId="0" borderId="0" xfId="5" applyNumberFormat="1" applyFont="1" applyBorder="1" applyAlignment="1" applyProtection="1">
      <alignment horizontal="left" vertical="center" wrapText="1"/>
      <protection locked="0"/>
    </xf>
    <xf numFmtId="0" fontId="23" fillId="0" borderId="69" xfId="0" applyFont="1" applyBorder="1" applyAlignment="1" applyProtection="1">
      <alignment horizontal="center" vertical="center" wrapText="1"/>
    </xf>
    <xf numFmtId="0" fontId="23" fillId="0" borderId="210" xfId="0" applyFont="1" applyBorder="1" applyAlignment="1" applyProtection="1">
      <alignment horizontal="left" vertical="top" wrapText="1"/>
    </xf>
    <xf numFmtId="0" fontId="23" fillId="40" borderId="603" xfId="23" applyBorder="1" applyProtection="1">
      <alignment horizontal="left" vertical="top" wrapText="1"/>
      <protection locked="0"/>
    </xf>
    <xf numFmtId="0" fontId="23" fillId="40" borderId="359" xfId="23" applyBorder="1" applyProtection="1">
      <alignment horizontal="left" vertical="top" wrapText="1"/>
      <protection locked="0"/>
    </xf>
    <xf numFmtId="0" fontId="23" fillId="40" borderId="494" xfId="23" applyBorder="1" applyProtection="1">
      <alignment horizontal="left" vertical="top" wrapText="1"/>
      <protection locked="0"/>
    </xf>
    <xf numFmtId="0" fontId="23" fillId="40" borderId="53" xfId="23" applyBorder="1">
      <alignment horizontal="left" vertical="top" wrapText="1"/>
      <protection locked="0"/>
    </xf>
    <xf numFmtId="0" fontId="23" fillId="40" borderId="144" xfId="23" applyBorder="1">
      <alignment horizontal="left" vertical="top" wrapText="1"/>
      <protection locked="0"/>
    </xf>
    <xf numFmtId="0" fontId="23" fillId="40" borderId="143" xfId="23" applyBorder="1">
      <alignment horizontal="left" vertical="top" wrapText="1"/>
      <protection locked="0"/>
    </xf>
    <xf numFmtId="0" fontId="23" fillId="40" borderId="487" xfId="23" applyBorder="1">
      <alignment horizontal="left" vertical="top" wrapText="1"/>
      <protection locked="0"/>
    </xf>
    <xf numFmtId="0" fontId="23" fillId="0" borderId="96" xfId="0" applyFont="1" applyBorder="1" applyAlignment="1" applyProtection="1">
      <alignment horizontal="left" vertical="top" wrapText="1"/>
    </xf>
    <xf numFmtId="0" fontId="21" fillId="0" borderId="163" xfId="0" quotePrefix="1" applyFont="1" applyBorder="1" applyAlignment="1" applyProtection="1">
      <alignment horizontal="center" vertical="center" wrapText="1"/>
      <protection locked="0"/>
    </xf>
    <xf numFmtId="0" fontId="21" fillId="0" borderId="14" xfId="0" applyFont="1" applyBorder="1" applyAlignment="1" applyProtection="1">
      <alignment horizontal="center" vertical="center" wrapText="1"/>
      <protection locked="0"/>
    </xf>
    <xf numFmtId="0" fontId="21" fillId="0" borderId="38" xfId="0" applyFont="1" applyBorder="1" applyAlignment="1" applyProtection="1">
      <alignment horizontal="center" vertical="center" wrapText="1"/>
      <protection locked="0"/>
    </xf>
    <xf numFmtId="0" fontId="23" fillId="0" borderId="14" xfId="0" quotePrefix="1" applyFont="1" applyBorder="1" applyAlignment="1" applyProtection="1">
      <alignment horizontal="center" vertical="center" wrapText="1"/>
      <protection locked="0"/>
    </xf>
    <xf numFmtId="0" fontId="23" fillId="0" borderId="38" xfId="0" applyFont="1" applyBorder="1" applyAlignment="1" applyProtection="1">
      <alignment horizontal="center" vertical="center" wrapText="1"/>
      <protection locked="0"/>
    </xf>
    <xf numFmtId="0" fontId="23" fillId="0" borderId="34" xfId="0" applyFont="1" applyBorder="1" applyAlignment="1" applyProtection="1">
      <alignment vertical="top" wrapText="1"/>
    </xf>
    <xf numFmtId="0" fontId="17" fillId="0" borderId="0" xfId="5" applyBorder="1" applyAlignment="1" applyProtection="1">
      <alignment horizontal="left" vertical="top" wrapText="1"/>
      <protection locked="0"/>
    </xf>
    <xf numFmtId="0" fontId="21" fillId="0" borderId="14" xfId="0" quotePrefix="1" applyFont="1" applyBorder="1" applyAlignment="1" applyProtection="1">
      <alignment horizontal="center" vertical="center" wrapText="1"/>
      <protection locked="0"/>
    </xf>
    <xf numFmtId="0" fontId="21" fillId="0" borderId="146" xfId="0" applyFont="1" applyBorder="1" applyAlignment="1" applyProtection="1">
      <alignment horizontal="center" vertical="center" wrapText="1"/>
      <protection locked="0"/>
    </xf>
    <xf numFmtId="0" fontId="23" fillId="0" borderId="89" xfId="0" applyFont="1" applyBorder="1" applyAlignment="1" applyProtection="1">
      <alignment horizontal="center" vertical="center" wrapText="1"/>
    </xf>
    <xf numFmtId="0" fontId="0" fillId="0" borderId="691" xfId="0" applyBorder="1" applyAlignment="1">
      <alignment horizontal="center" vertical="center"/>
    </xf>
    <xf numFmtId="0" fontId="0" fillId="0" borderId="117" xfId="0" applyBorder="1" applyProtection="1"/>
    <xf numFmtId="0" fontId="23" fillId="0" borderId="160" xfId="0" applyFont="1" applyFill="1" applyBorder="1" applyAlignment="1" applyProtection="1">
      <alignment horizontal="left" vertical="top" wrapText="1"/>
    </xf>
    <xf numFmtId="0" fontId="23" fillId="0" borderId="18" xfId="0" applyFont="1" applyFill="1" applyBorder="1" applyAlignment="1" applyProtection="1">
      <alignment horizontal="left" vertical="top" wrapText="1"/>
    </xf>
    <xf numFmtId="0" fontId="23" fillId="0" borderId="18" xfId="0" applyFont="1" applyBorder="1" applyAlignment="1" applyProtection="1">
      <alignment horizontal="center" vertical="top"/>
    </xf>
    <xf numFmtId="0" fontId="23" fillId="0" borderId="32" xfId="0" applyFont="1" applyBorder="1" applyAlignment="1" applyProtection="1">
      <alignment horizontal="center" vertical="top"/>
    </xf>
    <xf numFmtId="0" fontId="28" fillId="0" borderId="32" xfId="0" applyFont="1" applyBorder="1" applyAlignment="1" applyProtection="1">
      <alignment horizontal="left" vertical="top" wrapText="1"/>
    </xf>
    <xf numFmtId="1" fontId="22" fillId="10" borderId="185" xfId="9" applyFont="1" applyBorder="1" applyAlignment="1" applyProtection="1">
      <alignment horizontal="center" vertical="center"/>
      <protection locked="0"/>
    </xf>
    <xf numFmtId="1" fontId="22" fillId="10" borderId="93" xfId="9" applyFont="1" applyBorder="1" applyAlignment="1" applyProtection="1">
      <alignment horizontal="center" vertical="center"/>
      <protection locked="0"/>
    </xf>
    <xf numFmtId="0" fontId="23" fillId="0" borderId="27" xfId="0" applyFont="1" applyBorder="1" applyAlignment="1" applyProtection="1">
      <alignment horizontal="left" vertical="top" wrapText="1"/>
    </xf>
    <xf numFmtId="0" fontId="13" fillId="0" borderId="69" xfId="0" applyFont="1" applyBorder="1" applyAlignment="1">
      <alignment horizontal="left" vertical="top" wrapText="1"/>
    </xf>
    <xf numFmtId="0" fontId="23" fillId="0" borderId="0" xfId="0" applyFont="1" applyFill="1" applyBorder="1" applyAlignment="1" applyProtection="1">
      <alignment horizontal="left" vertical="top"/>
    </xf>
    <xf numFmtId="0" fontId="13" fillId="15" borderId="364" xfId="15" applyBorder="1" applyAlignment="1" applyProtection="1">
      <alignment horizontal="center" vertical="center" wrapText="1"/>
    </xf>
    <xf numFmtId="0" fontId="13" fillId="15" borderId="491" xfId="15" applyBorder="1" applyAlignment="1" applyProtection="1">
      <alignment horizontal="center" vertical="center" wrapText="1"/>
    </xf>
    <xf numFmtId="1" fontId="26" fillId="10" borderId="16" xfId="9" applyBorder="1" applyAlignment="1" applyProtection="1">
      <alignment horizontal="center" vertical="center" wrapText="1"/>
      <protection locked="0"/>
    </xf>
    <xf numFmtId="1" fontId="26" fillId="10" borderId="41" xfId="9" applyBorder="1" applyAlignment="1" applyProtection="1">
      <alignment horizontal="center" vertical="center" wrapText="1"/>
      <protection locked="0"/>
    </xf>
    <xf numFmtId="1" fontId="26" fillId="10" borderId="418" xfId="9" applyBorder="1" applyAlignment="1" applyProtection="1">
      <alignment horizontal="center" vertical="center" wrapText="1"/>
      <protection locked="0"/>
    </xf>
    <xf numFmtId="0" fontId="21" fillId="0" borderId="146" xfId="0" quotePrefix="1" applyFont="1" applyBorder="1" applyAlignment="1" applyProtection="1">
      <alignment horizontal="center" vertical="center" wrapText="1"/>
      <protection locked="0"/>
    </xf>
    <xf numFmtId="0" fontId="23" fillId="0" borderId="69" xfId="0" applyFont="1" applyBorder="1" applyAlignment="1">
      <alignment horizontal="center" vertical="center" wrapText="1"/>
    </xf>
    <xf numFmtId="0" fontId="23" fillId="0" borderId="492" xfId="0" applyFont="1" applyBorder="1" applyAlignment="1">
      <alignment horizontal="center" vertical="center" wrapText="1"/>
    </xf>
    <xf numFmtId="0" fontId="23" fillId="0" borderId="129" xfId="0" applyFont="1" applyBorder="1" applyAlignment="1" applyProtection="1">
      <alignment horizontal="center" vertical="center" wrapText="1"/>
    </xf>
    <xf numFmtId="0" fontId="23" fillId="0" borderId="2" xfId="0" applyFont="1" applyBorder="1" applyAlignment="1" applyProtection="1">
      <alignment horizontal="center" vertical="center" wrapText="1"/>
    </xf>
    <xf numFmtId="0" fontId="0" fillId="0" borderId="0" xfId="0" applyAlignment="1">
      <alignment horizontal="left" vertical="center" wrapText="1"/>
    </xf>
    <xf numFmtId="0" fontId="0" fillId="0" borderId="208" xfId="0" applyBorder="1" applyAlignment="1" applyProtection="1">
      <alignment horizontal="center" vertical="center" wrapText="1"/>
      <protection locked="0"/>
    </xf>
    <xf numFmtId="0" fontId="0" fillId="0" borderId="140" xfId="0" applyBorder="1" applyAlignment="1" applyProtection="1">
      <alignment horizontal="center" vertical="center" wrapText="1"/>
      <protection locked="0"/>
    </xf>
    <xf numFmtId="0" fontId="21" fillId="0" borderId="208" xfId="0" quotePrefix="1" applyFont="1" applyBorder="1" applyAlignment="1" applyProtection="1">
      <alignment horizontal="center" vertical="center" wrapText="1"/>
      <protection locked="0"/>
    </xf>
    <xf numFmtId="0" fontId="21" fillId="0" borderId="13" xfId="0" applyFont="1" applyBorder="1" applyAlignment="1" applyProtection="1">
      <alignment horizontal="center" vertical="center" wrapText="1"/>
      <protection locked="0"/>
    </xf>
    <xf numFmtId="0" fontId="21" fillId="0" borderId="397" xfId="0" applyFont="1" applyBorder="1" applyAlignment="1" applyProtection="1">
      <alignment horizontal="center" vertical="center" wrapText="1"/>
      <protection locked="0"/>
    </xf>
    <xf numFmtId="0" fontId="21" fillId="0" borderId="13" xfId="0" quotePrefix="1" applyFont="1" applyBorder="1" applyAlignment="1" applyProtection="1">
      <alignment horizontal="center" vertical="center" wrapText="1"/>
      <protection locked="0"/>
    </xf>
    <xf numFmtId="0" fontId="21" fillId="0" borderId="140" xfId="0" quotePrefix="1" applyFont="1" applyBorder="1" applyAlignment="1" applyProtection="1">
      <alignment horizontal="center" vertical="center" wrapText="1"/>
      <protection locked="0"/>
    </xf>
    <xf numFmtId="0" fontId="23" fillId="0" borderId="117" xfId="0" applyFont="1" applyBorder="1" applyAlignment="1">
      <alignment horizontal="center" vertical="center" wrapText="1"/>
    </xf>
    <xf numFmtId="0" fontId="23" fillId="0" borderId="0" xfId="0" applyFont="1" applyBorder="1" applyAlignment="1">
      <alignment horizontal="center" vertical="center" wrapText="1"/>
    </xf>
    <xf numFmtId="0" fontId="23" fillId="0" borderId="89" xfId="0" applyFont="1" applyBorder="1" applyAlignment="1">
      <alignment horizontal="center" vertical="center" wrapText="1"/>
    </xf>
    <xf numFmtId="0" fontId="23" fillId="0" borderId="96" xfId="0" applyFont="1" applyBorder="1" applyAlignment="1">
      <alignment horizontal="left" vertical="top" wrapText="1"/>
    </xf>
    <xf numFmtId="0" fontId="21" fillId="0" borderId="35" xfId="0" quotePrefix="1" applyFont="1" applyBorder="1" applyAlignment="1" applyProtection="1">
      <alignment horizontal="center" vertical="center" wrapText="1"/>
      <protection locked="0"/>
    </xf>
    <xf numFmtId="167" fontId="28" fillId="0" borderId="12" xfId="20" applyFont="1" applyBorder="1" applyAlignment="1" applyProtection="1">
      <alignment horizontal="left" vertical="top" wrapText="1"/>
    </xf>
    <xf numFmtId="167" fontId="28" fillId="0" borderId="0" xfId="20" applyFont="1" applyBorder="1" applyAlignment="1" applyProtection="1">
      <alignment horizontal="left" vertical="top" wrapText="1"/>
    </xf>
    <xf numFmtId="0" fontId="64" fillId="0" borderId="205" xfId="0" applyFont="1" applyBorder="1" applyAlignment="1" applyProtection="1">
      <alignment horizontal="left" vertical="top" wrapText="1"/>
    </xf>
    <xf numFmtId="0" fontId="64" fillId="0" borderId="206" xfId="0" applyFont="1" applyBorder="1" applyAlignment="1" applyProtection="1">
      <alignment horizontal="left" vertical="top" wrapText="1"/>
    </xf>
    <xf numFmtId="0" fontId="64" fillId="0" borderId="782" xfId="0" applyFont="1" applyBorder="1" applyAlignment="1" applyProtection="1">
      <alignment horizontal="left" vertical="top" wrapText="1"/>
    </xf>
    <xf numFmtId="0" fontId="30" fillId="0" borderId="0" xfId="0" applyFont="1" applyBorder="1" applyAlignment="1" applyProtection="1">
      <alignment horizontal="center" vertical="center" wrapText="1"/>
      <protection locked="0"/>
    </xf>
    <xf numFmtId="0" fontId="30" fillId="0" borderId="32" xfId="0" applyFont="1" applyBorder="1" applyAlignment="1" applyProtection="1">
      <alignment horizontal="center" vertical="center" wrapText="1"/>
      <protection locked="0"/>
    </xf>
    <xf numFmtId="0" fontId="23" fillId="0" borderId="30" xfId="0" applyFont="1" applyBorder="1" applyAlignment="1" applyProtection="1">
      <alignment horizontal="left" vertical="top" wrapText="1"/>
    </xf>
    <xf numFmtId="0" fontId="145" fillId="0" borderId="0" xfId="0" applyFont="1" applyAlignment="1">
      <alignment horizontal="left"/>
    </xf>
    <xf numFmtId="0" fontId="145" fillId="0" borderId="0" xfId="0" applyFont="1" applyBorder="1" applyAlignment="1">
      <alignment horizontal="left"/>
    </xf>
    <xf numFmtId="0" fontId="13" fillId="0" borderId="78" xfId="0" applyFont="1" applyBorder="1" applyAlignment="1" applyProtection="1">
      <alignment horizontal="left" vertical="top" wrapText="1"/>
    </xf>
    <xf numFmtId="0" fontId="13" fillId="0" borderId="79" xfId="0" applyFont="1" applyBorder="1" applyAlignment="1" applyProtection="1">
      <alignment horizontal="left" vertical="top" wrapText="1"/>
    </xf>
    <xf numFmtId="0" fontId="23" fillId="0" borderId="78" xfId="0" applyFont="1" applyBorder="1" applyAlignment="1" applyProtection="1">
      <alignment horizontal="left" vertical="top" wrapText="1"/>
    </xf>
    <xf numFmtId="0" fontId="23" fillId="0" borderId="79" xfId="0" applyFont="1" applyBorder="1" applyAlignment="1" applyProtection="1">
      <alignment horizontal="left" vertical="top" wrapText="1"/>
    </xf>
    <xf numFmtId="0" fontId="13" fillId="0" borderId="368" xfId="0" applyFont="1" applyBorder="1" applyAlignment="1" applyProtection="1">
      <alignment horizontal="center" vertical="center" wrapText="1"/>
    </xf>
    <xf numFmtId="0" fontId="13" fillId="0" borderId="403" xfId="0" applyFont="1" applyBorder="1" applyAlignment="1" applyProtection="1">
      <alignment horizontal="center" vertical="center" wrapText="1"/>
    </xf>
    <xf numFmtId="1" fontId="26" fillId="10" borderId="489" xfId="9" applyBorder="1" applyAlignment="1" applyProtection="1">
      <alignment horizontal="center" vertical="center"/>
      <protection locked="0"/>
    </xf>
    <xf numFmtId="0" fontId="23" fillId="0" borderId="37" xfId="0" applyFont="1" applyBorder="1" applyAlignment="1" applyProtection="1">
      <alignment horizontal="left" vertical="top" wrapText="1"/>
    </xf>
    <xf numFmtId="0" fontId="23" fillId="0" borderId="362" xfId="0" applyFont="1" applyBorder="1" applyAlignment="1" applyProtection="1">
      <alignment horizontal="center" vertical="top" wrapText="1"/>
    </xf>
    <xf numFmtId="0" fontId="23" fillId="0" borderId="0" xfId="0" applyFont="1" applyBorder="1" applyAlignment="1" applyProtection="1">
      <alignment horizontal="center" vertical="top" wrapText="1"/>
    </xf>
    <xf numFmtId="0" fontId="13" fillId="0" borderId="67" xfId="0" applyFont="1" applyBorder="1" applyAlignment="1" applyProtection="1">
      <alignment horizontal="center" vertical="center" wrapText="1"/>
    </xf>
    <xf numFmtId="0" fontId="13" fillId="0" borderId="58" xfId="0" applyFont="1" applyBorder="1" applyAlignment="1" applyProtection="1">
      <alignment horizontal="center" vertical="center" wrapText="1"/>
    </xf>
    <xf numFmtId="0" fontId="13" fillId="0" borderId="488" xfId="0" applyFont="1" applyBorder="1" applyAlignment="1" applyProtection="1">
      <alignment horizontal="left" vertical="top" wrapText="1"/>
    </xf>
    <xf numFmtId="0" fontId="23" fillId="0" borderId="80" xfId="0" applyFont="1" applyBorder="1" applyAlignment="1" applyProtection="1">
      <alignment horizontal="left" vertical="top" wrapText="1"/>
    </xf>
    <xf numFmtId="0" fontId="23" fillId="0" borderId="81" xfId="0" applyFont="1" applyBorder="1" applyAlignment="1" applyProtection="1">
      <alignment horizontal="left" vertical="top" wrapText="1"/>
    </xf>
    <xf numFmtId="0" fontId="21" fillId="0" borderId="38" xfId="0" quotePrefix="1" applyFont="1" applyBorder="1" applyAlignment="1" applyProtection="1">
      <alignment horizontal="center" vertical="center" wrapText="1"/>
      <protection locked="0"/>
    </xf>
    <xf numFmtId="0" fontId="23" fillId="40" borderId="116" xfId="23" applyBorder="1">
      <alignment horizontal="left" vertical="top" wrapText="1"/>
      <protection locked="0"/>
    </xf>
    <xf numFmtId="1" fontId="22" fillId="45" borderId="16" xfId="9" applyFont="1" applyFill="1" applyBorder="1" applyAlignment="1" applyProtection="1">
      <alignment horizontal="center" vertical="center" wrapText="1"/>
      <protection locked="0"/>
    </xf>
    <xf numFmtId="1" fontId="22" fillId="45" borderId="41" xfId="9" applyFont="1" applyFill="1" applyBorder="1" applyAlignment="1" applyProtection="1">
      <alignment horizontal="center" vertical="center" wrapText="1"/>
      <protection locked="0"/>
    </xf>
    <xf numFmtId="1" fontId="22" fillId="45" borderId="349" xfId="9" applyFont="1" applyFill="1" applyBorder="1" applyAlignment="1" applyProtection="1">
      <alignment horizontal="center" vertical="center" wrapText="1"/>
      <protection locked="0"/>
    </xf>
    <xf numFmtId="0" fontId="23" fillId="0" borderId="69" xfId="0" applyFont="1" applyBorder="1" applyAlignment="1" applyProtection="1">
      <alignment horizontal="center" vertical="center" wrapText="1"/>
      <protection locked="0"/>
    </xf>
    <xf numFmtId="0" fontId="23" fillId="0" borderId="357" xfId="0" applyFont="1" applyBorder="1" applyAlignment="1" applyProtection="1">
      <alignment horizontal="center" vertical="center" wrapText="1"/>
      <protection locked="0"/>
    </xf>
    <xf numFmtId="1" fontId="26" fillId="45" borderId="52" xfId="9" applyFill="1" applyBorder="1" applyAlignment="1" applyProtection="1">
      <alignment horizontal="center" vertical="center" wrapText="1"/>
      <protection locked="0"/>
    </xf>
    <xf numFmtId="1" fontId="26" fillId="45" borderId="349" xfId="9" applyFill="1" applyBorder="1" applyAlignment="1" applyProtection="1">
      <alignment horizontal="center" vertical="center" wrapText="1"/>
      <protection locked="0"/>
    </xf>
    <xf numFmtId="0" fontId="0" fillId="0" borderId="599" xfId="0" quotePrefix="1" applyBorder="1" applyAlignment="1" applyProtection="1">
      <alignment horizontal="center" vertical="center" wrapText="1"/>
      <protection locked="0"/>
    </xf>
    <xf numFmtId="0" fontId="0" fillId="0" borderId="441" xfId="0" quotePrefix="1" applyBorder="1" applyAlignment="1" applyProtection="1">
      <alignment horizontal="center" vertical="center" wrapText="1"/>
      <protection locked="0"/>
    </xf>
    <xf numFmtId="0" fontId="0" fillId="0" borderId="600" xfId="0" quotePrefix="1" applyBorder="1" applyAlignment="1" applyProtection="1">
      <alignment horizontal="center" vertical="center" wrapText="1"/>
      <protection locked="0"/>
    </xf>
    <xf numFmtId="0" fontId="23" fillId="0" borderId="18" xfId="0" applyFont="1" applyBorder="1" applyAlignment="1" applyProtection="1">
      <alignment horizontal="center" vertical="center" wrapText="1"/>
    </xf>
    <xf numFmtId="0" fontId="23" fillId="0" borderId="161" xfId="0" applyFont="1" applyBorder="1" applyAlignment="1" applyProtection="1">
      <alignment horizontal="center" vertical="center" wrapText="1"/>
    </xf>
    <xf numFmtId="0" fontId="23" fillId="0" borderId="88" xfId="0" applyFont="1" applyBorder="1" applyAlignment="1" applyProtection="1">
      <alignment horizontal="center" vertical="center" wrapText="1"/>
    </xf>
    <xf numFmtId="0" fontId="23" fillId="40" borderId="458" xfId="23" applyBorder="1">
      <alignment horizontal="left" vertical="top" wrapText="1"/>
      <protection locked="0"/>
    </xf>
    <xf numFmtId="0" fontId="23" fillId="0" borderId="488" xfId="0" applyFont="1" applyBorder="1" applyAlignment="1" applyProtection="1">
      <alignment horizontal="left" vertical="top" wrapText="1"/>
    </xf>
    <xf numFmtId="0" fontId="23" fillId="0" borderId="82" xfId="0" applyFont="1" applyBorder="1" applyAlignment="1" applyProtection="1">
      <alignment horizontal="left" vertical="top" wrapText="1"/>
    </xf>
    <xf numFmtId="0" fontId="13" fillId="0" borderId="75" xfId="0" applyFont="1" applyBorder="1" applyAlignment="1" applyProtection="1">
      <alignment horizontal="center" vertical="top" wrapText="1"/>
    </xf>
    <xf numFmtId="0" fontId="13" fillId="0" borderId="76" xfId="0" applyFont="1" applyBorder="1" applyAlignment="1" applyProtection="1">
      <alignment horizontal="center" vertical="top" wrapText="1"/>
    </xf>
    <xf numFmtId="0" fontId="13" fillId="0" borderId="77" xfId="0" applyFont="1" applyBorder="1" applyAlignment="1" applyProtection="1">
      <alignment horizontal="center" vertical="top" wrapText="1"/>
    </xf>
    <xf numFmtId="0" fontId="23" fillId="0" borderId="26" xfId="0" applyFont="1" applyBorder="1" applyAlignment="1" applyProtection="1">
      <alignment horizontal="left" vertical="top" wrapText="1"/>
    </xf>
    <xf numFmtId="0" fontId="23" fillId="0" borderId="161" xfId="0" applyFont="1" applyBorder="1" applyAlignment="1">
      <alignment horizontal="right" vertical="top"/>
    </xf>
    <xf numFmtId="0" fontId="23" fillId="0" borderId="124" xfId="0" applyFont="1" applyBorder="1" applyAlignment="1">
      <alignment horizontal="right" vertical="top"/>
    </xf>
    <xf numFmtId="0" fontId="17" fillId="0" borderId="32" xfId="5" applyBorder="1" applyAlignment="1" applyProtection="1">
      <alignment horizontal="left" vertical="top" wrapText="1"/>
      <protection locked="0"/>
    </xf>
    <xf numFmtId="0" fontId="13" fillId="0" borderId="484" xfId="0" applyFont="1" applyBorder="1" applyAlignment="1" applyProtection="1">
      <alignment horizontal="center" vertical="center" wrapText="1"/>
    </xf>
    <xf numFmtId="0" fontId="13" fillId="0" borderId="485" xfId="0" applyFont="1" applyBorder="1" applyAlignment="1" applyProtection="1">
      <alignment horizontal="center" vertical="center" wrapText="1"/>
    </xf>
    <xf numFmtId="1" fontId="26" fillId="10" borderId="187" xfId="9" applyBorder="1" applyProtection="1">
      <alignment horizontal="center" vertical="center"/>
      <protection locked="0"/>
    </xf>
    <xf numFmtId="49" fontId="21" fillId="0" borderId="476" xfId="0" applyNumberFormat="1" applyFont="1" applyBorder="1" applyAlignment="1" applyProtection="1">
      <alignment horizontal="center" vertical="center" wrapText="1"/>
      <protection locked="0"/>
    </xf>
    <xf numFmtId="49" fontId="21" fillId="0" borderId="465" xfId="0" applyNumberFormat="1" applyFont="1" applyBorder="1" applyAlignment="1" applyProtection="1">
      <alignment horizontal="center" vertical="center" wrapText="1"/>
      <protection locked="0"/>
    </xf>
    <xf numFmtId="0" fontId="23" fillId="0" borderId="479" xfId="0" applyFont="1" applyBorder="1" applyAlignment="1" applyProtection="1">
      <alignment horizontal="left" vertical="top" wrapText="1"/>
    </xf>
    <xf numFmtId="0" fontId="21" fillId="0" borderId="476" xfId="0" quotePrefix="1" applyFont="1" applyBorder="1" applyAlignment="1" applyProtection="1">
      <alignment horizontal="center" vertical="center" wrapText="1"/>
      <protection locked="0"/>
    </xf>
    <xf numFmtId="0" fontId="21" fillId="0" borderId="465" xfId="0" applyFont="1" applyBorder="1" applyAlignment="1" applyProtection="1">
      <alignment horizontal="center" vertical="center" wrapText="1"/>
      <protection locked="0"/>
    </xf>
    <xf numFmtId="0" fontId="23" fillId="0" borderId="18" xfId="0" applyFont="1" applyFill="1" applyBorder="1" applyAlignment="1" applyProtection="1">
      <alignment horizontal="left" vertical="top"/>
    </xf>
    <xf numFmtId="167" fontId="23" fillId="0" borderId="0" xfId="0" applyNumberFormat="1" applyFont="1" applyBorder="1" applyAlignment="1" applyProtection="1">
      <alignment horizontal="center" vertical="top"/>
    </xf>
    <xf numFmtId="167" fontId="23" fillId="0" borderId="0" xfId="0" applyNumberFormat="1" applyFont="1" applyFill="1" applyBorder="1" applyAlignment="1" applyProtection="1">
      <alignment horizontal="center" vertical="top"/>
    </xf>
    <xf numFmtId="0" fontId="21" fillId="0" borderId="32" xfId="4" applyNumberFormat="1" applyFont="1" applyFill="1" applyBorder="1" applyAlignment="1" applyProtection="1">
      <alignment vertical="top" wrapText="1"/>
    </xf>
    <xf numFmtId="0" fontId="23" fillId="0" borderId="159" xfId="0" applyFont="1" applyFill="1" applyBorder="1" applyAlignment="1" applyProtection="1">
      <alignment horizontal="left" vertical="top" wrapText="1"/>
    </xf>
    <xf numFmtId="0" fontId="23" fillId="0" borderId="26" xfId="0" applyFont="1" applyFill="1" applyBorder="1" applyAlignment="1" applyProtection="1">
      <alignment horizontal="left" vertical="top" wrapText="1"/>
    </xf>
    <xf numFmtId="0" fontId="13" fillId="84" borderId="16" xfId="15" applyFill="1" applyBorder="1" applyAlignment="1" applyProtection="1">
      <alignment horizontal="center" vertical="center"/>
      <protection locked="0"/>
    </xf>
    <xf numFmtId="0" fontId="13" fillId="84" borderId="418" xfId="15" applyFill="1" applyBorder="1" applyAlignment="1" applyProtection="1">
      <alignment horizontal="center" vertical="center"/>
      <protection locked="0"/>
    </xf>
    <xf numFmtId="0" fontId="2" fillId="8" borderId="199" xfId="6" applyFont="1" applyBorder="1" applyAlignment="1">
      <alignment horizontal="center" vertical="center" wrapText="1"/>
    </xf>
    <xf numFmtId="0" fontId="2" fillId="8" borderId="200" xfId="6" applyFont="1" applyBorder="1" applyAlignment="1">
      <alignment horizontal="center" vertical="center" wrapText="1"/>
    </xf>
    <xf numFmtId="0" fontId="2" fillId="8" borderId="136" xfId="6" applyFont="1" applyBorder="1" applyAlignment="1">
      <alignment horizontal="center" vertical="center" wrapText="1"/>
    </xf>
    <xf numFmtId="0" fontId="2" fillId="8" borderId="136" xfId="6" applyFont="1" applyBorder="1">
      <alignment horizontal="center" vertical="center" wrapText="1"/>
    </xf>
    <xf numFmtId="0" fontId="22" fillId="0" borderId="1" xfId="4" applyFont="1" applyBorder="1" applyAlignment="1">
      <alignment horizontal="center" vertical="center"/>
    </xf>
    <xf numFmtId="0" fontId="2" fillId="8" borderId="201" xfId="6" applyFont="1" applyBorder="1" applyAlignment="1">
      <alignment horizontal="center" vertical="center" wrapText="1"/>
    </xf>
    <xf numFmtId="0" fontId="6" fillId="52" borderId="2" xfId="2" applyFont="1" applyBorder="1" applyAlignment="1">
      <alignment horizontal="left" vertical="center" wrapText="1"/>
    </xf>
    <xf numFmtId="0" fontId="0" fillId="3" borderId="0" xfId="0" applyFont="1" applyFill="1" applyAlignment="1">
      <alignment horizontal="center"/>
    </xf>
    <xf numFmtId="167" fontId="23" fillId="0" borderId="18" xfId="0" applyNumberFormat="1" applyFont="1" applyFill="1" applyBorder="1" applyAlignment="1" applyProtection="1">
      <alignment horizontal="center" vertical="top"/>
    </xf>
    <xf numFmtId="167" fontId="23" fillId="0" borderId="26" xfId="0" applyNumberFormat="1" applyFont="1" applyFill="1" applyBorder="1" applyAlignment="1" applyProtection="1">
      <alignment horizontal="center" vertical="top"/>
    </xf>
    <xf numFmtId="167" fontId="23" fillId="0" borderId="18" xfId="0" applyNumberFormat="1" applyFont="1" applyBorder="1" applyAlignment="1" applyProtection="1">
      <alignment horizontal="center" vertical="top"/>
    </xf>
    <xf numFmtId="167" fontId="23" fillId="0" borderId="26" xfId="0" applyNumberFormat="1" applyFont="1" applyBorder="1" applyAlignment="1" applyProtection="1">
      <alignment horizontal="center" vertical="top"/>
    </xf>
    <xf numFmtId="0" fontId="67" fillId="0" borderId="18" xfId="0" applyFont="1" applyBorder="1" applyAlignment="1" applyProtection="1">
      <alignment horizontal="left" vertical="top" wrapText="1"/>
    </xf>
    <xf numFmtId="167" fontId="23" fillId="0" borderId="67" xfId="0" applyNumberFormat="1" applyFont="1" applyFill="1" applyBorder="1" applyAlignment="1" applyProtection="1">
      <alignment horizontal="center" vertical="top"/>
    </xf>
    <xf numFmtId="167" fontId="23" fillId="0" borderId="32" xfId="0" applyNumberFormat="1" applyFont="1" applyFill="1" applyBorder="1" applyAlignment="1" applyProtection="1">
      <alignment horizontal="center" vertical="top"/>
    </xf>
    <xf numFmtId="167" fontId="27" fillId="11" borderId="55" xfId="10" applyBorder="1" applyProtection="1">
      <alignment horizontal="left" vertical="top" wrapText="1"/>
    </xf>
    <xf numFmtId="167" fontId="27" fillId="11" borderId="56" xfId="10" applyBorder="1" applyProtection="1">
      <alignment horizontal="left" vertical="top" wrapText="1"/>
    </xf>
    <xf numFmtId="167" fontId="27" fillId="11" borderId="57" xfId="10" applyBorder="1" applyProtection="1">
      <alignment horizontal="left" vertical="top" wrapText="1"/>
    </xf>
    <xf numFmtId="0" fontId="0" fillId="0" borderId="34" xfId="0" applyBorder="1"/>
    <xf numFmtId="0" fontId="0" fillId="0" borderId="117" xfId="0" applyBorder="1"/>
    <xf numFmtId="0" fontId="21" fillId="0" borderId="476" xfId="12" quotePrefix="1" applyFont="1" applyFill="1" applyBorder="1" applyAlignment="1" applyProtection="1">
      <alignment horizontal="center" vertical="center" wrapText="1"/>
      <protection locked="0"/>
    </xf>
    <xf numFmtId="0" fontId="21" fillId="0" borderId="465" xfId="12" applyFont="1" applyFill="1" applyBorder="1" applyAlignment="1" applyProtection="1">
      <alignment horizontal="center" vertical="center" wrapText="1"/>
      <protection locked="0"/>
    </xf>
    <xf numFmtId="0" fontId="23" fillId="0" borderId="342" xfId="0" applyFont="1" applyFill="1" applyBorder="1" applyAlignment="1" applyProtection="1">
      <alignment horizontal="left" vertical="top"/>
    </xf>
    <xf numFmtId="0" fontId="23" fillId="0" borderId="31" xfId="0" applyFont="1" applyFill="1" applyBorder="1" applyAlignment="1" applyProtection="1">
      <alignment horizontal="left" vertical="top"/>
    </xf>
    <xf numFmtId="0" fontId="23" fillId="0" borderId="67" xfId="0" applyFont="1" applyBorder="1" applyAlignment="1" applyProtection="1">
      <alignment horizontal="center" vertical="top"/>
    </xf>
    <xf numFmtId="0" fontId="23" fillId="0" borderId="58" xfId="0" applyFont="1" applyBorder="1" applyAlignment="1" applyProtection="1">
      <alignment horizontal="center" vertical="top"/>
    </xf>
    <xf numFmtId="0" fontId="21" fillId="0" borderId="67" xfId="12" applyFill="1" applyBorder="1" applyProtection="1">
      <alignment horizontal="left" vertical="top" wrapText="1"/>
    </xf>
    <xf numFmtId="1" fontId="22" fillId="10" borderId="52" xfId="9" applyFont="1" applyBorder="1" applyAlignment="1" applyProtection="1">
      <alignment horizontal="center" vertical="center"/>
      <protection locked="0"/>
    </xf>
    <xf numFmtId="1" fontId="22" fillId="10" borderId="41" xfId="9" applyFont="1" applyBorder="1" applyAlignment="1" applyProtection="1">
      <alignment horizontal="center" vertical="center"/>
      <protection locked="0"/>
    </xf>
    <xf numFmtId="0" fontId="13" fillId="0" borderId="486" xfId="0" applyFont="1" applyBorder="1" applyAlignment="1" applyProtection="1">
      <alignment horizontal="center" vertical="center" wrapText="1"/>
    </xf>
    <xf numFmtId="0" fontId="13" fillId="0" borderId="483" xfId="0" applyFont="1" applyBorder="1" applyAlignment="1" applyProtection="1">
      <alignment horizontal="center" vertical="center" wrapText="1"/>
    </xf>
    <xf numFmtId="0" fontId="23" fillId="40" borderId="117" xfId="23" applyBorder="1">
      <alignment horizontal="left" vertical="top" wrapText="1"/>
      <protection locked="0"/>
    </xf>
    <xf numFmtId="0" fontId="23" fillId="0" borderId="595" xfId="0" applyFont="1" applyBorder="1" applyAlignment="1" applyProtection="1">
      <alignment horizontal="right" vertical="top" wrapText="1"/>
    </xf>
    <xf numFmtId="0" fontId="23" fillId="0" borderId="0" xfId="0" applyFont="1" applyBorder="1" applyAlignment="1" applyProtection="1">
      <alignment horizontal="center" vertical="top"/>
    </xf>
    <xf numFmtId="0" fontId="23" fillId="40" borderId="17" xfId="23" applyBorder="1" applyAlignment="1" applyProtection="1">
      <alignment horizontal="left" vertical="top" wrapText="1"/>
      <protection locked="0"/>
    </xf>
    <xf numFmtId="0" fontId="23" fillId="0" borderId="594" xfId="0" applyFont="1" applyBorder="1" applyAlignment="1">
      <alignment horizontal="right" vertical="top"/>
    </xf>
    <xf numFmtId="0" fontId="23" fillId="0" borderId="53" xfId="23" applyFill="1" applyBorder="1">
      <alignment horizontal="left" vertical="top" wrapText="1"/>
      <protection locked="0"/>
    </xf>
    <xf numFmtId="0" fontId="23" fillId="0" borderId="34" xfId="23" applyFill="1" applyBorder="1">
      <alignment horizontal="left" vertical="top" wrapText="1"/>
      <protection locked="0"/>
    </xf>
    <xf numFmtId="0" fontId="23" fillId="0" borderId="482" xfId="0" applyFont="1" applyBorder="1" applyAlignment="1" applyProtection="1">
      <alignment horizontal="left" vertical="top" wrapText="1"/>
    </xf>
    <xf numFmtId="0" fontId="23" fillId="0" borderId="91" xfId="0" applyFont="1" applyBorder="1" applyAlignment="1" applyProtection="1">
      <alignment horizontal="left" vertical="top" wrapText="1"/>
    </xf>
    <xf numFmtId="0" fontId="13" fillId="0" borderId="94" xfId="0" applyFont="1" applyBorder="1" applyAlignment="1" applyProtection="1">
      <alignment horizontal="center" vertical="center" wrapText="1"/>
    </xf>
    <xf numFmtId="49" fontId="15" fillId="3" borderId="0" xfId="4" applyNumberFormat="1" applyFont="1" applyFill="1" applyBorder="1" applyAlignment="1">
      <alignment horizontal="center" vertical="center" wrapText="1"/>
    </xf>
    <xf numFmtId="49" fontId="15" fillId="3" borderId="8" xfId="4" applyNumberFormat="1" applyFont="1" applyFill="1" applyBorder="1" applyAlignment="1">
      <alignment horizontal="center" vertical="center" wrapText="1"/>
    </xf>
    <xf numFmtId="0" fontId="21" fillId="0" borderId="163" xfId="14" quotePrefix="1" applyFont="1" applyFill="1" applyBorder="1" applyAlignment="1" applyProtection="1">
      <alignment horizontal="center" vertical="center" wrapText="1"/>
      <protection locked="0"/>
    </xf>
    <xf numFmtId="0" fontId="21" fillId="0" borderId="38" xfId="14" quotePrefix="1" applyFont="1" applyFill="1" applyBorder="1" applyAlignment="1" applyProtection="1">
      <alignment horizontal="center" vertical="center" wrapText="1"/>
      <protection locked="0"/>
    </xf>
    <xf numFmtId="0" fontId="23" fillId="20" borderId="118" xfId="8" quotePrefix="1" applyFill="1" applyBorder="1" applyAlignment="1" applyProtection="1">
      <alignment horizontal="center" vertical="center" wrapText="1"/>
      <protection locked="0"/>
    </xf>
    <xf numFmtId="0" fontId="23" fillId="20" borderId="202" xfId="8" applyFill="1" applyBorder="1" applyAlignment="1" applyProtection="1">
      <alignment horizontal="center" vertical="center" wrapText="1"/>
      <protection locked="0"/>
    </xf>
    <xf numFmtId="0" fontId="23" fillId="40" borderId="885" xfId="23" applyBorder="1">
      <alignment horizontal="left" vertical="top" wrapText="1"/>
      <protection locked="0"/>
    </xf>
    <xf numFmtId="0" fontId="23" fillId="40" borderId="884" xfId="23" applyBorder="1">
      <alignment horizontal="left" vertical="top" wrapText="1"/>
      <protection locked="0"/>
    </xf>
    <xf numFmtId="0" fontId="23" fillId="40" borderId="883" xfId="23" applyBorder="1">
      <alignment horizontal="left" vertical="top" wrapText="1"/>
      <protection locked="0"/>
    </xf>
    <xf numFmtId="0" fontId="23" fillId="0" borderId="596" xfId="0" applyFont="1" applyBorder="1" applyAlignment="1">
      <alignment horizontal="right" vertical="top"/>
    </xf>
    <xf numFmtId="0" fontId="23" fillId="9" borderId="471" xfId="8" applyBorder="1">
      <alignment horizontal="left" vertical="top" wrapText="1"/>
    </xf>
    <xf numFmtId="0" fontId="23" fillId="9" borderId="87" xfId="8" applyBorder="1">
      <alignment horizontal="left" vertical="top" wrapText="1"/>
    </xf>
    <xf numFmtId="0" fontId="23" fillId="9" borderId="69" xfId="8" applyBorder="1">
      <alignment horizontal="left" vertical="top" wrapText="1"/>
    </xf>
    <xf numFmtId="0" fontId="23" fillId="9" borderId="470" xfId="8" applyBorder="1">
      <alignment horizontal="left" vertical="top" wrapText="1"/>
    </xf>
    <xf numFmtId="0" fontId="23" fillId="9" borderId="13" xfId="8" applyBorder="1">
      <alignment horizontal="left" vertical="top" wrapText="1"/>
    </xf>
    <xf numFmtId="0" fontId="23" fillId="9" borderId="0" xfId="8" applyBorder="1">
      <alignment horizontal="left" vertical="top" wrapText="1"/>
    </xf>
    <xf numFmtId="0" fontId="0" fillId="0" borderId="639" xfId="0" applyBorder="1" applyAlignment="1">
      <alignment horizontal="center"/>
    </xf>
    <xf numFmtId="0" fontId="13" fillId="0" borderId="462" xfId="0" applyFont="1" applyBorder="1" applyAlignment="1">
      <alignment horizontal="center" vertical="center" wrapText="1"/>
    </xf>
    <xf numFmtId="0" fontId="13" fillId="0" borderId="127" xfId="0" applyFont="1" applyBorder="1" applyAlignment="1">
      <alignment horizontal="center" vertical="center" wrapText="1"/>
    </xf>
    <xf numFmtId="167" fontId="96" fillId="11" borderId="217" xfId="10" applyFont="1" applyBorder="1">
      <alignment horizontal="left" vertical="top" wrapText="1"/>
    </xf>
    <xf numFmtId="0" fontId="13" fillId="0" borderId="18" xfId="0" applyFont="1" applyBorder="1" applyAlignment="1" applyProtection="1">
      <alignment horizontal="left" vertical="top" wrapText="1"/>
    </xf>
    <xf numFmtId="0" fontId="36" fillId="8" borderId="64" xfId="5" applyFont="1" applyFill="1" applyBorder="1" applyAlignment="1" applyProtection="1">
      <alignment horizontal="right" vertical="center" wrapText="1"/>
    </xf>
    <xf numFmtId="0" fontId="36" fillId="8" borderId="65" xfId="5" applyFont="1" applyFill="1" applyBorder="1" applyAlignment="1" applyProtection="1">
      <alignment horizontal="right" vertical="center" wrapText="1"/>
    </xf>
    <xf numFmtId="0" fontId="13" fillId="0" borderId="18" xfId="0" applyFont="1" applyBorder="1" applyAlignment="1">
      <alignment horizontal="left" vertical="top" wrapText="1"/>
    </xf>
    <xf numFmtId="0" fontId="23" fillId="0" borderId="198" xfId="0" applyFont="1" applyBorder="1" applyAlignment="1">
      <alignment horizontal="left" vertical="top" wrapText="1"/>
    </xf>
    <xf numFmtId="0" fontId="23" fillId="40" borderId="454" xfId="23" applyBorder="1">
      <alignment horizontal="left" vertical="top" wrapText="1"/>
      <protection locked="0"/>
    </xf>
    <xf numFmtId="0" fontId="23" fillId="40" borderId="640" xfId="23" applyBorder="1">
      <alignment horizontal="left" vertical="top" wrapText="1"/>
      <protection locked="0"/>
    </xf>
    <xf numFmtId="0" fontId="23" fillId="40" borderId="641" xfId="23" applyBorder="1">
      <alignment horizontal="left" vertical="top" wrapText="1"/>
      <protection locked="0"/>
    </xf>
    <xf numFmtId="0" fontId="13" fillId="21" borderId="215" xfId="15" applyFill="1" applyBorder="1">
      <alignment horizontal="center" vertical="center"/>
    </xf>
    <xf numFmtId="0" fontId="13" fillId="21" borderId="216" xfId="15" applyFill="1" applyBorder="1">
      <alignment horizontal="center" vertical="center"/>
    </xf>
    <xf numFmtId="0" fontId="13" fillId="21" borderId="195" xfId="15" applyFill="1" applyBorder="1">
      <alignment horizontal="center" vertical="center"/>
    </xf>
    <xf numFmtId="0" fontId="13" fillId="0" borderId="214" xfId="0" applyFont="1" applyBorder="1" applyAlignment="1">
      <alignment horizontal="center" vertical="center" wrapText="1"/>
    </xf>
    <xf numFmtId="166" fontId="23" fillId="0" borderId="39" xfId="0" applyNumberFormat="1" applyFont="1" applyBorder="1" applyAlignment="1">
      <alignment horizontal="left" vertical="top"/>
    </xf>
    <xf numFmtId="166" fontId="23" fillId="0" borderId="12" xfId="0" applyNumberFormat="1" applyFont="1" applyBorder="1" applyAlignment="1">
      <alignment horizontal="left" vertical="top"/>
    </xf>
    <xf numFmtId="0" fontId="21" fillId="0" borderId="27" xfId="12" applyFill="1" applyBorder="1" applyProtection="1">
      <alignment horizontal="left" vertical="top" wrapText="1"/>
    </xf>
    <xf numFmtId="0" fontId="21" fillId="0" borderId="26" xfId="12" applyFill="1" applyBorder="1" applyProtection="1">
      <alignment horizontal="left" vertical="top" wrapText="1"/>
    </xf>
    <xf numFmtId="0" fontId="13" fillId="0" borderId="27" xfId="0" applyFont="1" applyBorder="1" applyAlignment="1" applyProtection="1">
      <alignment horizontal="left" vertical="top" wrapText="1"/>
    </xf>
    <xf numFmtId="0" fontId="13" fillId="0" borderId="37" xfId="0" applyFont="1" applyBorder="1" applyAlignment="1" applyProtection="1">
      <alignment horizontal="left" vertical="top" wrapText="1"/>
    </xf>
    <xf numFmtId="0" fontId="23" fillId="0" borderId="365" xfId="0" applyFont="1" applyBorder="1" applyAlignment="1">
      <alignment horizontal="left" vertical="top" wrapText="1"/>
    </xf>
    <xf numFmtId="0" fontId="13" fillId="0" borderId="365" xfId="0" applyFont="1" applyBorder="1" applyAlignment="1">
      <alignment horizontal="left" vertical="top" wrapText="1"/>
    </xf>
    <xf numFmtId="0" fontId="13" fillId="21" borderId="461" xfId="15" applyFill="1" applyBorder="1">
      <alignment horizontal="center" vertical="center"/>
    </xf>
    <xf numFmtId="0" fontId="23" fillId="40" borderId="460" xfId="23" applyBorder="1">
      <alignment horizontal="left" vertical="top" wrapText="1"/>
      <protection locked="0"/>
    </xf>
    <xf numFmtId="0" fontId="23" fillId="0" borderId="69" xfId="0" applyFont="1" applyBorder="1" applyAlignment="1">
      <alignment horizontal="center" vertical="top"/>
    </xf>
    <xf numFmtId="0" fontId="0" fillId="0" borderId="118" xfId="0" quotePrefix="1" applyBorder="1" applyAlignment="1" applyProtection="1">
      <alignment horizontal="center" vertical="center"/>
      <protection locked="0"/>
    </xf>
    <xf numFmtId="0" fontId="67" fillId="0" borderId="18" xfId="0" applyFont="1" applyBorder="1" applyAlignment="1">
      <alignment horizontal="left" vertical="top" wrapText="1"/>
    </xf>
    <xf numFmtId="0" fontId="65" fillId="0" borderId="18" xfId="0" applyFont="1" applyBorder="1" applyAlignment="1">
      <alignment horizontal="left" vertical="top" wrapText="1"/>
    </xf>
    <xf numFmtId="0" fontId="13" fillId="0" borderId="27" xfId="0" applyFont="1" applyBorder="1" applyAlignment="1">
      <alignment horizontal="left" vertical="top" wrapText="1"/>
    </xf>
    <xf numFmtId="0" fontId="13" fillId="0" borderId="30" xfId="0" applyFont="1" applyBorder="1" applyAlignment="1">
      <alignment horizontal="left" vertical="top" wrapText="1"/>
    </xf>
    <xf numFmtId="0" fontId="23" fillId="40" borderId="458" xfId="23" applyBorder="1" applyAlignment="1">
      <alignment horizontal="left" vertical="top" wrapText="1"/>
      <protection locked="0"/>
    </xf>
    <xf numFmtId="0" fontId="23" fillId="40" borderId="90" xfId="23" applyBorder="1" applyAlignment="1">
      <alignment horizontal="left" vertical="top" wrapText="1"/>
      <protection locked="0"/>
    </xf>
    <xf numFmtId="0" fontId="23" fillId="9" borderId="469" xfId="8" applyBorder="1">
      <alignment horizontal="left" vertical="top" wrapText="1"/>
    </xf>
    <xf numFmtId="0" fontId="23" fillId="9" borderId="118" xfId="8" applyBorder="1">
      <alignment horizontal="left" vertical="top" wrapText="1"/>
    </xf>
    <xf numFmtId="0" fontId="23" fillId="9" borderId="637" xfId="8" applyBorder="1">
      <alignment horizontal="left" vertical="top" wrapText="1"/>
    </xf>
    <xf numFmtId="0" fontId="23" fillId="9" borderId="638" xfId="8" applyBorder="1">
      <alignment horizontal="left" vertical="top" wrapText="1"/>
    </xf>
    <xf numFmtId="49" fontId="3" fillId="52" borderId="11" xfId="7" applyFont="1" applyBorder="1">
      <alignment horizontal="left" vertical="center" wrapText="1"/>
    </xf>
    <xf numFmtId="0" fontId="21" fillId="0" borderId="32" xfId="4" applyNumberFormat="1" applyFont="1" applyFill="1" applyBorder="1" applyAlignment="1">
      <alignment vertical="top" wrapText="1"/>
    </xf>
    <xf numFmtId="0" fontId="0" fillId="3" borderId="0" xfId="0" applyFont="1" applyFill="1" applyBorder="1" applyAlignment="1">
      <alignment horizontal="center"/>
    </xf>
    <xf numFmtId="166" fontId="23" fillId="0" borderId="68" xfId="0" applyNumberFormat="1" applyFont="1" applyBorder="1" applyAlignment="1">
      <alignment horizontal="left" vertical="top"/>
    </xf>
    <xf numFmtId="0" fontId="22" fillId="0" borderId="227" xfId="0" applyFont="1" applyBorder="1" applyAlignment="1" applyProtection="1">
      <alignment horizontal="left" vertical="top" wrapText="1"/>
    </xf>
    <xf numFmtId="0" fontId="22" fillId="0" borderId="235" xfId="0" applyFont="1" applyBorder="1" applyAlignment="1" applyProtection="1">
      <alignment horizontal="left" vertical="top" wrapText="1"/>
    </xf>
    <xf numFmtId="0" fontId="22" fillId="0" borderId="222" xfId="0" applyFont="1" applyBorder="1" applyAlignment="1" applyProtection="1">
      <alignment horizontal="left" vertical="top" wrapText="1"/>
    </xf>
    <xf numFmtId="0" fontId="22" fillId="0" borderId="228" xfId="0" applyFont="1" applyBorder="1" applyAlignment="1" applyProtection="1">
      <alignment horizontal="center" vertical="center" wrapText="1"/>
    </xf>
    <xf numFmtId="0" fontId="22" fillId="0" borderId="236" xfId="0" applyFont="1" applyBorder="1" applyAlignment="1" applyProtection="1">
      <alignment horizontal="center" vertical="center" wrapText="1"/>
    </xf>
    <xf numFmtId="0" fontId="22" fillId="0" borderId="223" xfId="0" applyFont="1" applyBorder="1" applyAlignment="1" applyProtection="1">
      <alignment horizontal="center" vertical="center" wrapText="1"/>
    </xf>
    <xf numFmtId="0" fontId="23" fillId="3" borderId="229" xfId="0" applyFont="1" applyFill="1" applyBorder="1" applyAlignment="1" applyProtection="1">
      <alignment horizontal="left" vertical="top" wrapText="1"/>
    </xf>
    <xf numFmtId="0" fontId="23" fillId="3" borderId="544" xfId="0" applyFont="1" applyFill="1" applyBorder="1" applyAlignment="1" applyProtection="1">
      <alignment horizontal="left" vertical="top" wrapText="1"/>
    </xf>
    <xf numFmtId="0" fontId="23" fillId="3" borderId="237" xfId="0" applyFont="1" applyFill="1" applyBorder="1" applyAlignment="1" applyProtection="1">
      <alignment horizontal="left" vertical="top" wrapText="1"/>
    </xf>
    <xf numFmtId="0" fontId="23" fillId="3" borderId="545" xfId="0" applyFont="1" applyFill="1" applyBorder="1" applyAlignment="1" applyProtection="1">
      <alignment horizontal="left" vertical="top" wrapText="1"/>
    </xf>
    <xf numFmtId="0" fontId="23" fillId="3" borderId="224" xfId="0" applyFont="1" applyFill="1" applyBorder="1" applyAlignment="1" applyProtection="1">
      <alignment horizontal="left" vertical="top" wrapText="1"/>
    </xf>
    <xf numFmtId="0" fontId="23" fillId="3" borderId="546" xfId="0" applyFont="1" applyFill="1" applyBorder="1" applyAlignment="1" applyProtection="1">
      <alignment horizontal="left" vertical="top" wrapText="1"/>
    </xf>
    <xf numFmtId="0" fontId="23" fillId="35" borderId="232" xfId="0" applyFont="1" applyFill="1" applyBorder="1" applyAlignment="1" applyProtection="1">
      <alignment horizontal="left" vertical="top" wrapText="1"/>
    </xf>
    <xf numFmtId="0" fontId="23" fillId="35" borderId="234" xfId="0" applyFont="1" applyFill="1" applyBorder="1" applyAlignment="1" applyProtection="1">
      <alignment horizontal="left" vertical="top" wrapText="1"/>
    </xf>
    <xf numFmtId="0" fontId="23" fillId="35" borderId="401" xfId="0" applyFont="1" applyFill="1" applyBorder="1" applyAlignment="1" applyProtection="1">
      <alignment horizontal="left" vertical="top" wrapText="1"/>
    </xf>
    <xf numFmtId="0" fontId="23" fillId="35" borderId="226" xfId="0" applyFont="1" applyFill="1" applyBorder="1" applyAlignment="1" applyProtection="1">
      <alignment horizontal="left" vertical="top" wrapText="1"/>
    </xf>
    <xf numFmtId="0" fontId="23" fillId="3" borderId="401" xfId="0" applyFont="1" applyFill="1" applyBorder="1" applyAlignment="1" applyProtection="1">
      <alignment horizontal="left" vertical="top" wrapText="1"/>
    </xf>
    <xf numFmtId="0" fontId="23" fillId="3" borderId="226" xfId="0" applyFont="1" applyFill="1" applyBorder="1" applyAlignment="1" applyProtection="1">
      <alignment horizontal="left" vertical="top" wrapText="1"/>
    </xf>
    <xf numFmtId="0" fontId="23" fillId="3" borderId="734" xfId="0" applyFont="1" applyFill="1" applyBorder="1" applyAlignment="1" applyProtection="1">
      <alignment horizontal="left" vertical="top" wrapText="1"/>
    </xf>
    <xf numFmtId="0" fontId="22" fillId="0" borderId="252" xfId="0" applyFont="1" applyBorder="1" applyAlignment="1" applyProtection="1">
      <alignment horizontal="center" vertical="center" wrapText="1"/>
    </xf>
    <xf numFmtId="0" fontId="22" fillId="0" borderId="248" xfId="0" applyFont="1" applyBorder="1" applyAlignment="1" applyProtection="1">
      <alignment horizontal="center" vertical="center" wrapText="1"/>
    </xf>
    <xf numFmtId="0" fontId="23" fillId="3" borderId="246" xfId="0" applyFont="1" applyFill="1" applyBorder="1" applyAlignment="1" applyProtection="1">
      <alignment horizontal="left" vertical="top" wrapText="1"/>
    </xf>
    <xf numFmtId="0" fontId="23" fillId="3" borderId="634" xfId="0" applyFont="1" applyFill="1" applyBorder="1" applyAlignment="1" applyProtection="1">
      <alignment horizontal="left" vertical="top" wrapText="1"/>
    </xf>
    <xf numFmtId="0" fontId="23" fillId="3" borderId="250" xfId="0" applyFont="1" applyFill="1" applyBorder="1" applyAlignment="1" applyProtection="1">
      <alignment horizontal="left" vertical="top" wrapText="1"/>
    </xf>
    <xf numFmtId="0" fontId="23" fillId="3" borderId="560" xfId="0" applyFont="1" applyFill="1" applyBorder="1" applyAlignment="1" applyProtection="1">
      <alignment horizontal="left" vertical="top" wrapText="1"/>
    </xf>
    <xf numFmtId="0" fontId="22" fillId="0" borderId="227" xfId="0" applyFont="1" applyBorder="1" applyAlignment="1" applyProtection="1">
      <alignment horizontal="left" vertical="top" wrapText="1" indent="6"/>
    </xf>
    <xf numFmtId="0" fontId="22" fillId="0" borderId="222" xfId="0" applyFont="1" applyBorder="1" applyAlignment="1" applyProtection="1">
      <alignment horizontal="left" vertical="top" wrapText="1" indent="6"/>
    </xf>
    <xf numFmtId="0" fontId="22" fillId="3" borderId="228" xfId="0" applyFont="1" applyFill="1" applyBorder="1" applyAlignment="1" applyProtection="1">
      <alignment horizontal="center" vertical="center" wrapText="1"/>
    </xf>
    <xf numFmtId="0" fontId="22" fillId="3" borderId="223" xfId="0" applyFont="1" applyFill="1" applyBorder="1" applyAlignment="1" applyProtection="1">
      <alignment horizontal="center" vertical="center" wrapText="1"/>
    </xf>
    <xf numFmtId="0" fontId="23" fillId="3" borderId="174" xfId="0" applyFont="1" applyFill="1" applyBorder="1" applyAlignment="1" applyProtection="1">
      <alignment horizontal="left" vertical="top" wrapText="1"/>
    </xf>
    <xf numFmtId="0" fontId="23" fillId="3" borderId="541" xfId="0" applyFont="1" applyFill="1" applyBorder="1" applyAlignment="1" applyProtection="1">
      <alignment horizontal="left" vertical="top" wrapText="1"/>
    </xf>
    <xf numFmtId="0" fontId="23" fillId="3" borderId="681" xfId="0" applyFont="1" applyFill="1" applyBorder="1" applyAlignment="1" applyProtection="1">
      <alignment horizontal="left" vertical="top" wrapText="1"/>
    </xf>
    <xf numFmtId="0" fontId="23" fillId="3" borderId="643" xfId="0" applyFont="1" applyFill="1" applyBorder="1" applyAlignment="1" applyProtection="1">
      <alignment horizontal="left" vertical="top" wrapText="1"/>
    </xf>
    <xf numFmtId="0" fontId="23" fillId="23" borderId="233" xfId="0" applyFont="1" applyFill="1" applyBorder="1" applyAlignment="1" applyProtection="1">
      <alignment horizontal="left" vertical="top" wrapText="1"/>
    </xf>
    <xf numFmtId="0" fontId="23" fillId="23" borderId="548" xfId="0" applyFont="1" applyFill="1" applyBorder="1" applyAlignment="1" applyProtection="1">
      <alignment horizontal="left" vertical="top" wrapText="1"/>
    </xf>
    <xf numFmtId="0" fontId="23" fillId="35" borderId="174" xfId="0" applyFont="1" applyFill="1" applyBorder="1" applyAlignment="1" applyProtection="1">
      <alignment horizontal="left" vertical="top" wrapText="1"/>
    </xf>
    <xf numFmtId="0" fontId="23" fillId="35" borderId="541" xfId="0" applyFont="1" applyFill="1" applyBorder="1" applyAlignment="1" applyProtection="1">
      <alignment horizontal="left" vertical="top" wrapText="1"/>
    </xf>
    <xf numFmtId="0" fontId="23" fillId="0" borderId="174" xfId="0" applyFont="1" applyFill="1" applyBorder="1" applyAlignment="1" applyProtection="1">
      <alignment horizontal="left" vertical="top" wrapText="1"/>
    </xf>
    <xf numFmtId="0" fontId="23" fillId="0" borderId="541" xfId="0" applyFont="1" applyFill="1" applyBorder="1" applyAlignment="1" applyProtection="1">
      <alignment horizontal="left" vertical="top" wrapText="1"/>
    </xf>
    <xf numFmtId="0" fontId="23" fillId="3" borderId="233" xfId="0" applyFont="1" applyFill="1" applyBorder="1" applyAlignment="1" applyProtection="1">
      <alignment horizontal="left" vertical="top" wrapText="1"/>
    </xf>
    <xf numFmtId="0" fontId="23" fillId="3" borderId="548" xfId="0" applyFont="1" applyFill="1" applyBorder="1" applyAlignment="1" applyProtection="1">
      <alignment horizontal="left" vertical="top" wrapText="1"/>
    </xf>
    <xf numFmtId="0" fontId="50" fillId="35" borderId="174" xfId="6" applyFont="1" applyFill="1" applyBorder="1" applyProtection="1">
      <alignment horizontal="center" vertical="center" wrapText="1"/>
    </xf>
    <xf numFmtId="0" fontId="50" fillId="35" borderId="541" xfId="6" applyFont="1" applyFill="1" applyBorder="1" applyProtection="1">
      <alignment horizontal="center" vertical="center" wrapText="1"/>
    </xf>
    <xf numFmtId="0" fontId="23" fillId="3" borderId="241" xfId="0" applyFont="1" applyFill="1" applyBorder="1" applyAlignment="1" applyProtection="1">
      <alignment horizontal="left" vertical="top" wrapText="1"/>
    </xf>
    <xf numFmtId="0" fontId="23" fillId="3" borderId="543" xfId="0" applyFont="1" applyFill="1" applyBorder="1" applyAlignment="1" applyProtection="1">
      <alignment horizontal="left" vertical="top" wrapText="1"/>
    </xf>
    <xf numFmtId="0" fontId="23" fillId="35" borderId="233" xfId="0" applyFont="1" applyFill="1" applyBorder="1" applyAlignment="1" applyProtection="1">
      <alignment horizontal="left" vertical="top" wrapText="1"/>
    </xf>
    <xf numFmtId="0" fontId="23" fillId="35" borderId="548" xfId="0" applyFont="1" applyFill="1" applyBorder="1" applyAlignment="1" applyProtection="1">
      <alignment horizontal="left" vertical="top" wrapText="1"/>
    </xf>
    <xf numFmtId="0" fontId="23" fillId="23" borderId="224" xfId="0" applyFont="1" applyFill="1" applyBorder="1" applyAlignment="1" applyProtection="1">
      <alignment horizontal="left" vertical="top" wrapText="1"/>
    </xf>
    <xf numFmtId="0" fontId="23" fillId="23" borderId="546" xfId="0" applyFont="1" applyFill="1" applyBorder="1" applyAlignment="1" applyProtection="1">
      <alignment horizontal="left" vertical="top" wrapText="1"/>
    </xf>
    <xf numFmtId="0" fontId="19" fillId="8" borderId="242" xfId="6" applyBorder="1" applyProtection="1">
      <alignment horizontal="center" vertical="center" wrapText="1"/>
    </xf>
    <xf numFmtId="0" fontId="19" fillId="8" borderId="27" xfId="6" applyBorder="1" applyProtection="1">
      <alignment horizontal="center" vertical="center" wrapText="1"/>
    </xf>
    <xf numFmtId="0" fontId="19" fillId="8" borderId="541" xfId="6" applyBorder="1" applyProtection="1">
      <alignment horizontal="center" vertical="center" wrapText="1"/>
    </xf>
    <xf numFmtId="0" fontId="22" fillId="0" borderId="251" xfId="0" applyFont="1" applyBorder="1" applyAlignment="1" applyProtection="1">
      <alignment horizontal="left" vertical="top" wrapText="1" indent="2"/>
    </xf>
    <xf numFmtId="0" fontId="22" fillId="0" borderId="235" xfId="0" applyFont="1" applyBorder="1" applyAlignment="1" applyProtection="1">
      <alignment horizontal="left" vertical="top" wrapText="1" indent="2"/>
    </xf>
    <xf numFmtId="0" fontId="22" fillId="0" borderId="247" xfId="0" applyFont="1" applyBorder="1" applyAlignment="1" applyProtection="1">
      <alignment horizontal="left" vertical="top" wrapText="1" indent="2"/>
    </xf>
    <xf numFmtId="0" fontId="23" fillId="3" borderId="475" xfId="0" applyFont="1" applyFill="1" applyBorder="1" applyAlignment="1" applyProtection="1">
      <alignment horizontal="left" vertical="top" wrapText="1"/>
    </xf>
    <xf numFmtId="0" fontId="23" fillId="3" borderId="635" xfId="0" applyFont="1" applyFill="1" applyBorder="1" applyAlignment="1" applyProtection="1">
      <alignment horizontal="left" vertical="top" wrapText="1"/>
    </xf>
    <xf numFmtId="0" fontId="23" fillId="0" borderId="241" xfId="0" applyFont="1" applyBorder="1" applyAlignment="1" applyProtection="1">
      <alignment horizontal="left" vertical="top" wrapText="1"/>
    </xf>
    <xf numFmtId="0" fontId="23" fillId="0" borderId="543" xfId="0" applyFont="1" applyBorder="1" applyAlignment="1" applyProtection="1">
      <alignment horizontal="left" vertical="top" wrapText="1"/>
    </xf>
    <xf numFmtId="0" fontId="22" fillId="0" borderId="251" xfId="0" applyFont="1" applyBorder="1" applyAlignment="1" applyProtection="1">
      <alignment horizontal="left" vertical="top" wrapText="1"/>
    </xf>
    <xf numFmtId="0" fontId="22" fillId="0" borderId="888" xfId="0" applyFont="1" applyBorder="1" applyAlignment="1" applyProtection="1">
      <alignment horizontal="left" vertical="top" wrapText="1"/>
    </xf>
    <xf numFmtId="0" fontId="3" fillId="3" borderId="252" xfId="0" applyFont="1" applyFill="1" applyBorder="1" applyAlignment="1">
      <alignment horizontal="center" vertical="center" wrapText="1"/>
    </xf>
    <xf numFmtId="0" fontId="3" fillId="3" borderId="236" xfId="0" applyFont="1" applyFill="1" applyBorder="1" applyAlignment="1">
      <alignment horizontal="center" vertical="center"/>
    </xf>
    <xf numFmtId="0" fontId="3" fillId="3" borderId="248" xfId="0" applyFont="1" applyFill="1" applyBorder="1" applyAlignment="1">
      <alignment horizontal="center" vertical="center"/>
    </xf>
    <xf numFmtId="0" fontId="19" fillId="8" borderId="221" xfId="6" applyBorder="1" applyProtection="1">
      <alignment horizontal="center" vertical="center" wrapText="1"/>
    </xf>
    <xf numFmtId="0" fontId="19" fillId="8" borderId="10" xfId="6" applyBorder="1" applyProtection="1">
      <alignment horizontal="center" vertical="center" wrapText="1"/>
    </xf>
    <xf numFmtId="0" fontId="19" fillId="8" borderId="642" xfId="6" applyBorder="1" applyProtection="1">
      <alignment horizontal="center" vertical="center" wrapText="1"/>
    </xf>
    <xf numFmtId="0" fontId="22" fillId="0" borderId="227" xfId="0" applyFont="1" applyBorder="1" applyAlignment="1" applyProtection="1">
      <alignment horizontal="left" vertical="top" wrapText="1" indent="8"/>
    </xf>
    <xf numFmtId="0" fontId="22" fillId="0" borderId="222" xfId="0" applyFont="1" applyBorder="1" applyAlignment="1" applyProtection="1">
      <alignment horizontal="left" vertical="top" wrapText="1" indent="8"/>
    </xf>
    <xf numFmtId="0" fontId="23" fillId="23" borderId="241" xfId="0" applyFont="1" applyFill="1" applyBorder="1" applyAlignment="1" applyProtection="1">
      <alignment horizontal="left" vertical="top" wrapText="1"/>
    </xf>
    <xf numFmtId="0" fontId="23" fillId="23" borderId="543" xfId="0" applyFont="1" applyFill="1" applyBorder="1" applyAlignment="1" applyProtection="1">
      <alignment horizontal="left" vertical="top" wrapText="1"/>
    </xf>
    <xf numFmtId="0" fontId="23" fillId="23" borderId="174" xfId="0" applyFont="1" applyFill="1" applyBorder="1" applyAlignment="1" applyProtection="1">
      <alignment horizontal="left" vertical="top" wrapText="1"/>
    </xf>
    <xf numFmtId="0" fontId="23" fillId="23" borderId="541" xfId="0" applyFont="1" applyFill="1" applyBorder="1" applyAlignment="1" applyProtection="1">
      <alignment horizontal="left" vertical="top" wrapText="1"/>
    </xf>
    <xf numFmtId="0" fontId="23" fillId="0" borderId="241" xfId="0" applyFont="1" applyFill="1" applyBorder="1" applyAlignment="1" applyProtection="1">
      <alignment horizontal="left" vertical="top" wrapText="1"/>
    </xf>
    <xf numFmtId="0" fontId="23" fillId="0" borderId="543" xfId="0" applyFont="1" applyFill="1" applyBorder="1" applyAlignment="1" applyProtection="1">
      <alignment horizontal="left" vertical="top" wrapText="1"/>
    </xf>
    <xf numFmtId="0" fontId="23" fillId="0" borderId="174" xfId="0" applyFont="1" applyBorder="1" applyAlignment="1" applyProtection="1">
      <alignment horizontal="left" vertical="top" wrapText="1"/>
    </xf>
    <xf numFmtId="0" fontId="23" fillId="0" borderId="541" xfId="0" applyFont="1" applyBorder="1" applyAlignment="1" applyProtection="1">
      <alignment horizontal="left" vertical="top" wrapText="1"/>
    </xf>
    <xf numFmtId="0" fontId="23" fillId="0" borderId="229" xfId="0" applyFont="1" applyFill="1" applyBorder="1" applyAlignment="1" applyProtection="1">
      <alignment horizontal="left" vertical="top" wrapText="1"/>
    </xf>
    <xf numFmtId="0" fontId="23" fillId="0" borderId="544" xfId="0" applyFont="1" applyFill="1" applyBorder="1" applyAlignment="1" applyProtection="1">
      <alignment horizontal="left" vertical="top" wrapText="1"/>
    </xf>
    <xf numFmtId="0" fontId="23" fillId="0" borderId="224" xfId="0" applyFont="1" applyFill="1" applyBorder="1" applyAlignment="1" applyProtection="1">
      <alignment horizontal="left" vertical="top" wrapText="1"/>
    </xf>
    <xf numFmtId="0" fontId="23" fillId="0" borderId="546" xfId="0" applyFont="1" applyFill="1" applyBorder="1" applyAlignment="1" applyProtection="1">
      <alignment horizontal="left" vertical="top" wrapText="1"/>
    </xf>
    <xf numFmtId="0" fontId="23" fillId="0" borderId="229" xfId="0" applyFont="1" applyBorder="1" applyAlignment="1" applyProtection="1">
      <alignment horizontal="left" vertical="top" wrapText="1"/>
    </xf>
    <xf numFmtId="0" fontId="23" fillId="0" borderId="544" xfId="0" applyFont="1" applyBorder="1" applyAlignment="1" applyProtection="1">
      <alignment horizontal="left" vertical="top" wrapText="1"/>
    </xf>
    <xf numFmtId="0" fontId="23" fillId="0" borderId="237" xfId="0" applyFont="1" applyBorder="1" applyAlignment="1" applyProtection="1">
      <alignment horizontal="left" vertical="top" wrapText="1"/>
    </xf>
    <xf numFmtId="0" fontId="23" fillId="0" borderId="545" xfId="0" applyFont="1" applyBorder="1" applyAlignment="1" applyProtection="1">
      <alignment horizontal="left" vertical="top" wrapText="1"/>
    </xf>
    <xf numFmtId="0" fontId="23" fillId="0" borderId="245" xfId="0" applyFont="1" applyBorder="1" applyAlignment="1" applyProtection="1">
      <alignment horizontal="left" vertical="top" wrapText="1"/>
    </xf>
    <xf numFmtId="0" fontId="23" fillId="0" borderId="547" xfId="0" applyFont="1" applyBorder="1" applyAlignment="1" applyProtection="1">
      <alignment horizontal="left" vertical="top" wrapText="1"/>
    </xf>
    <xf numFmtId="0" fontId="22" fillId="0" borderId="227" xfId="0" applyFont="1" applyBorder="1" applyAlignment="1" applyProtection="1">
      <alignment horizontal="left" vertical="top" wrapText="1" indent="4"/>
    </xf>
    <xf numFmtId="0" fontId="22" fillId="0" borderId="222" xfId="0" applyFont="1" applyBorder="1" applyAlignment="1" applyProtection="1">
      <alignment horizontal="left" vertical="top" wrapText="1" indent="4"/>
    </xf>
    <xf numFmtId="0" fontId="23" fillId="0" borderId="224" xfId="0" applyFont="1" applyBorder="1" applyAlignment="1" applyProtection="1">
      <alignment horizontal="left" vertical="top" wrapText="1"/>
    </xf>
    <xf numFmtId="0" fontId="23" fillId="0" borderId="546" xfId="0" applyFont="1" applyBorder="1" applyAlignment="1" applyProtection="1">
      <alignment horizontal="left" vertical="top" wrapText="1"/>
    </xf>
    <xf numFmtId="0" fontId="23" fillId="3" borderId="174" xfId="0" applyNumberFormat="1" applyFont="1" applyFill="1" applyBorder="1" applyAlignment="1" applyProtection="1">
      <alignment horizontal="left" vertical="top" wrapText="1"/>
    </xf>
    <xf numFmtId="0" fontId="23" fillId="3" borderId="541" xfId="0" applyNumberFormat="1" applyFont="1" applyFill="1" applyBorder="1" applyAlignment="1" applyProtection="1">
      <alignment horizontal="left" vertical="top" wrapText="1"/>
    </xf>
    <xf numFmtId="0" fontId="23" fillId="3" borderId="256" xfId="0" applyFont="1" applyFill="1" applyBorder="1" applyAlignment="1" applyProtection="1">
      <alignment horizontal="left" vertical="top" wrapText="1"/>
    </xf>
    <xf numFmtId="0" fontId="23" fillId="3" borderId="630" xfId="0" applyFont="1" applyFill="1" applyBorder="1" applyAlignment="1" applyProtection="1">
      <alignment horizontal="left" vertical="top" wrapText="1"/>
    </xf>
    <xf numFmtId="0" fontId="0" fillId="35" borderId="245" xfId="0" applyFont="1" applyFill="1" applyBorder="1"/>
    <xf numFmtId="0" fontId="0" fillId="35" borderId="547" xfId="0" applyFont="1" applyFill="1" applyBorder="1"/>
    <xf numFmtId="0" fontId="22" fillId="23" borderId="250" xfId="0" applyFont="1" applyFill="1" applyBorder="1" applyAlignment="1" applyProtection="1">
      <alignment vertical="top" wrapText="1"/>
    </xf>
    <xf numFmtId="0" fontId="22" fillId="23" borderId="560" xfId="0" applyFont="1" applyFill="1" applyBorder="1" applyAlignment="1" applyProtection="1">
      <alignment vertical="top" wrapText="1"/>
    </xf>
    <xf numFmtId="0" fontId="23" fillId="3" borderId="229" xfId="0" applyNumberFormat="1" applyFont="1" applyFill="1" applyBorder="1" applyAlignment="1" applyProtection="1">
      <alignment horizontal="left" vertical="top" wrapText="1"/>
    </xf>
    <xf numFmtId="0" fontId="23" fillId="3" borderId="544" xfId="0" applyNumberFormat="1" applyFont="1" applyFill="1" applyBorder="1" applyAlignment="1" applyProtection="1">
      <alignment horizontal="left" vertical="top" wrapText="1"/>
    </xf>
    <xf numFmtId="0" fontId="23" fillId="3" borderId="237" xfId="0" applyNumberFormat="1" applyFont="1" applyFill="1" applyBorder="1" applyAlignment="1" applyProtection="1">
      <alignment horizontal="left" vertical="top" wrapText="1"/>
    </xf>
    <xf numFmtId="0" fontId="23" fillId="3" borderId="545" xfId="0" applyNumberFormat="1" applyFont="1" applyFill="1" applyBorder="1" applyAlignment="1" applyProtection="1">
      <alignment horizontal="left" vertical="top" wrapText="1"/>
    </xf>
    <xf numFmtId="0" fontId="23" fillId="3" borderId="676" xfId="0" applyNumberFormat="1" applyFont="1" applyFill="1" applyBorder="1" applyAlignment="1" applyProtection="1">
      <alignment horizontal="left" vertical="top" wrapText="1"/>
    </xf>
    <xf numFmtId="0" fontId="23" fillId="3" borderId="677" xfId="0" applyNumberFormat="1" applyFont="1" applyFill="1" applyBorder="1" applyAlignment="1" applyProtection="1">
      <alignment horizontal="left" vertical="top" wrapText="1"/>
    </xf>
    <xf numFmtId="0" fontId="23" fillId="23" borderId="678" xfId="0" applyFont="1" applyFill="1" applyBorder="1" applyAlignment="1" applyProtection="1">
      <alignment horizontal="left" vertical="top" wrapText="1"/>
    </xf>
    <xf numFmtId="0" fontId="23" fillId="23" borderId="542" xfId="0" applyFont="1" applyFill="1" applyBorder="1" applyAlignment="1" applyProtection="1">
      <alignment horizontal="left" vertical="top" wrapText="1"/>
    </xf>
    <xf numFmtId="0" fontId="22" fillId="0" borderId="227" xfId="0" applyFont="1" applyFill="1" applyBorder="1" applyAlignment="1" applyProtection="1">
      <alignment horizontal="left" vertical="top" wrapText="1" indent="4"/>
    </xf>
    <xf numFmtId="0" fontId="22" fillId="0" borderId="222" xfId="0" applyFont="1" applyFill="1" applyBorder="1" applyAlignment="1" applyProtection="1">
      <alignment horizontal="left" vertical="top" wrapText="1" indent="4"/>
    </xf>
    <xf numFmtId="1" fontId="21" fillId="0" borderId="732" xfId="0" applyNumberFormat="1" applyFont="1" applyBorder="1" applyAlignment="1" applyProtection="1">
      <alignment horizontal="center" vertical="center" wrapText="1"/>
    </xf>
    <xf numFmtId="1" fontId="21" fillId="0" borderId="223" xfId="0" applyNumberFormat="1" applyFont="1" applyBorder="1" applyAlignment="1" applyProtection="1">
      <alignment horizontal="center" vertical="center" wrapText="1"/>
    </xf>
    <xf numFmtId="0" fontId="23" fillId="0" borderId="250" xfId="0" applyFont="1" applyBorder="1" applyAlignment="1" applyProtection="1">
      <alignment horizontal="left" vertical="top" wrapText="1"/>
    </xf>
    <xf numFmtId="0" fontId="23" fillId="0" borderId="560" xfId="0" applyFont="1" applyBorder="1" applyAlignment="1" applyProtection="1">
      <alignment horizontal="left" vertical="top" wrapText="1"/>
    </xf>
    <xf numFmtId="0" fontId="23" fillId="35" borderId="229" xfId="0" applyFont="1" applyFill="1" applyBorder="1" applyAlignment="1" applyProtection="1">
      <alignment horizontal="left" vertical="top" wrapText="1"/>
    </xf>
    <xf numFmtId="0" fontId="23" fillId="35" borderId="544" xfId="0" applyFont="1" applyFill="1" applyBorder="1" applyAlignment="1" applyProtection="1">
      <alignment horizontal="left" vertical="top" wrapText="1"/>
    </xf>
    <xf numFmtId="0" fontId="23" fillId="35" borderId="245" xfId="0" applyFont="1" applyFill="1" applyBorder="1" applyAlignment="1" applyProtection="1">
      <alignment horizontal="left" vertical="top" wrapText="1"/>
    </xf>
    <xf numFmtId="0" fontId="23" fillId="35" borderId="547" xfId="0" applyFont="1" applyFill="1" applyBorder="1" applyAlignment="1" applyProtection="1">
      <alignment horizontal="left" vertical="top" wrapText="1"/>
    </xf>
    <xf numFmtId="0" fontId="22" fillId="0" borderId="227" xfId="0" applyFont="1" applyBorder="1" applyAlignment="1" applyProtection="1">
      <alignment horizontal="left" vertical="top" wrapText="1" indent="2"/>
    </xf>
    <xf numFmtId="0" fontId="0" fillId="35" borderId="174" xfId="0" applyFont="1" applyFill="1" applyBorder="1"/>
    <xf numFmtId="0" fontId="0" fillId="35" borderId="541" xfId="0" applyFont="1" applyFill="1" applyBorder="1"/>
    <xf numFmtId="0" fontId="23" fillId="0" borderId="401" xfId="0" applyFont="1" applyBorder="1" applyAlignment="1" applyProtection="1">
      <alignment horizontal="left" vertical="top" wrapText="1"/>
    </xf>
    <xf numFmtId="0" fontId="23" fillId="0" borderId="226" xfId="0" applyFont="1" applyBorder="1" applyAlignment="1" applyProtection="1">
      <alignment horizontal="left" vertical="top" wrapText="1"/>
    </xf>
    <xf numFmtId="0" fontId="23" fillId="35" borderId="228" xfId="0" applyFont="1" applyFill="1" applyBorder="1" applyAlignment="1" applyProtection="1">
      <alignment horizontal="left" vertical="top" wrapText="1"/>
    </xf>
    <xf numFmtId="0" fontId="23" fillId="35" borderId="230" xfId="0" applyFont="1" applyFill="1" applyBorder="1" applyAlignment="1" applyProtection="1">
      <alignment horizontal="left" vertical="top" wrapText="1"/>
    </xf>
    <xf numFmtId="0" fontId="23" fillId="0" borderId="233" xfId="0" applyFont="1" applyBorder="1" applyAlignment="1" applyProtection="1">
      <alignment horizontal="left" vertical="top" wrapText="1"/>
    </xf>
    <xf numFmtId="0" fontId="23" fillId="0" borderId="548" xfId="0" applyFont="1" applyBorder="1" applyAlignment="1" applyProtection="1">
      <alignment horizontal="left" vertical="top" wrapText="1"/>
    </xf>
    <xf numFmtId="0" fontId="23" fillId="3" borderId="245" xfId="0" applyFont="1" applyFill="1" applyBorder="1" applyAlignment="1" applyProtection="1">
      <alignment horizontal="left" vertical="top" wrapText="1"/>
    </xf>
    <xf numFmtId="0" fontId="23" fillId="3" borderId="547" xfId="0" applyFont="1" applyFill="1" applyBorder="1" applyAlignment="1" applyProtection="1">
      <alignment horizontal="left" vertical="top" wrapText="1"/>
    </xf>
    <xf numFmtId="0" fontId="23" fillId="35" borderId="246" xfId="0" applyFont="1" applyFill="1" applyBorder="1" applyAlignment="1" applyProtection="1">
      <alignment horizontal="left" vertical="top" wrapText="1"/>
    </xf>
    <xf numFmtId="0" fontId="23" fillId="35" borderId="634" xfId="0" applyFont="1" applyFill="1" applyBorder="1" applyAlignment="1" applyProtection="1">
      <alignment horizontal="left" vertical="top" wrapText="1"/>
    </xf>
    <xf numFmtId="0" fontId="23" fillId="3" borderId="567" xfId="6" applyFont="1" applyFill="1" applyBorder="1" applyAlignment="1" applyProtection="1">
      <alignment horizontal="left" vertical="top" wrapText="1"/>
    </xf>
    <xf numFmtId="0" fontId="23" fillId="3" borderId="646" xfId="6" applyFont="1" applyFill="1" applyBorder="1" applyAlignment="1" applyProtection="1">
      <alignment horizontal="left" vertical="top" wrapText="1"/>
    </xf>
    <xf numFmtId="0" fontId="23" fillId="35" borderId="569" xfId="6" applyFont="1" applyFill="1" applyBorder="1" applyAlignment="1" applyProtection="1">
      <alignment horizontal="left" vertical="top" wrapText="1"/>
    </xf>
    <xf numFmtId="0" fontId="23" fillId="35" borderId="650" xfId="6" applyFont="1" applyFill="1" applyBorder="1" applyAlignment="1" applyProtection="1">
      <alignment horizontal="left" vertical="top" wrapText="1"/>
    </xf>
    <xf numFmtId="0" fontId="23" fillId="3" borderId="573" xfId="6" applyFont="1" applyFill="1" applyBorder="1" applyAlignment="1" applyProtection="1">
      <alignment horizontal="left" vertical="top" wrapText="1"/>
    </xf>
    <xf numFmtId="0" fontId="23" fillId="3" borderId="654" xfId="6" applyFont="1" applyFill="1" applyBorder="1" applyAlignment="1" applyProtection="1">
      <alignment horizontal="left" vertical="top" wrapText="1"/>
    </xf>
    <xf numFmtId="0" fontId="23" fillId="3" borderId="574" xfId="6" applyFont="1" applyFill="1" applyBorder="1" applyAlignment="1" applyProtection="1">
      <alignment horizontal="left" vertical="top" wrapText="1"/>
    </xf>
    <xf numFmtId="0" fontId="23" fillId="3" borderId="655" xfId="6" applyFont="1" applyFill="1" applyBorder="1" applyAlignment="1" applyProtection="1">
      <alignment horizontal="left" vertical="top" wrapText="1"/>
    </xf>
    <xf numFmtId="0" fontId="23" fillId="3" borderId="575" xfId="6" applyFont="1" applyFill="1" applyBorder="1" applyAlignment="1" applyProtection="1">
      <alignment horizontal="left" vertical="top" wrapText="1"/>
    </xf>
    <xf numFmtId="0" fontId="23" fillId="3" borderId="545" xfId="6" applyFont="1" applyFill="1" applyBorder="1" applyAlignment="1" applyProtection="1">
      <alignment horizontal="left" vertical="top" wrapText="1"/>
    </xf>
    <xf numFmtId="0" fontId="23" fillId="3" borderId="576" xfId="6" applyFont="1" applyFill="1" applyBorder="1" applyAlignment="1" applyProtection="1">
      <alignment horizontal="left" vertical="top" wrapText="1"/>
    </xf>
    <xf numFmtId="0" fontId="23" fillId="3" borderId="656" xfId="6" applyFont="1" applyFill="1" applyBorder="1" applyAlignment="1" applyProtection="1">
      <alignment horizontal="left" vertical="top" wrapText="1"/>
    </xf>
    <xf numFmtId="0" fontId="23" fillId="35" borderId="578" xfId="6" applyFont="1" applyFill="1" applyBorder="1" applyAlignment="1" applyProtection="1">
      <alignment horizontal="left" vertical="top" wrapText="1"/>
    </xf>
    <xf numFmtId="0" fontId="23" fillId="35" borderId="658" xfId="6" applyFont="1" applyFill="1" applyBorder="1" applyAlignment="1" applyProtection="1">
      <alignment horizontal="left" vertical="top" wrapText="1"/>
    </xf>
    <xf numFmtId="0" fontId="23" fillId="3" borderId="250" xfId="0" applyNumberFormat="1" applyFont="1" applyFill="1" applyBorder="1" applyAlignment="1" applyProtection="1">
      <alignment horizontal="left" vertical="top" wrapText="1"/>
    </xf>
    <xf numFmtId="0" fontId="23" fillId="3" borderId="560" xfId="0" applyNumberFormat="1" applyFont="1" applyFill="1" applyBorder="1" applyAlignment="1" applyProtection="1">
      <alignment horizontal="left" vertical="top" wrapText="1"/>
    </xf>
    <xf numFmtId="0" fontId="23" fillId="3" borderId="531" xfId="6" applyFont="1" applyFill="1" applyBorder="1" applyAlignment="1" applyProtection="1">
      <alignment horizontal="left" vertical="top" wrapText="1"/>
    </xf>
    <xf numFmtId="0" fontId="23" fillId="3" borderId="644" xfId="6" applyFont="1" applyFill="1" applyBorder="1" applyAlignment="1" applyProtection="1">
      <alignment horizontal="left" vertical="top" wrapText="1"/>
    </xf>
    <xf numFmtId="0" fontId="19" fillId="8" borderId="563" xfId="6" applyBorder="1" applyProtection="1">
      <alignment horizontal="center" vertical="center" wrapText="1"/>
    </xf>
    <xf numFmtId="0" fontId="19" fillId="8" borderId="473" xfId="6" applyBorder="1" applyProtection="1">
      <alignment horizontal="center" vertical="center" wrapText="1"/>
    </xf>
    <xf numFmtId="0" fontId="19" fillId="8" borderId="643" xfId="6" applyBorder="1" applyProtection="1">
      <alignment horizontal="center" vertical="center" wrapText="1"/>
    </xf>
    <xf numFmtId="0" fontId="90" fillId="0" borderId="565" xfId="6" applyFont="1" applyFill="1" applyBorder="1" applyAlignment="1" applyProtection="1">
      <alignment horizontal="left" vertical="top" wrapText="1" indent="4"/>
    </xf>
    <xf numFmtId="0" fontId="90" fillId="0" borderId="657" xfId="6" applyFont="1" applyFill="1" applyBorder="1" applyAlignment="1" applyProtection="1">
      <alignment horizontal="left" vertical="top" wrapText="1" indent="4"/>
    </xf>
    <xf numFmtId="0" fontId="13" fillId="3" borderId="111" xfId="6" applyFont="1" applyFill="1" applyBorder="1" applyProtection="1">
      <alignment horizontal="center" vertical="center" wrapText="1"/>
    </xf>
    <xf numFmtId="0" fontId="13" fillId="3" borderId="577" xfId="6" applyFont="1" applyFill="1" applyBorder="1" applyProtection="1">
      <alignment horizontal="center" vertical="center" wrapText="1"/>
    </xf>
    <xf numFmtId="0" fontId="23" fillId="3" borderId="578" xfId="6" applyFont="1" applyFill="1" applyBorder="1" applyAlignment="1" applyProtection="1">
      <alignment horizontal="left" vertical="top" wrapText="1"/>
    </xf>
    <xf numFmtId="0" fontId="23" fillId="3" borderId="658" xfId="6" applyFont="1" applyFill="1" applyBorder="1" applyAlignment="1" applyProtection="1">
      <alignment horizontal="left" vertical="top" wrapText="1"/>
    </xf>
    <xf numFmtId="0" fontId="23" fillId="35" borderId="531" xfId="6" applyFont="1" applyFill="1" applyBorder="1" applyAlignment="1" applyProtection="1">
      <alignment horizontal="left" vertical="top" wrapText="1"/>
    </xf>
    <xf numFmtId="0" fontId="23" fillId="35" borderId="644" xfId="6" applyFont="1" applyFill="1" applyBorder="1" applyAlignment="1" applyProtection="1">
      <alignment horizontal="left" vertical="top" wrapText="1"/>
    </xf>
    <xf numFmtId="0" fontId="23" fillId="35" borderId="233" xfId="0" applyFont="1" applyFill="1" applyBorder="1" applyAlignment="1" applyProtection="1">
      <alignment horizontal="left" vertical="top"/>
    </xf>
    <xf numFmtId="0" fontId="23" fillId="35" borderId="548" xfId="0" applyFont="1" applyFill="1" applyBorder="1" applyAlignment="1" applyProtection="1">
      <alignment horizontal="left" vertical="top"/>
    </xf>
    <xf numFmtId="0" fontId="23" fillId="23" borderId="174" xfId="0" applyFont="1" applyFill="1" applyBorder="1" applyAlignment="1" applyProtection="1">
      <alignment horizontal="left" vertical="top"/>
    </xf>
    <xf numFmtId="0" fontId="23" fillId="23" borderId="541" xfId="0" applyFont="1" applyFill="1" applyBorder="1" applyAlignment="1" applyProtection="1">
      <alignment horizontal="left" vertical="top"/>
    </xf>
    <xf numFmtId="0" fontId="0" fillId="12" borderId="258" xfId="0" applyFont="1" applyFill="1" applyBorder="1" applyProtection="1"/>
    <xf numFmtId="0" fontId="0" fillId="12" borderId="259" xfId="0" applyFont="1" applyFill="1" applyBorder="1" applyProtection="1"/>
    <xf numFmtId="0" fontId="0" fillId="12" borderId="660" xfId="0" applyFont="1" applyFill="1" applyBorder="1" applyProtection="1"/>
    <xf numFmtId="0" fontId="23" fillId="26" borderId="242" xfId="0" applyFont="1" applyFill="1" applyBorder="1" applyProtection="1"/>
    <xf numFmtId="0" fontId="23" fillId="26" borderId="27" xfId="0" applyFont="1" applyFill="1" applyBorder="1" applyProtection="1"/>
    <xf numFmtId="0" fontId="23" fillId="26" borderId="541" xfId="0" applyFont="1" applyFill="1" applyBorder="1" applyProtection="1"/>
    <xf numFmtId="0" fontId="19" fillId="8" borderId="242" xfId="6" applyBorder="1" applyAlignment="1" applyProtection="1">
      <alignment horizontal="center" vertical="center" wrapText="1"/>
    </xf>
    <xf numFmtId="0" fontId="19" fillId="8" borderId="27" xfId="6" applyBorder="1" applyAlignment="1" applyProtection="1">
      <alignment horizontal="center" vertical="center" wrapText="1"/>
    </xf>
    <xf numFmtId="0" fontId="19" fillId="8" borderId="541" xfId="6" applyBorder="1" applyAlignment="1" applyProtection="1">
      <alignment horizontal="center" vertical="center" wrapText="1"/>
    </xf>
    <xf numFmtId="0" fontId="19" fillId="8" borderId="221" xfId="6" applyBorder="1" applyAlignment="1" applyProtection="1">
      <alignment horizontal="center" vertical="center" wrapText="1"/>
    </xf>
    <xf numFmtId="0" fontId="19" fillId="8" borderId="10" xfId="6" applyBorder="1" applyAlignment="1" applyProtection="1">
      <alignment horizontal="center" vertical="center" wrapText="1"/>
    </xf>
    <xf numFmtId="0" fontId="19" fillId="8" borderId="642" xfId="6" applyBorder="1" applyAlignment="1" applyProtection="1">
      <alignment horizontal="center" vertical="center" wrapText="1"/>
    </xf>
    <xf numFmtId="0" fontId="23" fillId="26" borderId="254" xfId="0" applyFont="1" applyFill="1" applyBorder="1" applyProtection="1"/>
    <xf numFmtId="0" fontId="23" fillId="26" borderId="0" xfId="0" applyFont="1" applyFill="1" applyBorder="1" applyProtection="1"/>
    <xf numFmtId="0" fontId="23" fillId="26" borderId="545" xfId="0" applyFont="1" applyFill="1" applyBorder="1" applyProtection="1"/>
    <xf numFmtId="0" fontId="13" fillId="3" borderId="249" xfId="6" applyFont="1" applyFill="1" applyBorder="1" applyAlignment="1" applyProtection="1">
      <alignment horizontal="center" vertical="center" wrapText="1"/>
    </xf>
    <xf numFmtId="0" fontId="13" fillId="3" borderId="667" xfId="6" applyFont="1" applyFill="1" applyBorder="1" applyAlignment="1" applyProtection="1">
      <alignment horizontal="center" vertical="center" wrapText="1"/>
    </xf>
    <xf numFmtId="0" fontId="22" fillId="0" borderId="247" xfId="0" applyFont="1" applyBorder="1" applyAlignment="1" applyProtection="1">
      <alignment horizontal="left" vertical="top" wrapText="1" indent="4"/>
    </xf>
    <xf numFmtId="0" fontId="23" fillId="12" borderId="242" xfId="0" applyFont="1" applyFill="1" applyBorder="1" applyProtection="1"/>
    <xf numFmtId="0" fontId="23" fillId="12" borderId="730" xfId="0" applyFont="1" applyFill="1" applyBorder="1" applyProtection="1"/>
    <xf numFmtId="0" fontId="23" fillId="12" borderId="541" xfId="0" applyFont="1" applyFill="1" applyBorder="1" applyProtection="1"/>
    <xf numFmtId="0" fontId="23" fillId="0" borderId="561" xfId="0" applyFont="1" applyBorder="1" applyAlignment="1" applyProtection="1">
      <alignment horizontal="left" vertical="top" wrapText="1"/>
    </xf>
    <xf numFmtId="0" fontId="23" fillId="0" borderId="562" xfId="0" applyFont="1" applyBorder="1" applyAlignment="1" applyProtection="1">
      <alignment horizontal="left" vertical="top" wrapText="1"/>
    </xf>
    <xf numFmtId="0" fontId="19" fillId="35" borderId="531" xfId="6" applyFill="1" applyBorder="1" applyAlignment="1" applyProtection="1">
      <alignment horizontal="left" vertical="top" wrapText="1"/>
    </xf>
    <xf numFmtId="0" fontId="19" fillId="35" borderId="644" xfId="6" applyFill="1" applyBorder="1" applyAlignment="1" applyProtection="1">
      <alignment horizontal="left" vertical="top" wrapText="1"/>
    </xf>
    <xf numFmtId="0" fontId="87" fillId="3" borderId="531" xfId="6" applyFont="1" applyFill="1" applyBorder="1" applyAlignment="1" applyProtection="1">
      <alignment horizontal="left" vertical="top" wrapText="1"/>
    </xf>
    <xf numFmtId="0" fontId="87" fillId="3" borderId="644" xfId="6" applyFont="1" applyFill="1" applyBorder="1" applyAlignment="1" applyProtection="1">
      <alignment horizontal="left" vertical="top" wrapText="1"/>
    </xf>
    <xf numFmtId="0" fontId="23" fillId="3" borderId="572" xfId="6" applyFont="1" applyFill="1" applyBorder="1" applyAlignment="1" applyProtection="1">
      <alignment horizontal="left" vertical="top" wrapText="1"/>
    </xf>
    <xf numFmtId="0" fontId="23" fillId="3" borderId="648" xfId="6" applyFont="1" applyFill="1" applyBorder="1" applyAlignment="1" applyProtection="1">
      <alignment horizontal="left" vertical="top" wrapText="1"/>
    </xf>
    <xf numFmtId="0" fontId="13" fillId="35" borderId="569" xfId="6" applyFont="1" applyFill="1" applyBorder="1" applyAlignment="1" applyProtection="1">
      <alignment horizontal="left" vertical="top" wrapText="1"/>
    </xf>
    <xf numFmtId="0" fontId="13" fillId="35" borderId="650" xfId="6" applyFont="1" applyFill="1" applyBorder="1" applyAlignment="1" applyProtection="1">
      <alignment horizontal="left" vertical="top" wrapText="1"/>
    </xf>
    <xf numFmtId="0" fontId="34" fillId="8" borderId="62" xfId="13">
      <alignment horizontal="left" vertical="center" wrapText="1"/>
    </xf>
    <xf numFmtId="0" fontId="34" fillId="8" borderId="832" xfId="13" applyBorder="1">
      <alignment horizontal="left" vertical="center" wrapText="1"/>
    </xf>
    <xf numFmtId="0" fontId="23" fillId="0" borderId="218" xfId="0" applyFont="1" applyBorder="1" applyAlignment="1" applyProtection="1">
      <alignment horizontal="left" vertical="center" indent="1"/>
    </xf>
    <xf numFmtId="0" fontId="19" fillId="8" borderId="628" xfId="6" applyBorder="1" applyProtection="1">
      <alignment horizontal="center" vertical="center" wrapText="1"/>
    </xf>
    <xf numFmtId="0" fontId="19" fillId="8" borderId="629" xfId="6" applyBorder="1" applyProtection="1">
      <alignment horizontal="center" vertical="center" wrapText="1"/>
    </xf>
    <xf numFmtId="0" fontId="19" fillId="8" borderId="542" xfId="6" applyBorder="1" applyProtection="1">
      <alignment horizontal="center" vertical="center" wrapText="1"/>
    </xf>
    <xf numFmtId="0" fontId="21" fillId="0" borderId="27" xfId="0" applyFont="1" applyBorder="1" applyAlignment="1" applyProtection="1">
      <alignment horizontal="left" vertical="center" indent="1"/>
    </xf>
    <xf numFmtId="0" fontId="19" fillId="8" borderId="242" xfId="6" applyFont="1" applyBorder="1" applyAlignment="1" applyProtection="1">
      <alignment horizontal="center" vertical="center" wrapText="1"/>
    </xf>
    <xf numFmtId="0" fontId="19" fillId="8" borderId="27" xfId="6" applyFont="1" applyBorder="1" applyAlignment="1" applyProtection="1">
      <alignment horizontal="center" vertical="center" wrapText="1"/>
    </xf>
    <xf numFmtId="0" fontId="19" fillId="8" borderId="541" xfId="6" applyFont="1" applyBorder="1" applyAlignment="1" applyProtection="1">
      <alignment horizontal="center" vertical="center" wrapText="1"/>
    </xf>
    <xf numFmtId="0" fontId="23" fillId="35" borderId="224" xfId="0" applyFont="1" applyFill="1" applyBorder="1" applyAlignment="1" applyProtection="1">
      <alignment horizontal="left" vertical="top"/>
    </xf>
    <xf numFmtId="0" fontId="23" fillId="35" borderId="546" xfId="0" applyFont="1" applyFill="1" applyBorder="1" applyAlignment="1" applyProtection="1">
      <alignment horizontal="left" vertical="top"/>
    </xf>
    <xf numFmtId="0" fontId="23" fillId="0" borderId="27" xfId="0" applyFont="1" applyBorder="1" applyAlignment="1" applyProtection="1">
      <alignment horizontal="left" vertical="center" wrapText="1" indent="1"/>
    </xf>
    <xf numFmtId="0" fontId="23" fillId="0" borderId="174" xfId="0" applyFont="1" applyFill="1" applyBorder="1" applyAlignment="1" applyProtection="1">
      <alignment horizontal="left" vertical="top"/>
    </xf>
    <xf numFmtId="0" fontId="23" fillId="0" borderId="541" xfId="0" applyFont="1" applyFill="1" applyBorder="1" applyAlignment="1" applyProtection="1">
      <alignment horizontal="left" vertical="top"/>
    </xf>
    <xf numFmtId="0" fontId="22" fillId="3" borderId="233" xfId="0" applyFont="1" applyFill="1" applyBorder="1" applyAlignment="1" applyProtection="1">
      <alignment horizontal="center" vertical="center" wrapText="1"/>
    </xf>
    <xf numFmtId="0" fontId="22" fillId="3" borderId="474" xfId="0" applyFont="1" applyFill="1" applyBorder="1" applyAlignment="1" applyProtection="1">
      <alignment horizontal="center" vertical="center" wrapText="1"/>
    </xf>
    <xf numFmtId="0" fontId="23" fillId="23" borderId="233" xfId="0" applyFont="1" applyFill="1" applyBorder="1" applyAlignment="1" applyProtection="1">
      <alignment horizontal="left" vertical="top"/>
    </xf>
    <xf numFmtId="0" fontId="23" fillId="23" borderId="548" xfId="0" applyFont="1" applyFill="1" applyBorder="1" applyAlignment="1" applyProtection="1">
      <alignment horizontal="left" vertical="top"/>
    </xf>
    <xf numFmtId="0" fontId="148" fillId="8" borderId="685" xfId="6" applyFont="1" applyBorder="1" applyAlignment="1" applyProtection="1">
      <alignment horizontal="center" vertical="center" wrapText="1"/>
    </xf>
    <xf numFmtId="0" fontId="148" fillId="8" borderId="686" xfId="6" applyFont="1" applyBorder="1" applyAlignment="1" applyProtection="1">
      <alignment horizontal="center" vertical="center" wrapText="1"/>
    </xf>
    <xf numFmtId="0" fontId="23" fillId="23" borderId="224" xfId="0" applyFont="1" applyFill="1" applyBorder="1" applyAlignment="1" applyProtection="1">
      <alignment horizontal="left" vertical="top"/>
    </xf>
    <xf numFmtId="0" fontId="23" fillId="23" borderId="546" xfId="0" applyFont="1" applyFill="1" applyBorder="1" applyAlignment="1" applyProtection="1">
      <alignment horizontal="left" vertical="top"/>
    </xf>
    <xf numFmtId="0" fontId="23" fillId="0" borderId="27" xfId="0" applyFont="1" applyBorder="1" applyAlignment="1">
      <alignment horizontal="left" vertical="top" indent="1"/>
    </xf>
    <xf numFmtId="0" fontId="23" fillId="0" borderId="232" xfId="0" applyFont="1" applyBorder="1" applyAlignment="1">
      <alignment horizontal="left" vertical="top" wrapText="1"/>
    </xf>
    <xf numFmtId="0" fontId="23" fillId="0" borderId="234" xfId="0" applyFont="1" applyBorder="1" applyAlignment="1">
      <alignment horizontal="left" vertical="top" wrapText="1"/>
    </xf>
    <xf numFmtId="0" fontId="23" fillId="0" borderId="252" xfId="0" applyFont="1" applyBorder="1" applyAlignment="1">
      <alignment horizontal="left" vertical="top" wrapText="1"/>
    </xf>
    <xf numFmtId="0" fontId="23" fillId="0" borderId="257" xfId="0" applyFont="1" applyBorder="1" applyAlignment="1">
      <alignment horizontal="left" vertical="top" wrapText="1"/>
    </xf>
    <xf numFmtId="0" fontId="23" fillId="0" borderId="228" xfId="0" applyFont="1" applyBorder="1" applyAlignment="1" applyProtection="1">
      <alignment horizontal="left" vertical="top" wrapText="1"/>
    </xf>
    <xf numFmtId="0" fontId="23" fillId="0" borderId="230" xfId="0" applyFont="1" applyBorder="1" applyAlignment="1" applyProtection="1">
      <alignment horizontal="left" vertical="top" wrapText="1"/>
    </xf>
    <xf numFmtId="0" fontId="23" fillId="0" borderId="475" xfId="0" applyFont="1" applyBorder="1" applyAlignment="1" applyProtection="1">
      <alignment horizontal="left" vertical="top" wrapText="1"/>
    </xf>
    <xf numFmtId="0" fontId="23" fillId="0" borderId="635" xfId="0" applyFont="1" applyBorder="1" applyAlignment="1" applyProtection="1">
      <alignment horizontal="left" vertical="top" wrapText="1"/>
    </xf>
    <xf numFmtId="0" fontId="23" fillId="35" borderId="237" xfId="0" applyFont="1" applyFill="1" applyBorder="1" applyAlignment="1" applyProtection="1">
      <alignment horizontal="left" vertical="top" wrapText="1"/>
    </xf>
    <xf numFmtId="0" fontId="23" fillId="35" borderId="545" xfId="0" applyFont="1" applyFill="1" applyBorder="1" applyAlignment="1" applyProtection="1">
      <alignment horizontal="left" vertical="top" wrapText="1"/>
    </xf>
    <xf numFmtId="0" fontId="23" fillId="35" borderId="246" xfId="0" applyFont="1" applyFill="1" applyBorder="1" applyAlignment="1">
      <alignment horizontal="center" vertical="top" wrapText="1"/>
    </xf>
    <xf numFmtId="0" fontId="23" fillId="35" borderId="634" xfId="0" applyFont="1" applyFill="1" applyBorder="1" applyAlignment="1">
      <alignment horizontal="center" vertical="top" wrapText="1"/>
    </xf>
    <xf numFmtId="0" fontId="23" fillId="0" borderId="229" xfId="0" applyFont="1" applyBorder="1" applyAlignment="1">
      <alignment horizontal="left" vertical="top" wrapText="1"/>
    </xf>
    <xf numFmtId="0" fontId="23" fillId="0" borderId="544" xfId="0" applyFont="1" applyBorder="1" applyAlignment="1">
      <alignment horizontal="left" vertical="top" wrapText="1"/>
    </xf>
    <xf numFmtId="0" fontId="23" fillId="0" borderId="237" xfId="0" applyFont="1" applyBorder="1" applyAlignment="1">
      <alignment horizontal="left" vertical="top" wrapText="1"/>
    </xf>
    <xf numFmtId="0" fontId="23" fillId="0" borderId="545" xfId="0" applyFont="1" applyBorder="1" applyAlignment="1">
      <alignment horizontal="left" vertical="top" wrapText="1"/>
    </xf>
    <xf numFmtId="0" fontId="23" fillId="0" borderId="250" xfId="0" applyFont="1" applyBorder="1" applyAlignment="1">
      <alignment horizontal="left" vertical="top" wrapText="1"/>
    </xf>
    <xf numFmtId="0" fontId="23" fillId="0" borderId="560" xfId="0" applyFont="1" applyBorder="1" applyAlignment="1">
      <alignment horizontal="left" vertical="top" wrapText="1"/>
    </xf>
    <xf numFmtId="0" fontId="22" fillId="0" borderId="732" xfId="0" applyFont="1" applyBorder="1" applyAlignment="1" applyProtection="1">
      <alignment horizontal="center" vertical="center" wrapText="1"/>
    </xf>
    <xf numFmtId="0" fontId="22" fillId="0" borderId="705" xfId="0" applyFont="1" applyBorder="1" applyAlignment="1" applyProtection="1">
      <alignment horizontal="center" vertical="center" wrapText="1"/>
    </xf>
    <xf numFmtId="1" fontId="67" fillId="0" borderId="732" xfId="0" applyNumberFormat="1" applyFont="1" applyBorder="1" applyAlignment="1" applyProtection="1">
      <alignment horizontal="center" vertical="center" wrapText="1"/>
    </xf>
    <xf numFmtId="1" fontId="67" fillId="0" borderId="236" xfId="0" applyNumberFormat="1" applyFont="1" applyBorder="1" applyAlignment="1" applyProtection="1">
      <alignment horizontal="center" vertical="center" wrapText="1"/>
    </xf>
    <xf numFmtId="1" fontId="67" fillId="0" borderId="705" xfId="0" applyNumberFormat="1" applyFont="1" applyBorder="1" applyAlignment="1" applyProtection="1">
      <alignment horizontal="center" vertical="center" wrapText="1"/>
    </xf>
    <xf numFmtId="0" fontId="23" fillId="12" borderId="27" xfId="0" applyFont="1" applyFill="1" applyBorder="1" applyProtection="1"/>
    <xf numFmtId="0" fontId="22" fillId="27" borderId="242" xfId="0" applyFont="1" applyFill="1" applyBorder="1" applyAlignment="1" applyProtection="1">
      <alignment horizontal="center" vertical="top" wrapText="1"/>
    </xf>
    <xf numFmtId="0" fontId="22" fillId="27" borderId="27" xfId="0" applyFont="1" applyFill="1" applyBorder="1" applyAlignment="1" applyProtection="1">
      <alignment horizontal="center" vertical="top" wrapText="1"/>
    </xf>
    <xf numFmtId="0" fontId="22" fillId="27" borderId="541" xfId="0" applyFont="1" applyFill="1" applyBorder="1" applyAlignment="1" applyProtection="1">
      <alignment horizontal="center" vertical="top" wrapText="1"/>
    </xf>
    <xf numFmtId="0" fontId="23" fillId="35" borderId="174" xfId="0" applyFont="1" applyFill="1" applyBorder="1" applyAlignment="1">
      <alignment horizontal="left" vertical="top" wrapText="1"/>
    </xf>
    <xf numFmtId="0" fontId="23" fillId="35" borderId="541" xfId="0" applyFont="1" applyFill="1" applyBorder="1" applyAlignment="1">
      <alignment horizontal="left" vertical="top" wrapText="1"/>
    </xf>
    <xf numFmtId="0" fontId="23" fillId="23" borderId="246" xfId="0" applyFont="1" applyFill="1" applyBorder="1" applyAlignment="1" applyProtection="1">
      <alignment horizontal="left" vertical="top" wrapText="1"/>
    </xf>
    <xf numFmtId="0" fontId="23" fillId="23" borderId="634" xfId="0" applyFont="1" applyFill="1" applyBorder="1" applyAlignment="1" applyProtection="1">
      <alignment horizontal="left" vertical="top" wrapText="1"/>
    </xf>
    <xf numFmtId="0" fontId="23" fillId="23" borderId="663" xfId="0" applyFont="1" applyFill="1" applyBorder="1" applyAlignment="1" applyProtection="1">
      <alignment horizontal="left" vertical="top" wrapText="1"/>
    </xf>
    <xf numFmtId="0" fontId="23" fillId="23" borderId="664" xfId="0" applyFont="1" applyFill="1" applyBorder="1" applyAlignment="1" applyProtection="1">
      <alignment horizontal="left" vertical="top" wrapText="1"/>
    </xf>
    <xf numFmtId="0" fontId="23" fillId="3" borderId="561" xfId="0" applyFont="1" applyFill="1" applyBorder="1" applyAlignment="1" applyProtection="1">
      <alignment horizontal="left" vertical="top" wrapText="1"/>
    </xf>
    <xf numFmtId="0" fontId="23" fillId="3" borderId="562" xfId="0" applyFont="1" applyFill="1" applyBorder="1" applyAlignment="1" applyProtection="1">
      <alignment horizontal="left" vertical="top" wrapText="1"/>
    </xf>
    <xf numFmtId="0" fontId="0" fillId="0" borderId="886" xfId="0" applyFont="1" applyBorder="1" applyAlignment="1">
      <alignment horizontal="left" wrapText="1"/>
    </xf>
    <xf numFmtId="0" fontId="143" fillId="0" borderId="0" xfId="0" applyFont="1" applyAlignment="1">
      <alignment horizontal="center" vertical="center"/>
    </xf>
    <xf numFmtId="0" fontId="22" fillId="0" borderId="227" xfId="0" applyFont="1" applyBorder="1" applyAlignment="1" applyProtection="1">
      <alignment vertical="top" wrapText="1"/>
    </xf>
    <xf numFmtId="0" fontId="22" fillId="0" borderId="247" xfId="0" applyFont="1" applyBorder="1" applyAlignment="1" applyProtection="1">
      <alignment vertical="top" wrapText="1"/>
    </xf>
    <xf numFmtId="0" fontId="22" fillId="0" borderId="251" xfId="0" applyFont="1" applyBorder="1" applyAlignment="1" applyProtection="1">
      <alignment vertical="top" wrapText="1"/>
    </xf>
    <xf numFmtId="0" fontId="22" fillId="0" borderId="235" xfId="0" applyFont="1" applyBorder="1" applyAlignment="1" applyProtection="1">
      <alignment vertical="top" wrapText="1"/>
    </xf>
    <xf numFmtId="0" fontId="0" fillId="23" borderId="242" xfId="0" applyFont="1" applyFill="1" applyBorder="1" applyAlignment="1" applyProtection="1"/>
    <xf numFmtId="0" fontId="0" fillId="23" borderId="27" xfId="0" applyFont="1" applyFill="1" applyBorder="1" applyAlignment="1" applyProtection="1"/>
    <xf numFmtId="0" fontId="0" fillId="23" borderId="541" xfId="0" applyFont="1" applyFill="1" applyBorder="1" applyAlignment="1" applyProtection="1"/>
    <xf numFmtId="0" fontId="34" fillId="8" borderId="62" xfId="13" applyBorder="1" applyProtection="1">
      <alignment horizontal="left" vertical="center" wrapText="1"/>
      <protection locked="0"/>
    </xf>
    <xf numFmtId="0" fontId="81" fillId="3" borderId="12" xfId="5" applyFont="1" applyFill="1" applyBorder="1" applyAlignment="1" applyProtection="1">
      <alignment horizontal="left"/>
      <protection locked="0"/>
    </xf>
    <xf numFmtId="0" fontId="81" fillId="3" borderId="0" xfId="5" applyFont="1" applyFill="1" applyBorder="1" applyAlignment="1" applyProtection="1">
      <alignment horizontal="left"/>
      <protection locked="0"/>
    </xf>
    <xf numFmtId="0" fontId="81" fillId="3" borderId="104" xfId="5" applyFont="1" applyFill="1" applyBorder="1" applyProtection="1">
      <protection locked="0"/>
    </xf>
    <xf numFmtId="0" fontId="81" fillId="3" borderId="8" xfId="5" applyFont="1" applyFill="1" applyBorder="1" applyProtection="1">
      <protection locked="0"/>
    </xf>
    <xf numFmtId="0" fontId="81" fillId="3" borderId="106" xfId="5" applyFont="1" applyFill="1" applyBorder="1" applyProtection="1">
      <protection locked="0"/>
    </xf>
    <xf numFmtId="0" fontId="4" fillId="0" borderId="0" xfId="4" applyBorder="1" applyProtection="1">
      <protection locked="0"/>
    </xf>
    <xf numFmtId="0" fontId="41" fillId="0" borderId="0" xfId="4" applyFont="1" applyBorder="1" applyAlignment="1">
      <alignment horizontal="center" vertical="top" wrapText="1"/>
    </xf>
    <xf numFmtId="0" fontId="0" fillId="0" borderId="8" xfId="0" applyBorder="1" applyAlignment="1">
      <alignment horizontal="center" vertical="center" wrapText="1"/>
    </xf>
    <xf numFmtId="0" fontId="18" fillId="0" borderId="8" xfId="0" applyFont="1" applyBorder="1" applyAlignment="1">
      <alignment horizontal="left" vertical="center" wrapText="1"/>
    </xf>
    <xf numFmtId="0" fontId="4" fillId="0" borderId="0" xfId="4" applyProtection="1">
      <protection locked="0"/>
    </xf>
    <xf numFmtId="0" fontId="81" fillId="3" borderId="104" xfId="5" applyFont="1" applyFill="1" applyBorder="1" applyAlignment="1" applyProtection="1">
      <alignment vertical="top" wrapText="1"/>
      <protection locked="0"/>
    </xf>
    <xf numFmtId="0" fontId="81" fillId="3" borderId="8" xfId="5" applyFont="1" applyFill="1" applyBorder="1" applyAlignment="1" applyProtection="1">
      <alignment vertical="top" wrapText="1"/>
      <protection locked="0"/>
    </xf>
    <xf numFmtId="0" fontId="81" fillId="3" borderId="106" xfId="5" applyFont="1" applyFill="1" applyBorder="1" applyAlignment="1" applyProtection="1">
      <alignment vertical="top" wrapText="1"/>
      <protection locked="0"/>
    </xf>
    <xf numFmtId="0" fontId="81" fillId="3" borderId="0" xfId="5" applyFont="1" applyFill="1" applyBorder="1" applyAlignment="1" applyProtection="1">
      <alignment vertical="top" wrapText="1"/>
      <protection locked="0"/>
    </xf>
    <xf numFmtId="0" fontId="17" fillId="3" borderId="104" xfId="5" applyFill="1" applyBorder="1" applyAlignment="1" applyProtection="1">
      <alignment vertical="top" wrapText="1"/>
      <protection locked="0"/>
    </xf>
    <xf numFmtId="0" fontId="17" fillId="3" borderId="8" xfId="5" applyFill="1" applyBorder="1" applyAlignment="1" applyProtection="1">
      <alignment vertical="top" wrapText="1"/>
      <protection locked="0"/>
    </xf>
    <xf numFmtId="0" fontId="17" fillId="3" borderId="106" xfId="5" applyFill="1" applyBorder="1" applyAlignment="1" applyProtection="1">
      <alignment vertical="top" wrapText="1"/>
      <protection locked="0"/>
    </xf>
    <xf numFmtId="0" fontId="81" fillId="3" borderId="104" xfId="5" applyFont="1" applyFill="1" applyBorder="1" applyAlignment="1" applyProtection="1">
      <alignment horizontal="left" vertical="center" wrapText="1"/>
      <protection locked="0"/>
    </xf>
    <xf numFmtId="0" fontId="81" fillId="3" borderId="8" xfId="5" applyFont="1" applyFill="1" applyBorder="1" applyAlignment="1" applyProtection="1">
      <alignment horizontal="left" vertical="center" wrapText="1"/>
      <protection locked="0"/>
    </xf>
    <xf numFmtId="0" fontId="81" fillId="3" borderId="106" xfId="5" applyFont="1" applyFill="1" applyBorder="1" applyAlignment="1" applyProtection="1">
      <alignment horizontal="left" vertical="center" wrapText="1"/>
      <protection locked="0"/>
    </xf>
    <xf numFmtId="0" fontId="3" fillId="0" borderId="0" xfId="0" applyFont="1" applyBorder="1" applyAlignment="1">
      <alignment horizontal="left" vertical="center" wrapText="1"/>
    </xf>
    <xf numFmtId="0" fontId="23" fillId="0" borderId="833" xfId="0" applyFont="1" applyBorder="1" applyAlignment="1">
      <alignment horizontal="center" vertical="center"/>
    </xf>
    <xf numFmtId="0" fontId="0" fillId="0" borderId="0" xfId="0" applyAlignment="1">
      <alignment vertical="top" wrapText="1"/>
    </xf>
    <xf numFmtId="0" fontId="19" fillId="8" borderId="79" xfId="6" applyBorder="1">
      <alignment horizontal="center" vertical="center" wrapText="1"/>
    </xf>
    <xf numFmtId="0" fontId="19" fillId="8" borderId="322" xfId="6" applyBorder="1">
      <alignment horizontal="center" vertical="center" wrapText="1"/>
    </xf>
    <xf numFmtId="0" fontId="0" fillId="0" borderId="79" xfId="0" applyBorder="1" applyAlignment="1">
      <alignment vertical="top" wrapText="1"/>
    </xf>
    <xf numFmtId="0" fontId="0" fillId="0" borderId="322" xfId="0" applyBorder="1" applyAlignment="1">
      <alignment vertical="top" wrapText="1"/>
    </xf>
    <xf numFmtId="0" fontId="38" fillId="0" borderId="301" xfId="0" applyFont="1" applyBorder="1" applyAlignment="1">
      <alignment horizontal="left" vertical="top" wrapText="1" indent="1"/>
    </xf>
    <xf numFmtId="0" fontId="34" fillId="33" borderId="303" xfId="13" applyFill="1" applyBorder="1">
      <alignment horizontal="left" vertical="center" wrapText="1"/>
    </xf>
    <xf numFmtId="0" fontId="34" fillId="33" borderId="304" xfId="13" applyFill="1" applyBorder="1">
      <alignment horizontal="left" vertical="center" wrapText="1"/>
    </xf>
    <xf numFmtId="0" fontId="34" fillId="33" borderId="305" xfId="13" applyFill="1" applyBorder="1">
      <alignment horizontal="left" vertical="center" wrapText="1"/>
    </xf>
    <xf numFmtId="0" fontId="19" fillId="8" borderId="319" xfId="6" applyBorder="1">
      <alignment horizontal="center" vertical="center" wrapText="1"/>
    </xf>
    <xf numFmtId="0" fontId="19" fillId="8" borderId="320" xfId="6" applyBorder="1">
      <alignment horizontal="center" vertical="center" wrapText="1"/>
    </xf>
    <xf numFmtId="0" fontId="38" fillId="0" borderId="0" xfId="0" applyFont="1" applyBorder="1" applyAlignment="1">
      <alignment horizontal="left" wrapText="1" indent="1"/>
    </xf>
    <xf numFmtId="0" fontId="38" fillId="0" borderId="0" xfId="0" applyFont="1" applyBorder="1" applyAlignment="1">
      <alignment horizontal="left" vertical="top" wrapText="1" indent="1"/>
    </xf>
    <xf numFmtId="0" fontId="38" fillId="0" borderId="314" xfId="0" applyFont="1" applyBorder="1" applyAlignment="1">
      <alignment horizontal="left" vertical="top" wrapText="1" indent="1"/>
    </xf>
    <xf numFmtId="0" fontId="38" fillId="0" borderId="316" xfId="0" applyFont="1" applyBorder="1" applyAlignment="1">
      <alignment horizontal="left" vertical="top" wrapText="1" indent="1"/>
    </xf>
    <xf numFmtId="0" fontId="0" fillId="0" borderId="324" xfId="0" applyBorder="1" applyAlignment="1">
      <alignment vertical="top" wrapText="1"/>
    </xf>
    <xf numFmtId="0" fontId="0" fillId="0" borderId="325" xfId="0" applyBorder="1" applyAlignment="1">
      <alignment vertical="top" wrapText="1"/>
    </xf>
    <xf numFmtId="0" fontId="3" fillId="0" borderId="313" xfId="0" applyFont="1" applyBorder="1" applyAlignment="1">
      <alignment horizontal="left" wrapText="1"/>
    </xf>
    <xf numFmtId="0" fontId="3" fillId="0" borderId="0" xfId="0" applyFont="1" applyBorder="1" applyAlignment="1">
      <alignment horizontal="left" wrapText="1"/>
    </xf>
    <xf numFmtId="0" fontId="3" fillId="0" borderId="314" xfId="0" applyFont="1" applyBorder="1" applyAlignment="1">
      <alignment horizontal="left" wrapText="1"/>
    </xf>
    <xf numFmtId="0" fontId="38" fillId="0" borderId="285" xfId="0" applyFont="1" applyBorder="1" applyAlignment="1">
      <alignment horizontal="left" wrapText="1" indent="1"/>
    </xf>
    <xf numFmtId="0" fontId="38" fillId="0" borderId="287" xfId="0" applyFont="1" applyBorder="1" applyAlignment="1">
      <alignment horizontal="left" vertical="top" wrapText="1" indent="1"/>
    </xf>
    <xf numFmtId="0" fontId="76" fillId="32" borderId="289" xfId="13" applyFont="1" applyFill="1" applyBorder="1">
      <alignment horizontal="left" vertical="center" wrapText="1"/>
    </xf>
    <xf numFmtId="0" fontId="76" fillId="32" borderId="290" xfId="13" applyFont="1" applyFill="1" applyBorder="1">
      <alignment horizontal="left" vertical="center" wrapText="1"/>
    </xf>
    <xf numFmtId="0" fontId="76" fillId="32" borderId="291" xfId="13" applyFont="1" applyFill="1" applyBorder="1">
      <alignment horizontal="left" vertical="center" wrapText="1"/>
    </xf>
    <xf numFmtId="0" fontId="3" fillId="0" borderId="298" xfId="0" applyFont="1" applyBorder="1" applyAlignment="1">
      <alignment horizontal="left" wrapText="1"/>
    </xf>
    <xf numFmtId="0" fontId="3" fillId="0" borderId="299" xfId="0" applyFont="1" applyBorder="1" applyAlignment="1">
      <alignment horizontal="left" wrapText="1"/>
    </xf>
    <xf numFmtId="0" fontId="0" fillId="0" borderId="174" xfId="0" applyBorder="1" applyAlignment="1">
      <alignment vertical="top" wrapText="1"/>
    </xf>
    <xf numFmtId="0" fontId="0" fillId="0" borderId="698" xfId="0" applyBorder="1" applyAlignment="1">
      <alignment vertical="top" wrapText="1"/>
    </xf>
    <xf numFmtId="0" fontId="3" fillId="0" borderId="284" xfId="0" applyFont="1" applyBorder="1" applyAlignment="1">
      <alignment horizontal="left" wrapText="1"/>
    </xf>
    <xf numFmtId="0" fontId="3" fillId="0" borderId="285" xfId="0" applyFont="1" applyBorder="1" applyAlignment="1">
      <alignment horizontal="left" wrapText="1"/>
    </xf>
    <xf numFmtId="1" fontId="3" fillId="0" borderId="0" xfId="0" applyNumberFormat="1" applyFont="1" applyAlignment="1">
      <alignment horizontal="left" vertical="center" wrapText="1"/>
    </xf>
    <xf numFmtId="0" fontId="34" fillId="28" borderId="892" xfId="13" applyFill="1" applyBorder="1">
      <alignment horizontal="left" vertical="center" wrapText="1"/>
    </xf>
    <xf numFmtId="0" fontId="34" fillId="28" borderId="11" xfId="13" applyFill="1" applyBorder="1">
      <alignment horizontal="left" vertical="center" wrapText="1"/>
    </xf>
    <xf numFmtId="0" fontId="34" fillId="28" borderId="893" xfId="13" applyFill="1" applyBorder="1">
      <alignment horizontal="left" vertical="center" wrapText="1"/>
    </xf>
    <xf numFmtId="0" fontId="3" fillId="0" borderId="270" xfId="0" applyFont="1" applyBorder="1" applyAlignment="1">
      <alignment horizontal="left" wrapText="1"/>
    </xf>
    <xf numFmtId="0" fontId="3" fillId="0" borderId="271" xfId="0" applyFont="1" applyBorder="1" applyAlignment="1">
      <alignment horizontal="left" wrapText="1"/>
    </xf>
    <xf numFmtId="0" fontId="38" fillId="0" borderId="273" xfId="0" applyFont="1" applyBorder="1" applyAlignment="1">
      <alignment horizontal="left" vertical="top" wrapText="1" indent="1"/>
    </xf>
    <xf numFmtId="0" fontId="75" fillId="31" borderId="275" xfId="13" applyFont="1" applyFill="1" applyBorder="1">
      <alignment horizontal="left" vertical="center" wrapText="1"/>
    </xf>
    <xf numFmtId="0" fontId="75" fillId="31" borderId="276" xfId="13" applyFont="1" applyFill="1" applyBorder="1">
      <alignment horizontal="left" vertical="center" wrapText="1"/>
    </xf>
    <xf numFmtId="0" fontId="75" fillId="31" borderId="277" xfId="13" applyFont="1" applyFill="1" applyBorder="1">
      <alignment horizontal="left" vertical="center" wrapText="1"/>
    </xf>
    <xf numFmtId="0" fontId="38" fillId="0" borderId="299" xfId="0" applyFont="1" applyBorder="1" applyAlignment="1">
      <alignment horizontal="left" wrapText="1" indent="1"/>
    </xf>
    <xf numFmtId="0" fontId="23" fillId="3" borderId="738" xfId="0" applyFont="1" applyFill="1" applyBorder="1" applyAlignment="1" applyProtection="1">
      <alignment horizontal="left" vertical="top" wrapText="1"/>
    </xf>
    <xf numFmtId="0" fontId="23" fillId="3" borderId="739" xfId="0" applyFont="1" applyFill="1" applyBorder="1" applyAlignment="1" applyProtection="1">
      <alignment horizontal="left" vertical="top" wrapText="1"/>
    </xf>
    <xf numFmtId="0" fontId="165" fillId="0" borderId="738" xfId="0" applyFont="1" applyBorder="1" applyAlignment="1">
      <alignment horizontal="left" vertical="top" wrapText="1"/>
    </xf>
    <xf numFmtId="0" fontId="165" fillId="0" borderId="785" xfId="0" applyFont="1" applyBorder="1" applyAlignment="1">
      <alignment horizontal="left" vertical="top" wrapText="1"/>
    </xf>
    <xf numFmtId="0" fontId="165" fillId="0" borderId="739" xfId="0" applyFont="1" applyBorder="1" applyAlignment="1">
      <alignment horizontal="left" vertical="top" wrapText="1"/>
    </xf>
    <xf numFmtId="0" fontId="165" fillId="0" borderId="237" xfId="0" applyFont="1" applyBorder="1" applyAlignment="1">
      <alignment horizontal="left" vertical="top" wrapText="1"/>
    </xf>
    <xf numFmtId="0" fontId="165" fillId="0" borderId="0" xfId="0" applyFont="1" applyBorder="1" applyAlignment="1">
      <alignment horizontal="left" vertical="top" wrapText="1"/>
    </xf>
    <xf numFmtId="0" fontId="165" fillId="0" borderId="740" xfId="0" applyFont="1" applyBorder="1" applyAlignment="1">
      <alignment horizontal="left" vertical="top" wrapText="1"/>
    </xf>
    <xf numFmtId="0" fontId="165" fillId="0" borderId="224" xfId="0" applyFont="1" applyBorder="1" applyAlignment="1">
      <alignment horizontal="left" vertical="top" wrapText="1"/>
    </xf>
    <xf numFmtId="0" fontId="165" fillId="0" borderId="26" xfId="0" applyFont="1" applyBorder="1" applyAlignment="1">
      <alignment horizontal="left" vertical="top" wrapText="1"/>
    </xf>
    <xf numFmtId="0" fontId="165" fillId="0" borderId="381" xfId="0" applyFont="1" applyBorder="1" applyAlignment="1">
      <alignment horizontal="left" vertical="top" wrapText="1"/>
    </xf>
    <xf numFmtId="0" fontId="175" fillId="3" borderId="237" xfId="0" applyFont="1" applyFill="1" applyBorder="1" applyAlignment="1">
      <alignment horizontal="left" vertical="top" wrapText="1"/>
    </xf>
    <xf numFmtId="0" fontId="175" fillId="3" borderId="740" xfId="0" applyFont="1" applyFill="1" applyBorder="1" applyAlignment="1">
      <alignment horizontal="left" vertical="top" wrapText="1"/>
    </xf>
    <xf numFmtId="0" fontId="173" fillId="3" borderId="237" xfId="0" applyFont="1" applyFill="1" applyBorder="1" applyAlignment="1">
      <alignment horizontal="left" vertical="top" wrapText="1"/>
    </xf>
    <xf numFmtId="0" fontId="173" fillId="3" borderId="740" xfId="0" applyFont="1" applyFill="1" applyBorder="1" applyAlignment="1">
      <alignment horizontal="left" vertical="top" wrapText="1"/>
    </xf>
    <xf numFmtId="0" fontId="13" fillId="0" borderId="753" xfId="0" applyFont="1" applyBorder="1" applyAlignment="1">
      <alignment horizontal="center" vertical="center"/>
    </xf>
    <xf numFmtId="0" fontId="13" fillId="0" borderId="730" xfId="0" applyFont="1" applyBorder="1" applyAlignment="1">
      <alignment horizontal="center" vertical="center"/>
    </xf>
    <xf numFmtId="0" fontId="13" fillId="0" borderId="747" xfId="0" applyFont="1" applyBorder="1" applyAlignment="1">
      <alignment horizontal="center" vertical="center"/>
    </xf>
    <xf numFmtId="1" fontId="13" fillId="0" borderId="753" xfId="0" applyNumberFormat="1" applyFont="1" applyBorder="1" applyAlignment="1">
      <alignment horizontal="center" vertical="center"/>
    </xf>
    <xf numFmtId="1" fontId="13" fillId="0" borderId="747" xfId="0" applyNumberFormat="1" applyFont="1" applyBorder="1" applyAlignment="1">
      <alignment horizontal="center" vertical="center"/>
    </xf>
    <xf numFmtId="0" fontId="22" fillId="0" borderId="252" xfId="0" applyFont="1" applyBorder="1" applyAlignment="1" applyProtection="1">
      <alignment horizontal="left" vertical="top" wrapText="1"/>
    </xf>
    <xf numFmtId="0" fontId="22" fillId="0" borderId="236" xfId="0" applyFont="1" applyBorder="1" applyAlignment="1" applyProtection="1">
      <alignment horizontal="left" vertical="top" wrapText="1"/>
    </xf>
    <xf numFmtId="0" fontId="22" fillId="0" borderId="705" xfId="0" applyFont="1" applyBorder="1" applyAlignment="1" applyProtection="1">
      <alignment horizontal="left" vertical="top" wrapText="1"/>
    </xf>
    <xf numFmtId="0" fontId="23" fillId="3" borderId="740" xfId="0" applyFont="1" applyFill="1" applyBorder="1" applyAlignment="1" applyProtection="1">
      <alignment horizontal="left" vertical="top" wrapText="1"/>
    </xf>
    <xf numFmtId="1" fontId="21" fillId="77" borderId="732" xfId="0" applyNumberFormat="1" applyFont="1" applyFill="1" applyBorder="1" applyAlignment="1" applyProtection="1">
      <alignment horizontal="center" vertical="center" wrapText="1"/>
    </xf>
    <xf numFmtId="1" fontId="21" fillId="77" borderId="835" xfId="0" applyNumberFormat="1" applyFont="1" applyFill="1" applyBorder="1" applyAlignment="1" applyProtection="1">
      <alignment horizontal="center" vertical="center" wrapText="1"/>
    </xf>
    <xf numFmtId="0" fontId="19" fillId="8" borderId="871" xfId="6" applyBorder="1" applyProtection="1">
      <alignment horizontal="center" vertical="center" wrapText="1"/>
    </xf>
    <xf numFmtId="0" fontId="19" fillId="8" borderId="872" xfId="6" applyBorder="1" applyProtection="1">
      <alignment horizontal="center" vertical="center" wrapText="1"/>
    </xf>
    <xf numFmtId="0" fontId="23" fillId="23" borderId="852" xfId="0" applyFont="1" applyFill="1" applyBorder="1" applyAlignment="1" applyProtection="1">
      <alignment horizontal="left" vertical="top" wrapText="1"/>
    </xf>
    <xf numFmtId="1" fontId="21" fillId="77" borderId="236" xfId="0" applyNumberFormat="1" applyFont="1" applyFill="1" applyBorder="1" applyAlignment="1" applyProtection="1">
      <alignment horizontal="center" vertical="center" wrapText="1"/>
    </xf>
    <xf numFmtId="1" fontId="21" fillId="76" borderId="732" xfId="0" applyNumberFormat="1" applyFont="1" applyFill="1" applyBorder="1" applyAlignment="1" applyProtection="1">
      <alignment horizontal="center" vertical="center" wrapText="1"/>
    </xf>
    <xf numFmtId="1" fontId="21" fillId="76" borderId="236" xfId="0" applyNumberFormat="1" applyFont="1" applyFill="1" applyBorder="1" applyAlignment="1" applyProtection="1">
      <alignment horizontal="center" vertical="center" wrapText="1"/>
    </xf>
    <xf numFmtId="1" fontId="21" fillId="76" borderId="835" xfId="0" applyNumberFormat="1" applyFont="1" applyFill="1" applyBorder="1" applyAlignment="1" applyProtection="1">
      <alignment horizontal="center" vertical="center" wrapText="1"/>
    </xf>
    <xf numFmtId="1" fontId="21" fillId="0" borderId="236" xfId="0" applyNumberFormat="1" applyFont="1" applyBorder="1" applyAlignment="1" applyProtection="1">
      <alignment horizontal="center" vertical="center"/>
      <protection locked="0"/>
    </xf>
    <xf numFmtId="1" fontId="21" fillId="0" borderId="835" xfId="0" applyNumberFormat="1" applyFont="1" applyBorder="1" applyAlignment="1" applyProtection="1">
      <alignment horizontal="center" vertical="center"/>
      <protection locked="0"/>
    </xf>
    <xf numFmtId="1" fontId="21" fillId="0" borderId="236" xfId="0" applyNumberFormat="1" applyFont="1" applyBorder="1" applyAlignment="1" applyProtection="1">
      <alignment horizontal="left" vertical="center"/>
      <protection locked="0"/>
    </xf>
    <xf numFmtId="1" fontId="21" fillId="0" borderId="835" xfId="0" applyNumberFormat="1" applyFont="1" applyBorder="1" applyAlignment="1" applyProtection="1">
      <alignment horizontal="left" vertical="center"/>
      <protection locked="0"/>
    </xf>
    <xf numFmtId="0" fontId="23" fillId="23" borderId="753" xfId="0" applyFont="1" applyFill="1" applyBorder="1" applyAlignment="1" applyProtection="1">
      <alignment horizontal="left" vertical="top" wrapText="1"/>
    </xf>
    <xf numFmtId="0" fontId="23" fillId="23" borderId="747" xfId="0" applyFont="1" applyFill="1" applyBorder="1" applyAlignment="1" applyProtection="1">
      <alignment horizontal="left" vertical="top" wrapText="1"/>
    </xf>
    <xf numFmtId="0" fontId="23" fillId="3" borderId="848" xfId="0" applyFont="1" applyFill="1" applyBorder="1" applyAlignment="1" applyProtection="1">
      <alignment horizontal="left" vertical="top" wrapText="1"/>
    </xf>
    <xf numFmtId="0" fontId="23" fillId="3" borderId="849" xfId="0" applyFont="1" applyFill="1" applyBorder="1" applyAlignment="1" applyProtection="1">
      <alignment horizontal="left" vertical="top" wrapText="1"/>
    </xf>
    <xf numFmtId="0" fontId="23" fillId="23" borderId="381" xfId="0" applyFont="1" applyFill="1" applyBorder="1" applyAlignment="1" applyProtection="1">
      <alignment horizontal="left" vertical="top" wrapText="1"/>
    </xf>
    <xf numFmtId="0" fontId="23" fillId="3" borderId="679" xfId="0" applyFont="1" applyFill="1" applyBorder="1" applyAlignment="1" applyProtection="1">
      <alignment horizontal="left" vertical="top" wrapText="1"/>
    </xf>
    <xf numFmtId="0" fontId="23" fillId="23" borderId="474" xfId="0" applyFont="1" applyFill="1" applyBorder="1" applyAlignment="1" applyProtection="1">
      <alignment horizontal="left" vertical="top" wrapText="1"/>
    </xf>
    <xf numFmtId="0" fontId="23" fillId="3" borderId="753" xfId="0" applyFont="1" applyFill="1" applyBorder="1" applyAlignment="1" applyProtection="1">
      <alignment horizontal="left" vertical="top" wrapText="1"/>
    </xf>
    <xf numFmtId="0" fontId="23" fillId="3" borderId="747" xfId="0" applyFont="1" applyFill="1" applyBorder="1" applyAlignment="1" applyProtection="1">
      <alignment horizontal="left" vertical="top" wrapText="1"/>
    </xf>
    <xf numFmtId="0" fontId="23" fillId="3" borderId="381" xfId="0" applyFont="1" applyFill="1" applyBorder="1" applyAlignment="1" applyProtection="1">
      <alignment horizontal="left" vertical="top" wrapText="1"/>
    </xf>
    <xf numFmtId="0" fontId="23" fillId="0" borderId="753" xfId="0" applyFont="1" applyBorder="1" applyAlignment="1" applyProtection="1">
      <alignment horizontal="left" vertical="top" wrapText="1"/>
    </xf>
    <xf numFmtId="0" fontId="23" fillId="0" borderId="747" xfId="0" applyFont="1" applyBorder="1" applyAlignment="1" applyProtection="1">
      <alignment horizontal="left" vertical="top" wrapText="1"/>
    </xf>
    <xf numFmtId="0" fontId="0" fillId="32" borderId="730" xfId="0" applyFont="1" applyFill="1" applyBorder="1" applyAlignment="1" applyProtection="1">
      <alignment horizontal="left"/>
    </xf>
    <xf numFmtId="0" fontId="0" fillId="32" borderId="747" xfId="0" applyFont="1" applyFill="1" applyBorder="1" applyAlignment="1" applyProtection="1">
      <alignment horizontal="left"/>
    </xf>
    <xf numFmtId="0" fontId="23" fillId="32" borderId="730" xfId="0" applyFont="1" applyFill="1" applyBorder="1" applyAlignment="1" applyProtection="1">
      <alignment horizontal="left"/>
      <protection locked="0"/>
    </xf>
    <xf numFmtId="0" fontId="23" fillId="32" borderId="747" xfId="0" applyFont="1" applyFill="1" applyBorder="1" applyAlignment="1" applyProtection="1">
      <alignment horizontal="left"/>
      <protection locked="0"/>
    </xf>
    <xf numFmtId="0" fontId="23" fillId="32" borderId="26" xfId="0" applyFont="1" applyFill="1" applyBorder="1" applyAlignment="1" applyProtection="1">
      <alignment horizontal="left"/>
    </xf>
    <xf numFmtId="0" fontId="23" fillId="32" borderId="381" xfId="0" applyFont="1" applyFill="1" applyBorder="1" applyAlignment="1" applyProtection="1">
      <alignment horizontal="left"/>
    </xf>
    <xf numFmtId="0" fontId="23" fillId="32" borderId="730" xfId="0" applyFont="1" applyFill="1" applyBorder="1" applyAlignment="1" applyProtection="1">
      <alignment horizontal="left"/>
    </xf>
    <xf numFmtId="0" fontId="23" fillId="32" borderId="747" xfId="0" applyFont="1" applyFill="1" applyBorder="1" applyAlignment="1" applyProtection="1">
      <alignment horizontal="left"/>
    </xf>
    <xf numFmtId="1" fontId="21" fillId="76" borderId="738" xfId="0" applyNumberFormat="1" applyFont="1" applyFill="1" applyBorder="1" applyAlignment="1" applyProtection="1">
      <alignment horizontal="center" vertical="center" wrapText="1"/>
    </xf>
    <xf numFmtId="1" fontId="21" fillId="76" borderId="739" xfId="0" applyNumberFormat="1" applyFont="1" applyFill="1" applyBorder="1" applyAlignment="1" applyProtection="1">
      <alignment horizontal="center" vertical="center" wrapText="1"/>
    </xf>
    <xf numFmtId="1" fontId="21" fillId="76" borderId="237" xfId="0" applyNumberFormat="1" applyFont="1" applyFill="1" applyBorder="1" applyAlignment="1" applyProtection="1">
      <alignment horizontal="center" vertical="center" wrapText="1"/>
    </xf>
    <xf numFmtId="1" fontId="21" fillId="76" borderId="740" xfId="0" applyNumberFormat="1" applyFont="1" applyFill="1" applyBorder="1" applyAlignment="1" applyProtection="1">
      <alignment horizontal="center" vertical="center" wrapText="1"/>
    </xf>
    <xf numFmtId="1" fontId="21" fillId="76" borderId="848" xfId="0" applyNumberFormat="1" applyFont="1" applyFill="1" applyBorder="1" applyAlignment="1" applyProtection="1">
      <alignment horizontal="center" vertical="center" wrapText="1"/>
    </xf>
    <xf numFmtId="1" fontId="21" fillId="76" borderId="849" xfId="0" applyNumberFormat="1" applyFont="1" applyFill="1" applyBorder="1" applyAlignment="1" applyProtection="1">
      <alignment horizontal="center" vertical="center" wrapText="1"/>
    </xf>
    <xf numFmtId="0" fontId="22" fillId="0" borderId="835" xfId="0" applyFont="1" applyBorder="1" applyAlignment="1" applyProtection="1">
      <alignment horizontal="left" vertical="top" wrapText="1"/>
    </xf>
    <xf numFmtId="1" fontId="21" fillId="15" borderId="246" xfId="0" applyNumberFormat="1" applyFont="1" applyFill="1" applyBorder="1" applyAlignment="1" applyProtection="1">
      <alignment horizontal="center" vertical="center" wrapText="1"/>
    </xf>
    <xf numFmtId="1" fontId="21" fillId="15" borderId="768" xfId="0" applyNumberFormat="1" applyFont="1" applyFill="1" applyBorder="1" applyAlignment="1" applyProtection="1">
      <alignment horizontal="center" vertical="center" wrapText="1"/>
    </xf>
    <xf numFmtId="1" fontId="21" fillId="15" borderId="848" xfId="0" applyNumberFormat="1" applyFont="1" applyFill="1" applyBorder="1" applyAlignment="1" applyProtection="1">
      <alignment horizontal="center" vertical="center" wrapText="1"/>
    </xf>
    <xf numFmtId="1" fontId="21" fillId="15" borderId="849" xfId="0" applyNumberFormat="1" applyFont="1" applyFill="1" applyBorder="1" applyAlignment="1" applyProtection="1">
      <alignment horizontal="center" vertical="center" wrapText="1"/>
    </xf>
    <xf numFmtId="0" fontId="22" fillId="0" borderId="223" xfId="0" applyFont="1" applyBorder="1" applyAlignment="1" applyProtection="1">
      <alignment horizontal="left" vertical="top" wrapText="1"/>
    </xf>
    <xf numFmtId="0" fontId="0" fillId="35" borderId="252" xfId="0" applyFont="1" applyFill="1" applyBorder="1" applyAlignment="1">
      <alignment horizontal="center"/>
    </xf>
    <xf numFmtId="0" fontId="0" fillId="35" borderId="223" xfId="0" applyFont="1" applyFill="1" applyBorder="1" applyAlignment="1">
      <alignment horizontal="center"/>
    </xf>
    <xf numFmtId="1" fontId="21" fillId="35" borderId="252" xfId="0" applyNumberFormat="1" applyFont="1" applyFill="1" applyBorder="1" applyAlignment="1" applyProtection="1">
      <alignment horizontal="center" vertical="center" wrapText="1"/>
    </xf>
    <xf numFmtId="1" fontId="21" fillId="35" borderId="223" xfId="0" applyNumberFormat="1" applyFont="1" applyFill="1" applyBorder="1" applyAlignment="1" applyProtection="1">
      <alignment horizontal="center" vertical="center" wrapText="1"/>
    </xf>
    <xf numFmtId="0" fontId="22" fillId="0" borderId="732" xfId="0" applyFont="1" applyBorder="1" applyAlignment="1" applyProtection="1">
      <alignment horizontal="left" vertical="top" wrapText="1" indent="4"/>
    </xf>
    <xf numFmtId="0" fontId="22" fillId="0" borderId="236" xfId="0" applyFont="1" applyBorder="1" applyAlignment="1" applyProtection="1">
      <alignment horizontal="left" vertical="top" wrapText="1" indent="4"/>
    </xf>
    <xf numFmtId="0" fontId="22" fillId="0" borderId="835" xfId="0" applyFont="1" applyBorder="1" applyAlignment="1" applyProtection="1">
      <alignment horizontal="left" vertical="top" wrapText="1" indent="4"/>
    </xf>
    <xf numFmtId="0" fontId="3" fillId="3" borderId="732" xfId="0" applyFont="1" applyFill="1" applyBorder="1" applyAlignment="1">
      <alignment horizontal="center" vertical="center"/>
    </xf>
    <xf numFmtId="0" fontId="3" fillId="3" borderId="835" xfId="0" applyFont="1" applyFill="1" applyBorder="1" applyAlignment="1">
      <alignment horizontal="center" vertical="center"/>
    </xf>
    <xf numFmtId="1" fontId="21" fillId="0" borderId="236" xfId="0" applyNumberFormat="1" applyFont="1" applyBorder="1" applyAlignment="1" applyProtection="1">
      <alignment horizontal="center" vertical="center" wrapText="1"/>
    </xf>
    <xf numFmtId="1" fontId="21" fillId="0" borderId="835" xfId="0" applyNumberFormat="1" applyFont="1" applyBorder="1" applyAlignment="1" applyProtection="1">
      <alignment horizontal="center" vertical="center" wrapText="1"/>
    </xf>
    <xf numFmtId="1" fontId="21" fillId="0" borderId="245" xfId="0" applyNumberFormat="1" applyFont="1" applyFill="1" applyBorder="1" applyAlignment="1" applyProtection="1">
      <alignment horizontal="center" vertical="center" wrapText="1"/>
      <protection locked="0"/>
    </xf>
    <xf numFmtId="1" fontId="21" fillId="0" borderId="766" xfId="0" applyNumberFormat="1" applyFont="1" applyFill="1" applyBorder="1" applyAlignment="1" applyProtection="1">
      <alignment horizontal="center" vertical="center" wrapText="1"/>
      <protection locked="0"/>
    </xf>
    <xf numFmtId="1" fontId="21" fillId="0" borderId="236" xfId="0" applyNumberFormat="1" applyFont="1" applyBorder="1" applyAlignment="1" applyProtection="1">
      <alignment horizontal="left" vertical="center" wrapText="1"/>
      <protection locked="0"/>
    </xf>
    <xf numFmtId="1" fontId="21" fillId="0" borderId="835" xfId="0" applyNumberFormat="1" applyFont="1" applyBorder="1" applyAlignment="1" applyProtection="1">
      <alignment horizontal="left" vertical="center" wrapText="1"/>
      <protection locked="0"/>
    </xf>
    <xf numFmtId="1" fontId="21" fillId="26" borderId="663" xfId="0" applyNumberFormat="1" applyFont="1" applyFill="1" applyBorder="1" applyAlignment="1" applyProtection="1">
      <alignment horizontal="center" vertical="center" wrapText="1"/>
    </xf>
    <xf numFmtId="1" fontId="21" fillId="26" borderId="771" xfId="0" applyNumberFormat="1" applyFont="1" applyFill="1" applyBorder="1" applyAlignment="1" applyProtection="1">
      <alignment horizontal="center" vertical="center" wrapText="1"/>
    </xf>
    <xf numFmtId="0" fontId="23" fillId="35" borderId="766" xfId="0" applyFont="1" applyFill="1" applyBorder="1" applyAlignment="1" applyProtection="1">
      <alignment horizontal="left" vertical="top" wrapText="1"/>
    </xf>
    <xf numFmtId="0" fontId="22" fillId="0" borderId="732" xfId="0" applyFont="1" applyBorder="1" applyAlignment="1" applyProtection="1">
      <alignment horizontal="left" vertical="top" wrapText="1"/>
    </xf>
    <xf numFmtId="1" fontId="21" fillId="50" borderId="732" xfId="0" applyNumberFormat="1" applyFont="1" applyFill="1" applyBorder="1" applyAlignment="1" applyProtection="1">
      <alignment horizontal="center" vertical="center" wrapText="1"/>
      <protection locked="0"/>
    </xf>
    <xf numFmtId="1" fontId="21" fillId="50" borderId="223" xfId="0" applyNumberFormat="1" applyFont="1" applyFill="1" applyBorder="1" applyAlignment="1" applyProtection="1">
      <alignment horizontal="center" vertical="center" wrapText="1"/>
      <protection locked="0"/>
    </xf>
    <xf numFmtId="0" fontId="23" fillId="3" borderId="856" xfId="6" applyFont="1" applyFill="1" applyBorder="1" applyAlignment="1" applyProtection="1">
      <alignment horizontal="left" vertical="top" wrapText="1"/>
    </xf>
    <xf numFmtId="0" fontId="23" fillId="35" borderId="474" xfId="0" applyFont="1" applyFill="1" applyBorder="1" applyAlignment="1" applyProtection="1">
      <alignment horizontal="left" vertical="top" wrapText="1"/>
    </xf>
    <xf numFmtId="0" fontId="23" fillId="0" borderId="738" xfId="0" applyFont="1" applyBorder="1" applyAlignment="1" applyProtection="1">
      <alignment horizontal="left" vertical="top" wrapText="1"/>
    </xf>
    <xf numFmtId="0" fontId="23" fillId="0" borderId="739" xfId="0" applyFont="1" applyBorder="1" applyAlignment="1" applyProtection="1">
      <alignment horizontal="left" vertical="top" wrapText="1"/>
    </xf>
    <xf numFmtId="0" fontId="23" fillId="0" borderId="740" xfId="0" applyFont="1" applyBorder="1" applyAlignment="1" applyProtection="1">
      <alignment horizontal="left" vertical="top" wrapText="1"/>
    </xf>
    <xf numFmtId="0" fontId="23" fillId="0" borderId="848" xfId="0" applyFont="1" applyBorder="1" applyAlignment="1" applyProtection="1">
      <alignment horizontal="left" vertical="top" wrapText="1"/>
    </xf>
    <xf numFmtId="0" fontId="23" fillId="0" borderId="849" xfId="0" applyFont="1" applyBorder="1" applyAlignment="1" applyProtection="1">
      <alignment horizontal="left" vertical="top" wrapText="1"/>
    </xf>
    <xf numFmtId="0" fontId="66" fillId="3" borderId="739" xfId="6" applyFont="1" applyFill="1" applyBorder="1" applyAlignment="1" applyProtection="1">
      <alignment horizontal="center" vertical="center" wrapText="1"/>
    </xf>
    <xf numFmtId="0" fontId="66" fillId="3" borderId="849" xfId="6" applyFont="1" applyFill="1" applyBorder="1" applyAlignment="1" applyProtection="1">
      <alignment horizontal="center" vertical="center" wrapText="1"/>
    </xf>
    <xf numFmtId="1" fontId="21" fillId="0" borderId="732" xfId="0" applyNumberFormat="1" applyFont="1" applyBorder="1" applyAlignment="1" applyProtection="1">
      <alignment horizontal="left" vertical="center" wrapText="1"/>
      <protection locked="0"/>
    </xf>
    <xf numFmtId="1" fontId="21" fillId="0" borderId="732" xfId="0" applyNumberFormat="1" applyFont="1" applyBorder="1" applyAlignment="1" applyProtection="1">
      <alignment horizontal="center" vertical="center" wrapText="1"/>
      <protection locked="0"/>
    </xf>
    <xf numFmtId="1" fontId="21" fillId="0" borderId="835" xfId="0" applyNumberFormat="1" applyFont="1" applyBorder="1" applyAlignment="1" applyProtection="1">
      <alignment horizontal="center" vertical="center" wrapText="1"/>
      <protection locked="0"/>
    </xf>
    <xf numFmtId="1" fontId="21" fillId="76" borderId="753" xfId="0" applyNumberFormat="1" applyFont="1" applyFill="1" applyBorder="1" applyAlignment="1" applyProtection="1">
      <alignment horizontal="center" vertical="center" wrapText="1"/>
    </xf>
    <xf numFmtId="1" fontId="21" fillId="76" borderId="747" xfId="0" applyNumberFormat="1" applyFont="1" applyFill="1" applyBorder="1" applyAlignment="1" applyProtection="1">
      <alignment horizontal="center" vertical="center" wrapText="1"/>
    </xf>
    <xf numFmtId="0" fontId="20" fillId="76" borderId="738" xfId="6" applyFont="1" applyFill="1" applyBorder="1" applyAlignment="1" applyProtection="1">
      <alignment horizontal="center" vertical="center" wrapText="1"/>
    </xf>
    <xf numFmtId="0" fontId="20" fillId="76" borderId="739" xfId="6" applyFont="1" applyFill="1" applyBorder="1" applyAlignment="1" applyProtection="1">
      <alignment horizontal="center" vertical="center" wrapText="1"/>
    </xf>
    <xf numFmtId="0" fontId="20" fillId="76" borderId="224" xfId="6" applyFont="1" applyFill="1" applyBorder="1" applyAlignment="1" applyProtection="1">
      <alignment horizontal="center" vertical="center" wrapText="1"/>
    </xf>
    <xf numFmtId="0" fontId="20" fillId="76" borderId="381" xfId="6" applyFont="1" applyFill="1" applyBorder="1" applyAlignment="1" applyProtection="1">
      <alignment horizontal="center" vertical="center" wrapText="1"/>
    </xf>
    <xf numFmtId="0" fontId="19" fillId="8" borderId="753" xfId="6" applyBorder="1" applyProtection="1">
      <alignment horizontal="center" vertical="center" wrapText="1"/>
    </xf>
    <xf numFmtId="0" fontId="19" fillId="8" borderId="730" xfId="6" applyBorder="1" applyProtection="1">
      <alignment horizontal="center" vertical="center" wrapText="1"/>
    </xf>
    <xf numFmtId="0" fontId="19" fillId="8" borderId="747" xfId="6" applyBorder="1" applyProtection="1">
      <alignment horizontal="center" vertical="center" wrapText="1"/>
    </xf>
    <xf numFmtId="0" fontId="19" fillId="8" borderId="753" xfId="6" applyBorder="1" applyAlignment="1" applyProtection="1">
      <alignment horizontal="left" vertical="center" wrapText="1"/>
    </xf>
    <xf numFmtId="0" fontId="19" fillId="8" borderId="730" xfId="6" applyBorder="1" applyAlignment="1" applyProtection="1">
      <alignment horizontal="left" vertical="center" wrapText="1"/>
    </xf>
    <xf numFmtId="0" fontId="19" fillId="8" borderId="747" xfId="6" applyBorder="1" applyAlignment="1" applyProtection="1">
      <alignment horizontal="left" vertical="center" wrapText="1"/>
    </xf>
    <xf numFmtId="0" fontId="23" fillId="0" borderId="679" xfId="0" applyFont="1" applyBorder="1" applyAlignment="1" applyProtection="1">
      <alignment horizontal="left" vertical="top" wrapText="1"/>
    </xf>
    <xf numFmtId="1" fontId="21" fillId="76" borderId="224" xfId="0" applyNumberFormat="1" applyFont="1" applyFill="1" applyBorder="1" applyAlignment="1" applyProtection="1">
      <alignment horizontal="center" vertical="center" wrapText="1"/>
    </xf>
    <xf numFmtId="1" fontId="21" fillId="76" borderId="381" xfId="0" applyNumberFormat="1" applyFont="1" applyFill="1" applyBorder="1" applyAlignment="1" applyProtection="1">
      <alignment horizontal="center" vertical="center" wrapText="1"/>
    </xf>
    <xf numFmtId="0" fontId="21" fillId="0" borderId="753" xfId="0" applyFont="1" applyBorder="1" applyAlignment="1" applyProtection="1">
      <alignment horizontal="right" vertical="top" wrapText="1"/>
    </xf>
    <xf numFmtId="0" fontId="21" fillId="0" borderId="747" xfId="0" applyFont="1" applyBorder="1" applyAlignment="1" applyProtection="1">
      <alignment horizontal="right" vertical="top" wrapText="1"/>
    </xf>
    <xf numFmtId="0" fontId="21" fillId="0" borderId="732" xfId="0" applyFont="1" applyBorder="1" applyAlignment="1" applyProtection="1">
      <alignment horizontal="left" vertical="top" wrapText="1"/>
    </xf>
    <xf numFmtId="0" fontId="21" fillId="0" borderId="223" xfId="0" applyFont="1" applyBorder="1" applyAlignment="1" applyProtection="1">
      <alignment horizontal="left" vertical="top" wrapText="1"/>
    </xf>
    <xf numFmtId="1" fontId="21" fillId="75" borderId="732" xfId="0" applyNumberFormat="1" applyFont="1" applyFill="1" applyBorder="1" applyAlignment="1" applyProtection="1">
      <alignment horizontal="center" vertical="center" wrapText="1"/>
      <protection locked="0"/>
    </xf>
    <xf numFmtId="1" fontId="21" fillId="75" borderId="223" xfId="0" applyNumberFormat="1" applyFont="1" applyFill="1" applyBorder="1" applyAlignment="1" applyProtection="1">
      <alignment horizontal="center" vertical="center" wrapText="1"/>
      <protection locked="0"/>
    </xf>
    <xf numFmtId="1" fontId="21" fillId="77" borderId="223" xfId="0" applyNumberFormat="1" applyFont="1" applyFill="1" applyBorder="1" applyAlignment="1" applyProtection="1">
      <alignment horizontal="center" vertical="center" wrapText="1"/>
    </xf>
    <xf numFmtId="0" fontId="14" fillId="0" borderId="732" xfId="4" applyNumberFormat="1" applyFont="1" applyBorder="1" applyAlignment="1">
      <alignment horizontal="center" vertical="center" wrapText="1"/>
    </xf>
    <xf numFmtId="0" fontId="14" fillId="0" borderId="737" xfId="4" applyNumberFormat="1" applyFont="1" applyBorder="1" applyAlignment="1">
      <alignment horizontal="center" vertical="center" wrapText="1"/>
    </xf>
    <xf numFmtId="1" fontId="21" fillId="0" borderId="785" xfId="0" applyNumberFormat="1" applyFont="1" applyFill="1" applyBorder="1" applyAlignment="1" applyProtection="1">
      <alignment horizontal="center" vertical="center" wrapText="1"/>
      <protection locked="0"/>
    </xf>
    <xf numFmtId="1" fontId="21" fillId="0" borderId="0" xfId="0" applyNumberFormat="1" applyFont="1" applyFill="1" applyBorder="1" applyAlignment="1" applyProtection="1">
      <alignment horizontal="center" vertical="center" wrapText="1"/>
      <protection locked="0"/>
    </xf>
    <xf numFmtId="1" fontId="21" fillId="0" borderId="26" xfId="0" applyNumberFormat="1" applyFont="1" applyFill="1" applyBorder="1" applyAlignment="1" applyProtection="1">
      <alignment horizontal="center" vertical="center" wrapText="1"/>
      <protection locked="0"/>
    </xf>
    <xf numFmtId="1" fontId="23" fillId="3" borderId="738" xfId="0" applyNumberFormat="1" applyFont="1" applyFill="1" applyBorder="1" applyAlignment="1" applyProtection="1">
      <alignment horizontal="left" vertical="top" wrapText="1"/>
    </xf>
    <xf numFmtId="1" fontId="21" fillId="3" borderId="732" xfId="0" applyNumberFormat="1" applyFont="1" applyFill="1" applyBorder="1" applyAlignment="1" applyProtection="1">
      <alignment horizontal="center" vertical="center" wrapText="1"/>
      <protection locked="0"/>
    </xf>
    <xf numFmtId="1" fontId="21" fillId="3" borderId="223" xfId="0" applyNumberFormat="1" applyFont="1" applyFill="1" applyBorder="1" applyAlignment="1" applyProtection="1">
      <alignment horizontal="center" vertical="center" wrapText="1"/>
      <protection locked="0"/>
    </xf>
    <xf numFmtId="0" fontId="23" fillId="0" borderId="753" xfId="0" applyFont="1" applyFill="1" applyBorder="1" applyAlignment="1" applyProtection="1">
      <alignment horizontal="left" vertical="top" wrapText="1"/>
    </xf>
    <xf numFmtId="0" fontId="23" fillId="0" borderId="747" xfId="0" applyFont="1" applyFill="1" applyBorder="1" applyAlignment="1" applyProtection="1">
      <alignment horizontal="left" vertical="top" wrapText="1"/>
    </xf>
    <xf numFmtId="0" fontId="23" fillId="23" borderId="771" xfId="0" applyFont="1" applyFill="1" applyBorder="1" applyAlignment="1" applyProtection="1">
      <alignment horizontal="left" vertical="top" wrapText="1"/>
    </xf>
    <xf numFmtId="0" fontId="23" fillId="3" borderId="766" xfId="0" applyFont="1" applyFill="1" applyBorder="1" applyAlignment="1" applyProtection="1">
      <alignment horizontal="left" vertical="top" wrapText="1"/>
    </xf>
    <xf numFmtId="1" fontId="21" fillId="0" borderId="236" xfId="0" applyNumberFormat="1" applyFont="1" applyBorder="1" applyAlignment="1" applyProtection="1">
      <alignment horizontal="center" vertical="center" wrapText="1"/>
      <protection locked="0"/>
    </xf>
    <xf numFmtId="0" fontId="23" fillId="3" borderId="738" xfId="0" applyNumberFormat="1" applyFont="1" applyFill="1" applyBorder="1" applyAlignment="1" applyProtection="1">
      <alignment horizontal="left" vertical="top" wrapText="1"/>
    </xf>
    <xf numFmtId="0" fontId="23" fillId="3" borderId="739" xfId="0" applyNumberFormat="1" applyFont="1" applyFill="1" applyBorder="1" applyAlignment="1" applyProtection="1">
      <alignment horizontal="left" vertical="top" wrapText="1"/>
    </xf>
    <xf numFmtId="0" fontId="23" fillId="3" borderId="740" xfId="0" applyNumberFormat="1" applyFont="1" applyFill="1" applyBorder="1" applyAlignment="1" applyProtection="1">
      <alignment horizontal="left" vertical="top" wrapText="1"/>
    </xf>
    <xf numFmtId="0" fontId="23" fillId="3" borderId="767" xfId="0" applyNumberFormat="1" applyFont="1" applyFill="1" applyBorder="1" applyAlignment="1" applyProtection="1">
      <alignment horizontal="left" vertical="top" wrapText="1"/>
    </xf>
    <xf numFmtId="1" fontId="21" fillId="0" borderId="223" xfId="0" applyNumberFormat="1" applyFont="1" applyBorder="1" applyAlignment="1" applyProtection="1">
      <alignment horizontal="center" vertical="center" wrapText="1"/>
      <protection locked="0"/>
    </xf>
    <xf numFmtId="0" fontId="23" fillId="35" borderId="474" xfId="0" applyFont="1" applyFill="1" applyBorder="1" applyAlignment="1" applyProtection="1">
      <alignment horizontal="left" vertical="top"/>
    </xf>
    <xf numFmtId="0" fontId="23" fillId="0" borderId="381" xfId="0" applyFont="1" applyBorder="1" applyAlignment="1" applyProtection="1">
      <alignment horizontal="left" vertical="top" wrapText="1"/>
    </xf>
    <xf numFmtId="0" fontId="23" fillId="35" borderId="753" xfId="0" applyFont="1" applyFill="1" applyBorder="1" applyAlignment="1" applyProtection="1">
      <alignment horizontal="left" vertical="top" wrapText="1"/>
    </xf>
    <xf numFmtId="0" fontId="23" fillId="35" borderId="747" xfId="0" applyFont="1" applyFill="1" applyBorder="1" applyAlignment="1" applyProtection="1">
      <alignment horizontal="left" vertical="top" wrapText="1"/>
    </xf>
    <xf numFmtId="1" fontId="21" fillId="0" borderId="223" xfId="0" applyNumberFormat="1" applyFont="1" applyBorder="1" applyAlignment="1" applyProtection="1">
      <alignment horizontal="left" vertical="center" wrapText="1"/>
      <protection locked="0"/>
    </xf>
    <xf numFmtId="1" fontId="21" fillId="0" borderId="732" xfId="0" applyNumberFormat="1" applyFont="1" applyFill="1" applyBorder="1" applyAlignment="1" applyProtection="1">
      <alignment horizontal="center" vertical="center" wrapText="1"/>
      <protection locked="0"/>
    </xf>
    <xf numFmtId="1" fontId="21" fillId="0" borderId="236" xfId="0" applyNumberFormat="1" applyFont="1" applyFill="1" applyBorder="1" applyAlignment="1" applyProtection="1">
      <alignment horizontal="center" vertical="center" wrapText="1"/>
      <protection locked="0"/>
    </xf>
    <xf numFmtId="1" fontId="21" fillId="0" borderId="835" xfId="0" applyNumberFormat="1" applyFont="1" applyFill="1" applyBorder="1" applyAlignment="1" applyProtection="1">
      <alignment horizontal="center" vertical="center" wrapText="1"/>
      <protection locked="0"/>
    </xf>
    <xf numFmtId="0" fontId="90" fillId="0" borderId="742" xfId="6" applyFont="1" applyFill="1" applyBorder="1" applyAlignment="1" applyProtection="1">
      <alignment horizontal="left" vertical="top" wrapText="1" indent="1"/>
    </xf>
    <xf numFmtId="0" fontId="90" fillId="0" borderId="859" xfId="6" applyFont="1" applyFill="1" applyBorder="1" applyAlignment="1" applyProtection="1">
      <alignment horizontal="left" vertical="top" wrapText="1" indent="1"/>
    </xf>
    <xf numFmtId="1" fontId="21" fillId="0" borderId="732" xfId="0" applyNumberFormat="1" applyFont="1" applyFill="1" applyBorder="1" applyAlignment="1" applyProtection="1">
      <alignment horizontal="center" vertical="center" wrapText="1"/>
    </xf>
    <xf numFmtId="1" fontId="21" fillId="0" borderId="223" xfId="0" applyNumberFormat="1" applyFont="1" applyFill="1" applyBorder="1" applyAlignment="1" applyProtection="1">
      <alignment horizontal="center" vertical="center" wrapText="1"/>
    </xf>
    <xf numFmtId="0" fontId="66" fillId="3" borderId="111" xfId="6" applyFont="1" applyFill="1" applyBorder="1" applyAlignment="1" applyProtection="1">
      <alignment horizontal="center" vertical="center" wrapText="1"/>
    </xf>
    <xf numFmtId="0" fontId="66" fillId="3" borderId="579" xfId="6" applyFont="1" applyFill="1" applyBorder="1" applyAlignment="1" applyProtection="1">
      <alignment horizontal="center" vertical="center" wrapText="1"/>
    </xf>
    <xf numFmtId="0" fontId="23" fillId="0" borderId="111" xfId="6" applyFont="1" applyFill="1" applyBorder="1" applyAlignment="1" applyProtection="1">
      <alignment horizontal="center" vertical="center" wrapText="1"/>
    </xf>
    <xf numFmtId="0" fontId="23" fillId="0" borderId="579" xfId="6" applyFont="1" applyFill="1" applyBorder="1" applyAlignment="1" applyProtection="1">
      <alignment horizontal="center" vertical="center" wrapText="1"/>
    </xf>
    <xf numFmtId="0" fontId="22" fillId="0" borderId="835" xfId="0" applyFont="1" applyBorder="1" applyAlignment="1" applyProtection="1">
      <alignment horizontal="center" vertical="center" wrapText="1"/>
    </xf>
    <xf numFmtId="0" fontId="13" fillId="3" borderId="111" xfId="6" applyFont="1" applyFill="1" applyBorder="1" applyAlignment="1" applyProtection="1">
      <alignment horizontal="center" vertical="center" wrapText="1"/>
    </xf>
    <xf numFmtId="0" fontId="13" fillId="3" borderId="579" xfId="6" applyFont="1" applyFill="1" applyBorder="1" applyAlignment="1" applyProtection="1">
      <alignment horizontal="center" vertical="center" wrapText="1"/>
    </xf>
    <xf numFmtId="1" fontId="21" fillId="0" borderId="764" xfId="0" applyNumberFormat="1" applyFont="1" applyFill="1" applyBorder="1" applyAlignment="1" applyProtection="1">
      <alignment horizontal="center" vertical="center" wrapText="1"/>
      <protection locked="0"/>
    </xf>
    <xf numFmtId="1" fontId="21" fillId="0" borderId="744" xfId="0" applyNumberFormat="1" applyFont="1" applyFill="1" applyBorder="1" applyAlignment="1" applyProtection="1">
      <alignment horizontal="center" vertical="center" wrapText="1"/>
      <protection locked="0"/>
    </xf>
    <xf numFmtId="1" fontId="21" fillId="75" borderId="765" xfId="0" applyNumberFormat="1" applyFont="1" applyFill="1" applyBorder="1" applyAlignment="1" applyProtection="1">
      <alignment horizontal="center" vertical="center" wrapText="1"/>
      <protection locked="0"/>
    </xf>
    <xf numFmtId="1" fontId="21" fillId="75" borderId="746" xfId="0" applyNumberFormat="1" applyFont="1" applyFill="1" applyBorder="1" applyAlignment="1" applyProtection="1">
      <alignment horizontal="center" vertical="center" wrapText="1"/>
      <protection locked="0"/>
    </xf>
    <xf numFmtId="0" fontId="23" fillId="3" borderId="867" xfId="6" applyFont="1" applyFill="1" applyBorder="1" applyAlignment="1" applyProtection="1">
      <alignment horizontal="left" vertical="top" wrapText="1"/>
    </xf>
    <xf numFmtId="0" fontId="23" fillId="77" borderId="732" xfId="0" applyFont="1" applyFill="1" applyBorder="1" applyAlignment="1" applyProtection="1">
      <alignment horizontal="center" vertical="center" wrapText="1"/>
    </xf>
    <xf numFmtId="0" fontId="23" fillId="77" borderId="223" xfId="0" applyFont="1" applyFill="1" applyBorder="1" applyAlignment="1" applyProtection="1">
      <alignment horizontal="center" vertical="center" wrapText="1"/>
    </xf>
    <xf numFmtId="0" fontId="23" fillId="0" borderId="732" xfId="0" applyFont="1" applyBorder="1" applyAlignment="1" applyProtection="1">
      <alignment horizontal="center" vertical="center" wrapText="1"/>
      <protection locked="0"/>
    </xf>
    <xf numFmtId="0" fontId="23" fillId="0" borderId="223" xfId="0" applyFont="1" applyBorder="1" applyAlignment="1" applyProtection="1">
      <alignment horizontal="center" vertical="center" wrapText="1"/>
      <protection locked="0"/>
    </xf>
    <xf numFmtId="0" fontId="23" fillId="3" borderId="474" xfId="0" applyFont="1" applyFill="1" applyBorder="1" applyAlignment="1" applyProtection="1">
      <alignment horizontal="left" vertical="top" wrapText="1"/>
    </xf>
    <xf numFmtId="1" fontId="21" fillId="0" borderId="223" xfId="0" applyNumberFormat="1" applyFont="1" applyFill="1" applyBorder="1" applyAlignment="1" applyProtection="1">
      <alignment horizontal="center" vertical="center" wrapText="1"/>
      <protection locked="0"/>
    </xf>
    <xf numFmtId="1" fontId="21" fillId="0" borderId="785" xfId="0" applyNumberFormat="1" applyFont="1" applyFill="1" applyBorder="1" applyAlignment="1" applyProtection="1">
      <alignment horizontal="center" vertical="center" wrapText="1"/>
    </xf>
    <xf numFmtId="1" fontId="21" fillId="0" borderId="0" xfId="0" applyNumberFormat="1" applyFont="1" applyFill="1" applyBorder="1" applyAlignment="1" applyProtection="1">
      <alignment horizontal="center" vertical="center" wrapText="1"/>
    </xf>
    <xf numFmtId="1" fontId="21" fillId="0" borderId="26" xfId="0" applyNumberFormat="1" applyFont="1" applyFill="1" applyBorder="1" applyAlignment="1" applyProtection="1">
      <alignment horizontal="center" vertical="center" wrapText="1"/>
    </xf>
    <xf numFmtId="0" fontId="23" fillId="0" borderId="738" xfId="0" applyFont="1" applyFill="1" applyBorder="1" applyAlignment="1" applyProtection="1">
      <alignment horizontal="left" vertical="top" wrapText="1"/>
    </xf>
    <xf numFmtId="0" fontId="23" fillId="0" borderId="739" xfId="0" applyFont="1" applyFill="1" applyBorder="1" applyAlignment="1" applyProtection="1">
      <alignment horizontal="left" vertical="top" wrapText="1"/>
    </xf>
    <xf numFmtId="0" fontId="23" fillId="0" borderId="237" xfId="0" applyFont="1" applyFill="1" applyBorder="1" applyAlignment="1" applyProtection="1">
      <alignment horizontal="left" vertical="top" wrapText="1"/>
    </xf>
    <xf numFmtId="0" fontId="23" fillId="0" borderId="740" xfId="0" applyFont="1" applyFill="1" applyBorder="1" applyAlignment="1" applyProtection="1">
      <alignment horizontal="left" vertical="top" wrapText="1"/>
    </xf>
    <xf numFmtId="0" fontId="23" fillId="0" borderId="848" xfId="0" applyFont="1" applyFill="1" applyBorder="1" applyAlignment="1" applyProtection="1">
      <alignment horizontal="left" vertical="top" wrapText="1"/>
    </xf>
    <xf numFmtId="0" fontId="23" fillId="0" borderId="849" xfId="0" applyFont="1" applyFill="1" applyBorder="1" applyAlignment="1" applyProtection="1">
      <alignment horizontal="left" vertical="top" wrapText="1"/>
    </xf>
    <xf numFmtId="0" fontId="22" fillId="0" borderId="233" xfId="0" applyFont="1" applyBorder="1" applyAlignment="1" applyProtection="1">
      <alignment horizontal="left" vertical="top" wrapText="1"/>
    </xf>
    <xf numFmtId="0" fontId="22" fillId="0" borderId="795" xfId="0" applyFont="1" applyBorder="1" applyAlignment="1" applyProtection="1">
      <alignment horizontal="left" vertical="top" wrapText="1"/>
    </xf>
    <xf numFmtId="0" fontId="22" fillId="0" borderId="474" xfId="0" applyFont="1" applyBorder="1" applyAlignment="1" applyProtection="1">
      <alignment horizontal="left" vertical="top" wrapText="1"/>
    </xf>
    <xf numFmtId="0" fontId="23" fillId="3" borderId="768" xfId="0" applyFont="1" applyFill="1" applyBorder="1" applyAlignment="1" applyProtection="1">
      <alignment horizontal="left" vertical="top" wrapText="1"/>
    </xf>
    <xf numFmtId="0" fontId="23" fillId="35" borderId="734" xfId="0" applyFont="1" applyFill="1" applyBorder="1" applyAlignment="1" applyProtection="1">
      <alignment horizontal="left" vertical="top" wrapText="1"/>
    </xf>
    <xf numFmtId="1" fontId="21" fillId="0" borderId="732" xfId="0" applyNumberFormat="1" applyFont="1" applyBorder="1" applyAlignment="1" applyProtection="1">
      <alignment horizontal="center" vertical="center"/>
      <protection locked="0"/>
    </xf>
    <xf numFmtId="1" fontId="21" fillId="77" borderId="732" xfId="0" applyNumberFormat="1" applyFont="1" applyFill="1" applyBorder="1" applyAlignment="1" applyProtection="1">
      <alignment horizontal="center" vertical="center"/>
    </xf>
    <xf numFmtId="1" fontId="21" fillId="77" borderId="236" xfId="0" applyNumberFormat="1" applyFont="1" applyFill="1" applyBorder="1" applyAlignment="1" applyProtection="1">
      <alignment horizontal="center" vertical="center"/>
    </xf>
    <xf numFmtId="1" fontId="21" fillId="77" borderId="223" xfId="0" applyNumberFormat="1" applyFont="1" applyFill="1" applyBorder="1" applyAlignment="1" applyProtection="1">
      <alignment horizontal="center" vertical="center"/>
    </xf>
    <xf numFmtId="1" fontId="21" fillId="0" borderId="223" xfId="0" applyNumberFormat="1" applyFont="1" applyBorder="1" applyAlignment="1" applyProtection="1">
      <alignment horizontal="center" vertical="center"/>
      <protection locked="0"/>
    </xf>
    <xf numFmtId="0" fontId="23" fillId="3" borderId="732" xfId="0" applyFont="1" applyFill="1" applyBorder="1" applyAlignment="1" applyProtection="1">
      <alignment horizontal="left" vertical="top" wrapText="1"/>
    </xf>
    <xf numFmtId="0" fontId="21" fillId="76" borderId="732" xfId="0" applyFont="1" applyFill="1" applyBorder="1" applyAlignment="1" applyProtection="1">
      <alignment horizontal="center" vertical="center" wrapText="1"/>
    </xf>
    <xf numFmtId="0" fontId="21" fillId="76" borderId="236" xfId="0" applyFont="1" applyFill="1" applyBorder="1" applyAlignment="1" applyProtection="1">
      <alignment horizontal="center" vertical="center" wrapText="1"/>
    </xf>
    <xf numFmtId="0" fontId="21" fillId="76" borderId="223" xfId="0" applyFont="1" applyFill="1" applyBorder="1" applyAlignment="1" applyProtection="1">
      <alignment horizontal="center" vertical="center" wrapText="1"/>
    </xf>
    <xf numFmtId="0" fontId="22" fillId="3" borderId="732" xfId="0" applyFont="1" applyFill="1" applyBorder="1" applyAlignment="1" applyProtection="1">
      <alignment horizontal="center" vertical="center" wrapText="1"/>
    </xf>
    <xf numFmtId="0" fontId="22" fillId="3" borderId="236" xfId="0" applyFont="1" applyFill="1" applyBorder="1" applyAlignment="1" applyProtection="1">
      <alignment horizontal="center" vertical="center" wrapText="1"/>
    </xf>
    <xf numFmtId="1" fontId="21" fillId="3" borderId="732" xfId="0" applyNumberFormat="1" applyFont="1" applyFill="1" applyBorder="1" applyAlignment="1" applyProtection="1">
      <alignment horizontal="center" vertical="center" wrapText="1"/>
    </xf>
    <xf numFmtId="1" fontId="21" fillId="3" borderId="236" xfId="0" applyNumberFormat="1" applyFont="1" applyFill="1" applyBorder="1" applyAlignment="1" applyProtection="1">
      <alignment horizontal="center" vertical="center" wrapText="1"/>
    </xf>
    <xf numFmtId="1" fontId="21" fillId="3" borderId="223" xfId="0" applyNumberFormat="1" applyFont="1" applyFill="1" applyBorder="1" applyAlignment="1" applyProtection="1">
      <alignment horizontal="center" vertical="center" wrapText="1"/>
    </xf>
    <xf numFmtId="1" fontId="21" fillId="3" borderId="236" xfId="0" applyNumberFormat="1" applyFont="1" applyFill="1" applyBorder="1" applyAlignment="1" applyProtection="1">
      <alignment horizontal="center" vertical="center" wrapText="1"/>
      <protection locked="0"/>
    </xf>
    <xf numFmtId="1" fontId="22" fillId="0" borderId="772" xfId="0" applyNumberFormat="1" applyFont="1" applyFill="1" applyBorder="1" applyAlignment="1" applyProtection="1">
      <alignment horizontal="center" vertical="center" wrapText="1"/>
      <protection locked="0"/>
    </xf>
    <xf numFmtId="1" fontId="22" fillId="0" borderId="236" xfId="0" applyNumberFormat="1" applyFont="1" applyFill="1" applyBorder="1" applyAlignment="1" applyProtection="1">
      <alignment horizontal="center" vertical="center" wrapText="1"/>
      <protection locked="0"/>
    </xf>
    <xf numFmtId="1" fontId="22" fillId="0" borderId="835" xfId="0" applyNumberFormat="1" applyFont="1" applyFill="1" applyBorder="1" applyAlignment="1" applyProtection="1">
      <alignment horizontal="center" vertical="center" wrapText="1"/>
      <protection locked="0"/>
    </xf>
    <xf numFmtId="1" fontId="22" fillId="0" borderId="772" xfId="0" applyNumberFormat="1" applyFont="1" applyFill="1" applyBorder="1" applyAlignment="1" applyProtection="1">
      <alignment horizontal="left" vertical="center" wrapText="1"/>
    </xf>
    <xf numFmtId="1" fontId="22" fillId="0" borderId="236" xfId="0" applyNumberFormat="1" applyFont="1" applyFill="1" applyBorder="1" applyAlignment="1" applyProtection="1">
      <alignment horizontal="left" vertical="center" wrapText="1"/>
    </xf>
    <xf numFmtId="1" fontId="22" fillId="0" borderId="835" xfId="0" applyNumberFormat="1" applyFont="1" applyFill="1" applyBorder="1" applyAlignment="1" applyProtection="1">
      <alignment horizontal="left" vertical="center" wrapText="1"/>
    </xf>
    <xf numFmtId="0" fontId="22" fillId="0" borderId="732" xfId="0" applyFont="1" applyBorder="1" applyAlignment="1" applyProtection="1">
      <alignment horizontal="left" vertical="top" wrapText="1" indent="2"/>
    </xf>
    <xf numFmtId="0" fontId="22" fillId="0" borderId="236" xfId="0" applyFont="1" applyBorder="1" applyAlignment="1" applyProtection="1">
      <alignment horizontal="left" vertical="top" wrapText="1" indent="2"/>
    </xf>
    <xf numFmtId="0" fontId="22" fillId="0" borderId="835" xfId="0" applyFont="1" applyBorder="1" applyAlignment="1" applyProtection="1">
      <alignment horizontal="left" vertical="top" wrapText="1" indent="2"/>
    </xf>
    <xf numFmtId="0" fontId="48" fillId="0" borderId="732" xfId="0" applyFont="1" applyBorder="1" applyAlignment="1" applyProtection="1">
      <alignment horizontal="center" vertical="center" wrapText="1"/>
    </xf>
    <xf numFmtId="0" fontId="48" fillId="0" borderId="236" xfId="0" applyFont="1" applyBorder="1" applyAlignment="1" applyProtection="1">
      <alignment horizontal="center" vertical="center" wrapText="1"/>
    </xf>
    <xf numFmtId="0" fontId="48" fillId="0" borderId="835" xfId="0" applyFont="1" applyBorder="1" applyAlignment="1" applyProtection="1">
      <alignment horizontal="center" vertical="center" wrapText="1"/>
    </xf>
    <xf numFmtId="0" fontId="23" fillId="3" borderId="853" xfId="0" applyFont="1" applyFill="1" applyBorder="1" applyAlignment="1" applyProtection="1">
      <alignment horizontal="left" vertical="top" wrapText="1"/>
    </xf>
    <xf numFmtId="1" fontId="55" fillId="0" borderId="743" xfId="0" applyNumberFormat="1" applyFont="1" applyBorder="1" applyAlignment="1" applyProtection="1">
      <alignment horizontal="center" vertical="center" wrapText="1"/>
      <protection locked="0"/>
    </xf>
    <xf numFmtId="1" fontId="55" fillId="0" borderId="579" xfId="0" applyNumberFormat="1" applyFont="1" applyBorder="1" applyAlignment="1" applyProtection="1">
      <alignment horizontal="center" vertical="center" wrapText="1"/>
      <protection locked="0"/>
    </xf>
    <xf numFmtId="0" fontId="21" fillId="76" borderId="835" xfId="0" applyFont="1" applyFill="1" applyBorder="1" applyAlignment="1" applyProtection="1">
      <alignment horizontal="center" vertical="center" wrapText="1"/>
    </xf>
    <xf numFmtId="0" fontId="22" fillId="0" borderId="732" xfId="4" applyNumberFormat="1" applyFont="1" applyBorder="1" applyAlignment="1">
      <alignment horizontal="center" vertical="center" wrapText="1"/>
    </xf>
    <xf numFmtId="0" fontId="22" fillId="0" borderId="223" xfId="4" applyNumberFormat="1" applyFont="1" applyBorder="1" applyAlignment="1">
      <alignment horizontal="center" vertical="center" wrapText="1"/>
    </xf>
    <xf numFmtId="1" fontId="21" fillId="50" borderId="835" xfId="0" applyNumberFormat="1" applyFont="1" applyFill="1" applyBorder="1" applyAlignment="1" applyProtection="1">
      <alignment horizontal="center" vertical="center" wrapText="1"/>
      <protection locked="0"/>
    </xf>
    <xf numFmtId="0" fontId="90" fillId="0" borderId="857" xfId="6" applyFont="1" applyFill="1" applyBorder="1" applyAlignment="1" applyProtection="1">
      <alignment horizontal="left" vertical="top" wrapText="1"/>
    </xf>
    <xf numFmtId="0" fontId="90" fillId="0" borderId="859" xfId="6" applyFont="1" applyFill="1" applyBorder="1" applyAlignment="1" applyProtection="1">
      <alignment horizontal="left" vertical="top" wrapText="1"/>
    </xf>
    <xf numFmtId="1" fontId="21" fillId="75" borderId="236" xfId="0" applyNumberFormat="1" applyFont="1" applyFill="1" applyBorder="1" applyAlignment="1" applyProtection="1">
      <alignment horizontal="center" vertical="center" wrapText="1"/>
      <protection locked="0"/>
    </xf>
    <xf numFmtId="1" fontId="21" fillId="75" borderId="835" xfId="0" applyNumberFormat="1" applyFont="1" applyFill="1" applyBorder="1" applyAlignment="1" applyProtection="1">
      <alignment horizontal="center" vertical="center" wrapText="1"/>
      <protection locked="0"/>
    </xf>
    <xf numFmtId="0" fontId="21" fillId="0" borderId="732" xfId="0" applyFont="1" applyBorder="1" applyAlignment="1" applyProtection="1">
      <alignment horizontal="center" vertical="center" wrapText="1"/>
    </xf>
    <xf numFmtId="0" fontId="21" fillId="0" borderId="223" xfId="0" applyFont="1" applyBorder="1" applyAlignment="1" applyProtection="1">
      <alignment horizontal="center" vertical="center" wrapText="1"/>
    </xf>
    <xf numFmtId="1" fontId="21" fillId="77" borderId="835" xfId="0" applyNumberFormat="1" applyFont="1" applyFill="1" applyBorder="1" applyAlignment="1" applyProtection="1">
      <alignment horizontal="center" vertical="center"/>
    </xf>
    <xf numFmtId="1" fontId="21" fillId="0" borderId="732" xfId="0" applyNumberFormat="1" applyFont="1" applyBorder="1" applyAlignment="1" applyProtection="1">
      <alignment horizontal="left" vertical="center"/>
      <protection locked="0"/>
    </xf>
    <xf numFmtId="1" fontId="21" fillId="0" borderId="223" xfId="0" applyNumberFormat="1" applyFont="1" applyBorder="1" applyAlignment="1" applyProtection="1">
      <alignment horizontal="left" vertical="center"/>
      <protection locked="0"/>
    </xf>
    <xf numFmtId="0" fontId="22" fillId="0" borderId="252" xfId="0" applyFont="1" applyBorder="1" applyAlignment="1" applyProtection="1">
      <alignment vertical="top" wrapText="1"/>
    </xf>
    <xf numFmtId="0" fontId="22" fillId="0" borderId="236" xfId="0" applyFont="1" applyBorder="1" applyAlignment="1" applyProtection="1">
      <alignment vertical="top" wrapText="1"/>
    </xf>
    <xf numFmtId="0" fontId="28" fillId="0" borderId="252" xfId="0" applyFont="1" applyBorder="1" applyAlignment="1" applyProtection="1">
      <alignment horizontal="center" vertical="center" wrapText="1"/>
    </xf>
    <xf numFmtId="0" fontId="28" fillId="0" borderId="236" xfId="0" applyFont="1" applyBorder="1" applyAlignment="1" applyProtection="1">
      <alignment horizontal="center" vertical="center" wrapText="1"/>
    </xf>
    <xf numFmtId="0" fontId="23" fillId="3" borderId="427" xfId="0" applyFont="1" applyFill="1" applyBorder="1" applyAlignment="1" applyProtection="1">
      <alignment horizontal="left" vertical="top" wrapText="1"/>
    </xf>
    <xf numFmtId="0" fontId="22" fillId="0" borderId="732" xfId="0" applyFont="1" applyBorder="1" applyAlignment="1" applyProtection="1">
      <alignment horizontal="center" vertical="center"/>
    </xf>
    <xf numFmtId="0" fontId="22" fillId="0" borderId="223" xfId="0" applyFont="1" applyBorder="1" applyAlignment="1" applyProtection="1">
      <alignment horizontal="center" vertical="center"/>
    </xf>
    <xf numFmtId="0" fontId="22" fillId="0" borderId="732" xfId="0" applyFont="1" applyBorder="1" applyAlignment="1" applyProtection="1">
      <alignment horizontal="left" vertical="top" wrapText="1" indent="8"/>
    </xf>
    <xf numFmtId="0" fontId="22" fillId="0" borderId="223" xfId="0" applyFont="1" applyBorder="1" applyAlignment="1" applyProtection="1">
      <alignment horizontal="left" vertical="top" wrapText="1" indent="8"/>
    </xf>
    <xf numFmtId="0" fontId="66" fillId="0" borderId="732" xfId="0" applyFont="1" applyBorder="1" applyAlignment="1" applyProtection="1">
      <alignment horizontal="center" vertical="center" wrapText="1"/>
    </xf>
    <xf numFmtId="0" fontId="66" fillId="0" borderId="223" xfId="0" applyFont="1" applyBorder="1" applyAlignment="1" applyProtection="1">
      <alignment horizontal="center" vertical="center" wrapText="1"/>
    </xf>
    <xf numFmtId="0" fontId="0" fillId="32" borderId="753" xfId="0" applyFill="1" applyBorder="1" applyAlignment="1" applyProtection="1">
      <alignment horizontal="right"/>
    </xf>
    <xf numFmtId="0" fontId="0" fillId="32" borderId="730" xfId="0" applyFill="1" applyBorder="1" applyAlignment="1"/>
    <xf numFmtId="0" fontId="22" fillId="0" borderId="732" xfId="0" applyFont="1" applyFill="1" applyBorder="1" applyAlignment="1" applyProtection="1">
      <alignment horizontal="center" vertical="center" wrapText="1"/>
      <protection locked="0"/>
    </xf>
    <xf numFmtId="0" fontId="22" fillId="0" borderId="223" xfId="0" applyFont="1" applyFill="1" applyBorder="1" applyAlignment="1" applyProtection="1">
      <alignment horizontal="center" vertical="center" wrapText="1"/>
      <protection locked="0"/>
    </xf>
    <xf numFmtId="0" fontId="23" fillId="0" borderId="830" xfId="0" applyNumberFormat="1" applyFont="1" applyBorder="1" applyAlignment="1" applyProtection="1">
      <alignment horizontal="left" vertical="center" wrapText="1"/>
    </xf>
    <xf numFmtId="0" fontId="23" fillId="0" borderId="890" xfId="0" applyNumberFormat="1" applyFont="1" applyBorder="1" applyAlignment="1" applyProtection="1">
      <alignment horizontal="left" vertical="center" wrapText="1"/>
    </xf>
    <xf numFmtId="0" fontId="0" fillId="0" borderId="0" xfId="0" applyBorder="1" applyAlignment="1" applyProtection="1"/>
    <xf numFmtId="0" fontId="19" fillId="8" borderId="753" xfId="6" applyBorder="1" applyAlignment="1" applyProtection="1">
      <alignment horizontal="center" vertical="center" wrapText="1"/>
    </xf>
    <xf numFmtId="0" fontId="19" fillId="8" borderId="730" xfId="6" applyBorder="1" applyAlignment="1" applyProtection="1">
      <alignment horizontal="center" vertical="center" wrapText="1"/>
    </xf>
    <xf numFmtId="0" fontId="19" fillId="8" borderId="747" xfId="6" applyBorder="1" applyAlignment="1" applyProtection="1">
      <alignment horizontal="center" vertical="center" wrapText="1"/>
    </xf>
    <xf numFmtId="0" fontId="23" fillId="3" borderId="753" xfId="0" applyNumberFormat="1" applyFont="1" applyFill="1" applyBorder="1" applyAlignment="1" applyProtection="1">
      <alignment horizontal="left" vertical="top" wrapText="1"/>
    </xf>
    <xf numFmtId="0" fontId="23" fillId="3" borderId="747" xfId="0" applyNumberFormat="1" applyFont="1" applyFill="1" applyBorder="1" applyAlignment="1" applyProtection="1">
      <alignment horizontal="left" vertical="top" wrapText="1"/>
    </xf>
    <xf numFmtId="1" fontId="21" fillId="3" borderId="835" xfId="0" applyNumberFormat="1" applyFont="1" applyFill="1" applyBorder="1" applyAlignment="1" applyProtection="1">
      <alignment horizontal="center" vertical="center" wrapText="1"/>
      <protection locked="0"/>
    </xf>
    <xf numFmtId="0" fontId="23" fillId="23" borderId="768" xfId="0" applyFont="1" applyFill="1" applyBorder="1" applyAlignment="1" applyProtection="1">
      <alignment horizontal="left" vertical="top" wrapText="1"/>
    </xf>
    <xf numFmtId="0" fontId="23" fillId="35" borderId="753" xfId="0" applyFont="1" applyFill="1" applyBorder="1" applyAlignment="1">
      <alignment horizontal="left" vertical="top" wrapText="1"/>
    </xf>
    <xf numFmtId="0" fontId="23" fillId="35" borderId="747" xfId="0" applyFont="1" applyFill="1" applyBorder="1" applyAlignment="1">
      <alignment horizontal="left" vertical="top" wrapText="1"/>
    </xf>
    <xf numFmtId="0" fontId="22" fillId="23" borderId="848" xfId="0" applyFont="1" applyFill="1" applyBorder="1" applyAlignment="1" applyProtection="1">
      <alignment vertical="top" wrapText="1"/>
    </xf>
    <xf numFmtId="0" fontId="22" fillId="23" borderId="849" xfId="0" applyFont="1" applyFill="1" applyBorder="1" applyAlignment="1" applyProtection="1">
      <alignment vertical="top" wrapText="1"/>
    </xf>
    <xf numFmtId="0" fontId="15" fillId="23" borderId="233" xfId="0" applyFont="1" applyFill="1" applyBorder="1" applyAlignment="1" applyProtection="1">
      <alignment horizontal="center" wrapText="1"/>
    </xf>
    <xf numFmtId="0" fontId="15" fillId="23" borderId="795" xfId="0" applyFont="1" applyFill="1" applyBorder="1" applyAlignment="1" applyProtection="1">
      <alignment horizontal="center" wrapText="1"/>
    </xf>
    <xf numFmtId="0" fontId="15" fillId="23" borderId="474" xfId="0" applyFont="1" applyFill="1" applyBorder="1" applyAlignment="1" applyProtection="1">
      <alignment horizontal="center" wrapText="1"/>
    </xf>
    <xf numFmtId="0" fontId="21" fillId="3" borderId="732" xfId="0" applyFont="1" applyFill="1" applyBorder="1" applyAlignment="1" applyProtection="1">
      <alignment horizontal="center" vertical="center" wrapText="1"/>
      <protection locked="0"/>
    </xf>
    <xf numFmtId="0" fontId="21" fillId="3" borderId="835" xfId="0" applyFont="1" applyFill="1" applyBorder="1" applyAlignment="1" applyProtection="1">
      <alignment horizontal="center" vertical="center" wrapText="1"/>
      <protection locked="0"/>
    </xf>
    <xf numFmtId="0" fontId="23" fillId="35" borderId="738" xfId="0" applyFont="1" applyFill="1" applyBorder="1" applyAlignment="1" applyProtection="1">
      <alignment horizontal="left" vertical="top" wrapText="1"/>
    </xf>
    <xf numFmtId="0" fontId="23" fillId="35" borderId="739" xfId="0" applyFont="1" applyFill="1" applyBorder="1" applyAlignment="1" applyProtection="1">
      <alignment horizontal="left" vertical="top" wrapText="1"/>
    </xf>
    <xf numFmtId="0" fontId="0" fillId="35" borderId="766" xfId="0" applyFont="1" applyFill="1" applyBorder="1"/>
    <xf numFmtId="0" fontId="22" fillId="0" borderId="223" xfId="0" applyFont="1" applyBorder="1" applyAlignment="1" applyProtection="1">
      <alignment horizontal="left" vertical="top" wrapText="1" indent="4"/>
    </xf>
    <xf numFmtId="0" fontId="28" fillId="0" borderId="732" xfId="0" applyFont="1" applyBorder="1" applyAlignment="1" applyProtection="1">
      <alignment horizontal="center" vertical="center" wrapText="1"/>
    </xf>
    <xf numFmtId="0" fontId="28" fillId="0" borderId="223" xfId="0" applyFont="1" applyBorder="1" applyAlignment="1" applyProtection="1">
      <alignment horizontal="center" vertical="center" wrapText="1"/>
    </xf>
    <xf numFmtId="0" fontId="23" fillId="3" borderId="874" xfId="0" applyFont="1" applyFill="1" applyBorder="1" applyAlignment="1" applyProtection="1">
      <alignment horizontal="left" vertical="top" wrapText="1"/>
    </xf>
    <xf numFmtId="0" fontId="19" fillId="8" borderId="871" xfId="6" applyBorder="1" applyAlignment="1" applyProtection="1">
      <alignment horizontal="center" vertical="center" wrapText="1"/>
    </xf>
    <xf numFmtId="0" fontId="19" fillId="8" borderId="872" xfId="6" applyBorder="1" applyAlignment="1" applyProtection="1">
      <alignment horizontal="center" vertical="center" wrapText="1"/>
    </xf>
    <xf numFmtId="0" fontId="21" fillId="3" borderId="245" xfId="0" applyFont="1" applyFill="1" applyBorder="1" applyAlignment="1" applyProtection="1">
      <alignment horizontal="center" vertical="center" wrapText="1"/>
      <protection locked="0"/>
    </xf>
    <xf numFmtId="0" fontId="21" fillId="3" borderId="766" xfId="0" applyFont="1" applyFill="1" applyBorder="1" applyAlignment="1" applyProtection="1">
      <alignment horizontal="center" vertical="center" wrapText="1"/>
      <protection locked="0"/>
    </xf>
    <xf numFmtId="1" fontId="21" fillId="0" borderId="732" xfId="0" applyNumberFormat="1" applyFont="1" applyBorder="1" applyAlignment="1" applyProtection="1">
      <alignment horizontal="left" vertical="center" wrapText="1"/>
    </xf>
    <xf numFmtId="1" fontId="21" fillId="0" borderId="236" xfId="0" applyNumberFormat="1" applyFont="1" applyBorder="1" applyAlignment="1" applyProtection="1">
      <alignment horizontal="left" vertical="center" wrapText="1"/>
    </xf>
    <xf numFmtId="1" fontId="21" fillId="0" borderId="223" xfId="0" applyNumberFormat="1" applyFont="1" applyBorder="1" applyAlignment="1" applyProtection="1">
      <alignment horizontal="left" vertical="center" wrapText="1"/>
    </xf>
    <xf numFmtId="0" fontId="23" fillId="0" borderId="732" xfId="0" applyFont="1" applyBorder="1" applyAlignment="1" applyProtection="1">
      <alignment horizontal="left" vertical="center" wrapText="1"/>
      <protection locked="0"/>
    </xf>
    <xf numFmtId="0" fontId="23" fillId="0" borderId="223" xfId="0" applyFont="1" applyBorder="1" applyAlignment="1" applyProtection="1">
      <alignment horizontal="left" vertical="center" wrapText="1"/>
      <protection locked="0"/>
    </xf>
    <xf numFmtId="0" fontId="30" fillId="77" borderId="732" xfId="0" applyFont="1" applyFill="1" applyBorder="1" applyAlignment="1" applyProtection="1">
      <alignment horizontal="center" vertical="center" wrapText="1"/>
    </xf>
    <xf numFmtId="0" fontId="30" fillId="77" borderId="223" xfId="0" applyFont="1" applyFill="1" applyBorder="1" applyAlignment="1" applyProtection="1">
      <alignment horizontal="center" vertical="center" wrapText="1"/>
    </xf>
    <xf numFmtId="0" fontId="22" fillId="0" borderId="732" xfId="0" applyFont="1" applyFill="1" applyBorder="1" applyAlignment="1" applyProtection="1">
      <alignment horizontal="left" vertical="top" wrapText="1" indent="4"/>
    </xf>
    <xf numFmtId="0" fontId="22" fillId="0" borderId="223" xfId="0" applyFont="1" applyFill="1" applyBorder="1" applyAlignment="1" applyProtection="1">
      <alignment horizontal="left" vertical="top" wrapText="1" indent="4"/>
    </xf>
    <xf numFmtId="1" fontId="21" fillId="0" borderId="738" xfId="0" applyNumberFormat="1" applyFont="1" applyBorder="1" applyAlignment="1" applyProtection="1">
      <alignment horizontal="center" vertical="center" wrapText="1"/>
      <protection locked="0"/>
    </xf>
    <xf numFmtId="1" fontId="21" fillId="0" borderId="739" xfId="0" applyNumberFormat="1" applyFont="1" applyBorder="1" applyAlignment="1" applyProtection="1">
      <alignment horizontal="center" vertical="center" wrapText="1"/>
      <protection locked="0"/>
    </xf>
    <xf numFmtId="1" fontId="21" fillId="0" borderId="224" xfId="0" applyNumberFormat="1" applyFont="1" applyBorder="1" applyAlignment="1" applyProtection="1">
      <alignment horizontal="center" vertical="center" wrapText="1"/>
      <protection locked="0"/>
    </xf>
    <xf numFmtId="1" fontId="21" fillId="0" borderId="381" xfId="0" applyNumberFormat="1" applyFont="1" applyBorder="1" applyAlignment="1" applyProtection="1">
      <alignment horizontal="center" vertical="center" wrapText="1"/>
      <protection locked="0"/>
    </xf>
    <xf numFmtId="0" fontId="22" fillId="0" borderId="732" xfId="0" applyFont="1" applyBorder="1" applyAlignment="1" applyProtection="1">
      <alignment horizontal="left" vertical="top" wrapText="1" indent="3"/>
    </xf>
    <xf numFmtId="0" fontId="22" fillId="0" borderId="223" xfId="0" applyFont="1" applyBorder="1" applyAlignment="1" applyProtection="1">
      <alignment horizontal="left" vertical="top" wrapText="1" indent="3"/>
    </xf>
    <xf numFmtId="0" fontId="13" fillId="11" borderId="850" xfId="0" applyFont="1" applyFill="1" applyBorder="1" applyAlignment="1" applyProtection="1">
      <alignment horizontal="right" vertical="center"/>
    </xf>
    <xf numFmtId="0" fontId="13" fillId="11" borderId="729" xfId="0" applyFont="1" applyFill="1" applyBorder="1" applyAlignment="1" applyProtection="1">
      <alignment horizontal="right" vertical="center"/>
    </xf>
    <xf numFmtId="0" fontId="3" fillId="0" borderId="729" xfId="0" applyFont="1" applyFill="1" applyBorder="1" applyAlignment="1">
      <alignment horizontal="left" vertical="center"/>
    </xf>
    <xf numFmtId="0" fontId="22" fillId="0" borderId="732" xfId="0" applyFont="1" applyBorder="1" applyAlignment="1" applyProtection="1">
      <alignment horizontal="left" vertical="top" wrapText="1" indent="6"/>
    </xf>
    <xf numFmtId="0" fontId="22" fillId="0" borderId="236" xfId="0" applyFont="1" applyBorder="1" applyAlignment="1" applyProtection="1">
      <alignment horizontal="left" vertical="top" wrapText="1" indent="6"/>
    </xf>
    <xf numFmtId="0" fontId="22" fillId="0" borderId="223" xfId="0" applyFont="1" applyBorder="1" applyAlignment="1" applyProtection="1">
      <alignment horizontal="left" vertical="top" wrapText="1" indent="6"/>
    </xf>
    <xf numFmtId="2" fontId="21" fillId="3" borderId="732" xfId="0" applyNumberFormat="1" applyFont="1" applyFill="1" applyBorder="1" applyAlignment="1" applyProtection="1">
      <alignment horizontal="center" vertical="center" wrapText="1"/>
    </xf>
    <xf numFmtId="2" fontId="21" fillId="3" borderId="236" xfId="0" applyNumberFormat="1" applyFont="1" applyFill="1" applyBorder="1" applyAlignment="1" applyProtection="1">
      <alignment horizontal="center" vertical="center" wrapText="1"/>
    </xf>
    <xf numFmtId="2" fontId="21" fillId="3" borderId="223" xfId="0" applyNumberFormat="1" applyFont="1" applyFill="1" applyBorder="1" applyAlignment="1" applyProtection="1">
      <alignment horizontal="center" vertical="center" wrapText="1"/>
    </xf>
    <xf numFmtId="2" fontId="21" fillId="3" borderId="236" xfId="0" applyNumberFormat="1" applyFont="1" applyFill="1" applyBorder="1" applyAlignment="1" applyProtection="1">
      <alignment horizontal="center" vertical="center" wrapText="1"/>
      <protection locked="0"/>
    </xf>
    <xf numFmtId="2" fontId="21" fillId="3" borderId="223" xfId="0" applyNumberFormat="1" applyFont="1" applyFill="1" applyBorder="1" applyAlignment="1" applyProtection="1">
      <alignment horizontal="center" vertical="center" wrapText="1"/>
      <protection locked="0"/>
    </xf>
    <xf numFmtId="0" fontId="23" fillId="3" borderId="738" xfId="0" applyFont="1" applyFill="1" applyBorder="1" applyAlignment="1" applyProtection="1">
      <alignment horizontal="center" vertical="top" wrapText="1"/>
    </xf>
    <xf numFmtId="0" fontId="23" fillId="3" borderId="739" xfId="0" applyFont="1" applyFill="1" applyBorder="1" applyAlignment="1" applyProtection="1">
      <alignment horizontal="center" vertical="top" wrapText="1"/>
    </xf>
    <xf numFmtId="0" fontId="23" fillId="3" borderId="237" xfId="0" applyFont="1" applyFill="1" applyBorder="1" applyAlignment="1" applyProtection="1">
      <alignment horizontal="center" vertical="top" wrapText="1"/>
    </xf>
    <xf numFmtId="0" fontId="23" fillId="3" borderId="740" xfId="0" applyFont="1" applyFill="1" applyBorder="1" applyAlignment="1" applyProtection="1">
      <alignment horizontal="center" vertical="top" wrapText="1"/>
    </xf>
    <xf numFmtId="0" fontId="23" fillId="3" borderId="224" xfId="0" applyFont="1" applyFill="1" applyBorder="1" applyAlignment="1" applyProtection="1">
      <alignment horizontal="center" vertical="top" wrapText="1"/>
    </xf>
    <xf numFmtId="0" fontId="23" fillId="3" borderId="381" xfId="0" applyFont="1" applyFill="1" applyBorder="1" applyAlignment="1" applyProtection="1">
      <alignment horizontal="center" vertical="top" wrapText="1"/>
    </xf>
    <xf numFmtId="0" fontId="13" fillId="0" borderId="732" xfId="0" applyFont="1" applyBorder="1" applyAlignment="1" applyProtection="1">
      <alignment horizontal="left" vertical="top" wrapText="1" indent="4"/>
    </xf>
    <xf numFmtId="0" fontId="13" fillId="0" borderId="236" xfId="0" applyFont="1" applyBorder="1" applyAlignment="1" applyProtection="1">
      <alignment horizontal="left" vertical="top" wrapText="1" indent="4"/>
    </xf>
    <xf numFmtId="0" fontId="13" fillId="0" borderId="835" xfId="0" applyFont="1" applyBorder="1" applyAlignment="1" applyProtection="1">
      <alignment horizontal="left" vertical="top" wrapText="1" indent="4"/>
    </xf>
    <xf numFmtId="0" fontId="13" fillId="0" borderId="732" xfId="0" applyFont="1" applyBorder="1" applyAlignment="1" applyProtection="1">
      <alignment horizontal="center" vertical="center" wrapText="1"/>
    </xf>
    <xf numFmtId="0" fontId="13" fillId="0" borderId="236" xfId="0" applyFont="1" applyBorder="1" applyAlignment="1" applyProtection="1">
      <alignment horizontal="center" vertical="center" wrapText="1"/>
    </xf>
    <xf numFmtId="0" fontId="13" fillId="0" borderId="835" xfId="0" applyFont="1" applyBorder="1" applyAlignment="1" applyProtection="1">
      <alignment horizontal="center" vertical="center" wrapText="1"/>
    </xf>
    <xf numFmtId="0" fontId="50" fillId="35" borderId="753" xfId="6" applyFont="1" applyFill="1" applyBorder="1" applyProtection="1">
      <alignment horizontal="center" vertical="center" wrapText="1"/>
    </xf>
    <xf numFmtId="0" fontId="50" fillId="35" borderId="747" xfId="6" applyFont="1" applyFill="1" applyBorder="1" applyProtection="1">
      <alignment horizontal="center" vertical="center" wrapText="1"/>
    </xf>
    <xf numFmtId="0" fontId="23" fillId="3" borderId="850" xfId="0" applyFont="1" applyFill="1" applyBorder="1" applyAlignment="1" applyProtection="1">
      <alignment horizontal="left" vertical="top" wrapText="1"/>
    </xf>
    <xf numFmtId="0" fontId="23" fillId="3" borderId="851" xfId="0" applyFont="1" applyFill="1" applyBorder="1" applyAlignment="1" applyProtection="1">
      <alignment horizontal="left" vertical="top" wrapText="1"/>
    </xf>
    <xf numFmtId="0" fontId="23" fillId="0" borderId="381" xfId="0" applyFont="1" applyFill="1" applyBorder="1" applyAlignment="1" applyProtection="1">
      <alignment horizontal="left" vertical="top" wrapText="1"/>
    </xf>
    <xf numFmtId="0" fontId="23" fillId="0" borderId="679" xfId="0" applyFont="1" applyFill="1" applyBorder="1" applyAlignment="1" applyProtection="1">
      <alignment horizontal="left" vertical="top" wrapText="1"/>
    </xf>
    <xf numFmtId="0" fontId="22" fillId="0" borderId="753" xfId="0" applyFont="1" applyBorder="1" applyAlignment="1" applyProtection="1">
      <alignment horizontal="left" vertical="top" wrapText="1"/>
    </xf>
    <xf numFmtId="0" fontId="0" fillId="0" borderId="730" xfId="0" applyBorder="1" applyAlignment="1">
      <alignment wrapText="1"/>
    </xf>
    <xf numFmtId="0" fontId="23" fillId="0" borderId="246" xfId="0" applyFont="1" applyBorder="1" applyAlignment="1" applyProtection="1">
      <alignment horizontal="center" vertical="top" wrapText="1"/>
    </xf>
    <xf numFmtId="0" fontId="23" fillId="0" borderId="768" xfId="0" applyFont="1" applyBorder="1" applyAlignment="1" applyProtection="1">
      <alignment horizontal="center" vertical="top" wrapText="1"/>
    </xf>
    <xf numFmtId="0" fontId="23" fillId="0" borderId="237" xfId="0" applyFont="1" applyBorder="1" applyAlignment="1" applyProtection="1">
      <alignment horizontal="center" vertical="top" wrapText="1"/>
    </xf>
    <xf numFmtId="0" fontId="23" fillId="0" borderId="740" xfId="0" applyFont="1" applyBorder="1" applyAlignment="1" applyProtection="1">
      <alignment horizontal="center" vertical="top" wrapText="1"/>
    </xf>
    <xf numFmtId="0" fontId="23" fillId="0" borderId="848" xfId="0" applyFont="1" applyBorder="1" applyAlignment="1" applyProtection="1">
      <alignment horizontal="center" vertical="top" wrapText="1"/>
    </xf>
    <xf numFmtId="0" fontId="23" fillId="0" borderId="849" xfId="0" applyFont="1" applyBorder="1" applyAlignment="1" applyProtection="1">
      <alignment horizontal="center" vertical="top" wrapText="1"/>
    </xf>
    <xf numFmtId="0" fontId="22" fillId="23" borderId="233" xfId="0" applyFont="1" applyFill="1" applyBorder="1" applyAlignment="1" applyProtection="1">
      <alignment horizontal="center" vertical="center" wrapText="1"/>
    </xf>
    <xf numFmtId="0" fontId="22" fillId="23" borderId="474" xfId="0" applyFont="1" applyFill="1" applyBorder="1" applyAlignment="1" applyProtection="1">
      <alignment horizontal="center" vertical="center" wrapText="1"/>
    </xf>
    <xf numFmtId="0" fontId="23" fillId="0" borderId="766" xfId="0" applyFont="1" applyBorder="1" applyAlignment="1" applyProtection="1">
      <alignment horizontal="left" vertical="top" wrapText="1"/>
    </xf>
    <xf numFmtId="1" fontId="21" fillId="0" borderId="753" xfId="0" applyNumberFormat="1" applyFont="1" applyBorder="1" applyAlignment="1" applyProtection="1">
      <alignment horizontal="center" vertical="center" wrapText="1"/>
    </xf>
    <xf numFmtId="1" fontId="21" fillId="0" borderId="747" xfId="0" applyNumberFormat="1" applyFont="1" applyBorder="1" applyAlignment="1" applyProtection="1">
      <alignment horizontal="center" vertical="center" wrapText="1"/>
    </xf>
    <xf numFmtId="1" fontId="21" fillId="0" borderId="740" xfId="0" applyNumberFormat="1" applyFont="1" applyBorder="1" applyAlignment="1" applyProtection="1">
      <alignment horizontal="left" vertical="center" wrapText="1"/>
      <protection locked="0"/>
    </xf>
    <xf numFmtId="0" fontId="0" fillId="0" borderId="381" xfId="0" applyBorder="1" applyAlignment="1" applyProtection="1">
      <alignment horizontal="left"/>
      <protection locked="0"/>
    </xf>
    <xf numFmtId="1" fontId="21" fillId="50" borderId="236" xfId="0" applyNumberFormat="1" applyFont="1" applyFill="1" applyBorder="1" applyAlignment="1" applyProtection="1">
      <alignment horizontal="center" vertical="center" wrapText="1"/>
      <protection locked="0"/>
    </xf>
    <xf numFmtId="49" fontId="31" fillId="0" borderId="252" xfId="16" applyFont="1" applyBorder="1" applyAlignment="1">
      <alignment horizontal="center" vertical="center" wrapText="1"/>
    </xf>
    <xf numFmtId="49" fontId="31" fillId="0" borderId="835" xfId="16" applyFont="1" applyBorder="1" applyAlignment="1">
      <alignment horizontal="center" vertical="center" wrapText="1"/>
    </xf>
    <xf numFmtId="1" fontId="21" fillId="0" borderId="252" xfId="0" applyNumberFormat="1" applyFont="1" applyBorder="1" applyAlignment="1" applyProtection="1">
      <alignment horizontal="center" vertical="center" wrapText="1"/>
    </xf>
    <xf numFmtId="0" fontId="23" fillId="42" borderId="571" xfId="6" applyFont="1" applyFill="1" applyBorder="1" applyAlignment="1" applyProtection="1">
      <alignment horizontal="center" vertical="center" wrapText="1"/>
    </xf>
    <xf numFmtId="0" fontId="23" fillId="42" borderId="579" xfId="6" applyFont="1" applyFill="1" applyBorder="1" applyAlignment="1" applyProtection="1">
      <alignment horizontal="center" vertical="center" wrapText="1"/>
    </xf>
    <xf numFmtId="0" fontId="22" fillId="0" borderId="252" xfId="0" applyFont="1" applyBorder="1" applyAlignment="1" applyProtection="1">
      <alignment horizontal="left" vertical="top" wrapText="1" indent="2"/>
    </xf>
    <xf numFmtId="0" fontId="22" fillId="0" borderId="870" xfId="0" applyFont="1" applyBorder="1" applyAlignment="1" applyProtection="1">
      <alignment horizontal="left" vertical="top" wrapText="1"/>
    </xf>
    <xf numFmtId="0" fontId="22" fillId="0" borderId="750" xfId="0" applyFont="1" applyBorder="1" applyAlignment="1" applyProtection="1">
      <alignment horizontal="left" vertical="top" wrapText="1"/>
    </xf>
    <xf numFmtId="0" fontId="22" fillId="0" borderId="751" xfId="0" applyFont="1" applyBorder="1" applyAlignment="1" applyProtection="1">
      <alignment horizontal="left" vertical="top" wrapText="1"/>
    </xf>
    <xf numFmtId="0" fontId="90" fillId="0" borderId="868" xfId="6" applyFont="1" applyFill="1" applyBorder="1" applyAlignment="1" applyProtection="1">
      <alignment horizontal="left" vertical="top" wrapText="1"/>
    </xf>
    <xf numFmtId="0" fontId="90" fillId="0" borderId="58" xfId="6" applyFont="1" applyFill="1" applyBorder="1" applyAlignment="1" applyProtection="1">
      <alignment horizontal="left" vertical="top" wrapText="1"/>
    </xf>
    <xf numFmtId="0" fontId="90" fillId="0" borderId="763" xfId="6" applyFont="1" applyFill="1" applyBorder="1" applyAlignment="1" applyProtection="1">
      <alignment horizontal="left" vertical="top" wrapText="1"/>
    </xf>
    <xf numFmtId="0" fontId="23" fillId="3" borderId="839" xfId="6" applyFont="1" applyFill="1" applyBorder="1" applyAlignment="1" applyProtection="1">
      <alignment horizontal="left" vertical="top" wrapText="1"/>
    </xf>
    <xf numFmtId="0" fontId="23" fillId="35" borderId="862" xfId="6" applyFont="1" applyFill="1" applyBorder="1" applyAlignment="1" applyProtection="1">
      <alignment horizontal="left" vertical="top" wrapText="1"/>
    </xf>
    <xf numFmtId="0" fontId="23" fillId="0" borderId="757" xfId="6" applyFont="1" applyFill="1" applyBorder="1" applyAlignment="1" applyProtection="1">
      <alignment horizontal="center" vertical="center" wrapText="1"/>
      <protection locked="0"/>
    </xf>
    <xf numFmtId="0" fontId="23" fillId="0" borderId="576" xfId="6" applyFont="1" applyFill="1" applyBorder="1" applyAlignment="1" applyProtection="1">
      <alignment horizontal="center" vertical="center" wrapText="1"/>
      <protection locked="0"/>
    </xf>
    <xf numFmtId="0" fontId="90" fillId="0" borderId="742" xfId="6" applyFont="1" applyFill="1" applyBorder="1" applyAlignment="1" applyProtection="1">
      <alignment horizontal="left" vertical="top" wrapText="1" indent="2"/>
    </xf>
    <xf numFmtId="0" fontId="90" fillId="0" borderId="869" xfId="6" applyFont="1" applyFill="1" applyBorder="1" applyAlignment="1" applyProtection="1">
      <alignment horizontal="left" vertical="top" wrapText="1" indent="2"/>
    </xf>
    <xf numFmtId="0" fontId="13" fillId="3" borderId="577" xfId="6" applyFont="1" applyFill="1" applyBorder="1" applyAlignment="1" applyProtection="1">
      <alignment horizontal="center" vertical="center" wrapText="1"/>
    </xf>
    <xf numFmtId="0" fontId="23" fillId="0" borderId="574" xfId="6" applyFont="1" applyFill="1" applyBorder="1" applyAlignment="1" applyProtection="1">
      <alignment horizontal="center" vertical="center" wrapText="1"/>
    </xf>
    <xf numFmtId="0" fontId="23" fillId="0" borderId="578" xfId="6" applyFont="1" applyFill="1" applyBorder="1" applyAlignment="1" applyProtection="1">
      <alignment horizontal="center" vertical="center" wrapText="1"/>
    </xf>
    <xf numFmtId="0" fontId="23" fillId="3" borderId="840" xfId="6" applyFont="1" applyFill="1" applyBorder="1" applyAlignment="1" applyProtection="1">
      <alignment horizontal="left" vertical="top" wrapText="1"/>
    </xf>
    <xf numFmtId="0" fontId="23" fillId="3" borderId="740" xfId="6" applyFont="1" applyFill="1" applyBorder="1" applyAlignment="1" applyProtection="1">
      <alignment horizontal="left" vertical="top" wrapText="1"/>
    </xf>
    <xf numFmtId="0" fontId="23" fillId="3" borderId="860" xfId="6" applyFont="1" applyFill="1" applyBorder="1" applyAlignment="1" applyProtection="1">
      <alignment horizontal="left" vertical="top" wrapText="1"/>
    </xf>
    <xf numFmtId="0" fontId="23" fillId="3" borderId="838" xfId="6" applyFont="1" applyFill="1" applyBorder="1" applyAlignment="1" applyProtection="1">
      <alignment horizontal="left" vertical="top" wrapText="1"/>
    </xf>
    <xf numFmtId="0" fontId="23" fillId="0" borderId="571" xfId="6" applyFont="1" applyFill="1" applyBorder="1" applyAlignment="1" applyProtection="1">
      <alignment horizontal="center" vertical="center" wrapText="1"/>
    </xf>
    <xf numFmtId="0" fontId="90" fillId="3" borderId="742" xfId="6" applyFont="1" applyFill="1" applyBorder="1" applyAlignment="1" applyProtection="1">
      <alignment horizontal="left" vertical="top" wrapText="1"/>
    </xf>
    <xf numFmtId="0" fontId="90" fillId="3" borderId="859" xfId="6" applyFont="1" applyFill="1" applyBorder="1" applyAlignment="1" applyProtection="1">
      <alignment horizontal="left" vertical="top" wrapText="1"/>
    </xf>
    <xf numFmtId="0" fontId="23" fillId="3" borderId="858" xfId="6" applyFont="1" applyFill="1" applyBorder="1" applyAlignment="1" applyProtection="1">
      <alignment horizontal="left" vertical="top" wrapText="1"/>
    </xf>
    <xf numFmtId="1" fontId="21" fillId="0" borderId="835" xfId="0" applyNumberFormat="1" applyFont="1" applyFill="1" applyBorder="1" applyAlignment="1" applyProtection="1">
      <alignment horizontal="center" vertical="center" wrapText="1"/>
    </xf>
    <xf numFmtId="0" fontId="23" fillId="50" borderId="732" xfId="6" applyFont="1" applyFill="1" applyBorder="1" applyAlignment="1" applyProtection="1">
      <alignment horizontal="center" vertical="center" wrapText="1"/>
      <protection locked="0"/>
    </xf>
    <xf numFmtId="0" fontId="23" fillId="50" borderId="746" xfId="6" applyFont="1" applyFill="1" applyBorder="1" applyAlignment="1" applyProtection="1">
      <alignment horizontal="center" vertical="center" wrapText="1"/>
      <protection locked="0"/>
    </xf>
    <xf numFmtId="0" fontId="28" fillId="3" borderId="111" xfId="6" applyFont="1" applyFill="1" applyBorder="1" applyProtection="1">
      <alignment horizontal="center" vertical="center" wrapText="1"/>
    </xf>
    <xf numFmtId="0" fontId="28" fillId="3" borderId="577" xfId="6" applyFont="1" applyFill="1" applyBorder="1" applyProtection="1">
      <alignment horizontal="center" vertical="center" wrapText="1"/>
    </xf>
    <xf numFmtId="0" fontId="23" fillId="0" borderId="745" xfId="6" applyFont="1" applyFill="1" applyBorder="1" applyAlignment="1" applyProtection="1">
      <alignment horizontal="center" vertical="center" wrapText="1"/>
    </xf>
    <xf numFmtId="0" fontId="23" fillId="0" borderId="744" xfId="6" applyFont="1" applyFill="1" applyBorder="1" applyAlignment="1" applyProtection="1">
      <alignment horizontal="center" vertical="center" wrapText="1"/>
    </xf>
    <xf numFmtId="0" fontId="23" fillId="77" borderId="743" xfId="6" applyFont="1" applyFill="1" applyBorder="1" applyAlignment="1" applyProtection="1">
      <alignment horizontal="center" vertical="center" wrapText="1"/>
    </xf>
    <xf numFmtId="0" fontId="23" fillId="77" borderId="704" xfId="6" applyFont="1" applyFill="1" applyBorder="1" applyAlignment="1" applyProtection="1">
      <alignment horizontal="center" vertical="center" wrapText="1"/>
    </xf>
    <xf numFmtId="1" fontId="21" fillId="0" borderId="705" xfId="0" applyNumberFormat="1" applyFont="1" applyBorder="1" applyAlignment="1" applyProtection="1">
      <alignment horizontal="left" vertical="center" wrapText="1"/>
      <protection locked="0"/>
    </xf>
    <xf numFmtId="1" fontId="67" fillId="76" borderId="738" xfId="0" applyNumberFormat="1" applyFont="1" applyFill="1" applyBorder="1" applyAlignment="1" applyProtection="1">
      <alignment horizontal="center" vertical="center" wrapText="1"/>
    </xf>
    <xf numFmtId="1" fontId="67" fillId="76" borderId="739" xfId="0" applyNumberFormat="1" applyFont="1" applyFill="1" applyBorder="1" applyAlignment="1" applyProtection="1">
      <alignment horizontal="center" vertical="center" wrapText="1"/>
    </xf>
    <xf numFmtId="1" fontId="67" fillId="76" borderId="237" xfId="0" applyNumberFormat="1" applyFont="1" applyFill="1" applyBorder="1" applyAlignment="1" applyProtection="1">
      <alignment horizontal="center" vertical="center" wrapText="1"/>
    </xf>
    <xf numFmtId="1" fontId="67" fillId="76" borderId="740" xfId="0" applyNumberFormat="1" applyFont="1" applyFill="1" applyBorder="1" applyAlignment="1" applyProtection="1">
      <alignment horizontal="center" vertical="center" wrapText="1"/>
    </xf>
    <xf numFmtId="1" fontId="67" fillId="76" borderId="676" xfId="0" applyNumberFormat="1" applyFont="1" applyFill="1" applyBorder="1" applyAlignment="1" applyProtection="1">
      <alignment horizontal="center" vertical="center" wrapText="1"/>
    </xf>
    <xf numFmtId="1" fontId="67" fillId="76" borderId="767" xfId="0" applyNumberFormat="1" applyFont="1" applyFill="1" applyBorder="1" applyAlignment="1" applyProtection="1">
      <alignment horizontal="center" vertical="center" wrapText="1"/>
    </xf>
    <xf numFmtId="0" fontId="22" fillId="0" borderId="730" xfId="0" applyFont="1" applyBorder="1" applyAlignment="1" applyProtection="1">
      <alignment horizontal="left" vertical="top" wrapText="1"/>
    </xf>
    <xf numFmtId="0" fontId="22" fillId="0" borderId="747" xfId="0" applyFont="1" applyBorder="1" applyAlignment="1" applyProtection="1">
      <alignment horizontal="left" vertical="top" wrapText="1"/>
    </xf>
    <xf numFmtId="1" fontId="21" fillId="0" borderId="746" xfId="0" applyNumberFormat="1" applyFont="1" applyFill="1" applyBorder="1" applyAlignment="1" applyProtection="1">
      <alignment horizontal="center" vertical="center" wrapText="1"/>
      <protection locked="0"/>
    </xf>
    <xf numFmtId="0" fontId="28" fillId="3" borderId="571" xfId="6" applyFont="1" applyFill="1" applyBorder="1" applyAlignment="1" applyProtection="1">
      <alignment horizontal="center" vertical="center" wrapText="1"/>
    </xf>
    <xf numFmtId="0" fontId="28" fillId="3" borderId="579" xfId="6" applyFont="1" applyFill="1" applyBorder="1" applyAlignment="1" applyProtection="1">
      <alignment horizontal="center" vertical="center" wrapText="1"/>
    </xf>
    <xf numFmtId="0" fontId="19" fillId="8" borderId="678" xfId="6" applyBorder="1" applyProtection="1">
      <alignment horizontal="center" vertical="center" wrapText="1"/>
    </xf>
    <xf numFmtId="0" fontId="19" fillId="8" borderId="852" xfId="6" applyBorder="1" applyProtection="1">
      <alignment horizontal="center" vertical="center" wrapText="1"/>
    </xf>
    <xf numFmtId="1" fontId="21" fillId="0" borderId="738" xfId="0" applyNumberFormat="1" applyFont="1" applyFill="1" applyBorder="1" applyAlignment="1" applyProtection="1">
      <alignment horizontal="center" vertical="center" wrapText="1"/>
      <protection locked="0"/>
    </xf>
    <xf numFmtId="1" fontId="21" fillId="0" borderId="848" xfId="0" applyNumberFormat="1" applyFont="1" applyFill="1" applyBorder="1" applyAlignment="1" applyProtection="1">
      <alignment horizontal="center" vertical="center" wrapText="1"/>
      <protection locked="0"/>
    </xf>
    <xf numFmtId="0" fontId="23" fillId="35" borderId="740" xfId="0" applyFont="1" applyFill="1" applyBorder="1" applyAlignment="1" applyProtection="1">
      <alignment horizontal="left" vertical="top" wrapText="1"/>
    </xf>
    <xf numFmtId="0" fontId="23" fillId="0" borderId="785" xfId="0" applyFont="1" applyBorder="1" applyAlignment="1" applyProtection="1">
      <alignment horizontal="left" vertical="top" wrapText="1"/>
    </xf>
    <xf numFmtId="1" fontId="55" fillId="0" borderId="732" xfId="0" applyNumberFormat="1" applyFont="1" applyBorder="1" applyAlignment="1" applyProtection="1">
      <alignment horizontal="center" vertical="center" wrapText="1"/>
    </xf>
    <xf numFmtId="1" fontId="55" fillId="0" borderId="236" xfId="0" applyNumberFormat="1" applyFont="1" applyBorder="1" applyAlignment="1" applyProtection="1">
      <alignment horizontal="center" vertical="center" wrapText="1"/>
    </xf>
    <xf numFmtId="1" fontId="55" fillId="0" borderId="223" xfId="0" applyNumberFormat="1" applyFont="1" applyBorder="1" applyAlignment="1" applyProtection="1">
      <alignment horizontal="center" vertical="center" wrapText="1"/>
    </xf>
    <xf numFmtId="1" fontId="21" fillId="77" borderId="252" xfId="0" applyNumberFormat="1" applyFont="1" applyFill="1" applyBorder="1" applyAlignment="1" applyProtection="1">
      <alignment horizontal="center" vertical="center" wrapText="1"/>
    </xf>
    <xf numFmtId="1" fontId="21" fillId="76" borderId="252" xfId="0" applyNumberFormat="1" applyFont="1" applyFill="1" applyBorder="1" applyAlignment="1" applyProtection="1">
      <alignment horizontal="center" vertical="center" wrapText="1"/>
    </xf>
    <xf numFmtId="0" fontId="22" fillId="0" borderId="252" xfId="0" applyFont="1" applyFill="1" applyBorder="1" applyAlignment="1" applyProtection="1">
      <alignment horizontal="center" vertical="center"/>
    </xf>
    <xf numFmtId="0" fontId="22" fillId="0" borderId="236" xfId="0" applyFont="1" applyFill="1" applyBorder="1" applyAlignment="1" applyProtection="1">
      <alignment horizontal="center" vertical="center"/>
    </xf>
    <xf numFmtId="0" fontId="22" fillId="0" borderId="835" xfId="0" applyFont="1" applyFill="1" applyBorder="1" applyAlignment="1" applyProtection="1">
      <alignment horizontal="center" vertical="center"/>
    </xf>
    <xf numFmtId="1" fontId="21" fillId="0" borderId="252" xfId="0" applyNumberFormat="1" applyFont="1" applyFill="1" applyBorder="1" applyAlignment="1" applyProtection="1">
      <alignment horizontal="center" vertical="center"/>
    </xf>
    <xf numFmtId="1" fontId="21" fillId="0" borderId="236" xfId="0" applyNumberFormat="1" applyFont="1" applyFill="1" applyBorder="1" applyAlignment="1" applyProtection="1">
      <alignment horizontal="center" vertical="center"/>
    </xf>
    <xf numFmtId="1" fontId="21" fillId="0" borderId="835" xfId="0" applyNumberFormat="1" applyFont="1" applyFill="1" applyBorder="1" applyAlignment="1" applyProtection="1">
      <alignment horizontal="center" vertical="center"/>
    </xf>
    <xf numFmtId="0" fontId="21" fillId="0" borderId="252" xfId="0" applyFont="1" applyBorder="1" applyAlignment="1" applyProtection="1">
      <alignment horizontal="center" vertical="center" wrapText="1"/>
      <protection locked="0"/>
    </xf>
    <xf numFmtId="0" fontId="21" fillId="0" borderId="236" xfId="0" applyFont="1" applyBorder="1" applyAlignment="1" applyProtection="1">
      <alignment horizontal="center" vertical="center" wrapText="1"/>
      <protection locked="0"/>
    </xf>
    <xf numFmtId="0" fontId="21" fillId="0" borderId="835" xfId="0" applyFont="1" applyBorder="1" applyAlignment="1" applyProtection="1">
      <alignment horizontal="center" vertical="center" wrapText="1"/>
      <protection locked="0"/>
    </xf>
    <xf numFmtId="1" fontId="21" fillId="35" borderId="246" xfId="0" applyNumberFormat="1" applyFont="1" applyFill="1" applyBorder="1" applyAlignment="1" applyProtection="1">
      <alignment horizontal="center" vertical="center" wrapText="1"/>
    </xf>
    <xf numFmtId="1" fontId="21" fillId="35" borderId="768" xfId="0" applyNumberFormat="1" applyFont="1" applyFill="1" applyBorder="1" applyAlignment="1" applyProtection="1">
      <alignment horizontal="center" vertical="center" wrapText="1"/>
    </xf>
    <xf numFmtId="1" fontId="21" fillId="35" borderId="224" xfId="0" applyNumberFormat="1" applyFont="1" applyFill="1" applyBorder="1" applyAlignment="1" applyProtection="1">
      <alignment horizontal="center" vertical="center" wrapText="1"/>
    </xf>
    <xf numFmtId="1" fontId="21" fillId="35" borderId="381" xfId="0" applyNumberFormat="1" applyFont="1" applyFill="1" applyBorder="1" applyAlignment="1" applyProtection="1">
      <alignment horizontal="center" vertical="center" wrapText="1"/>
    </xf>
    <xf numFmtId="1" fontId="21" fillId="79" borderId="252" xfId="0" applyNumberFormat="1" applyFont="1" applyFill="1" applyBorder="1" applyAlignment="1" applyProtection="1">
      <alignment horizontal="center" vertical="center" wrapText="1"/>
    </xf>
    <xf numFmtId="1" fontId="21" fillId="79" borderId="236" xfId="0" applyNumberFormat="1" applyFont="1" applyFill="1" applyBorder="1" applyAlignment="1" applyProtection="1">
      <alignment horizontal="center" vertical="center" wrapText="1"/>
    </xf>
    <xf numFmtId="1" fontId="21" fillId="79" borderId="835" xfId="0" applyNumberFormat="1" applyFont="1" applyFill="1" applyBorder="1" applyAlignment="1" applyProtection="1">
      <alignment horizontal="center" vertical="center" wrapText="1"/>
    </xf>
    <xf numFmtId="0" fontId="32" fillId="3" borderId="252" xfId="0" applyFont="1" applyFill="1" applyBorder="1" applyAlignment="1">
      <alignment horizontal="center" vertical="center" wrapText="1"/>
    </xf>
    <xf numFmtId="0" fontId="32" fillId="3" borderId="236" xfId="0" applyFont="1" applyFill="1" applyBorder="1" applyAlignment="1">
      <alignment horizontal="center" vertical="center"/>
    </xf>
    <xf numFmtId="0" fontId="32" fillId="3" borderId="835" xfId="0" applyFont="1" applyFill="1" applyBorder="1" applyAlignment="1">
      <alignment horizontal="center" vertical="center"/>
    </xf>
    <xf numFmtId="0" fontId="90" fillId="3" borderId="857" xfId="6" applyFont="1" applyFill="1" applyBorder="1" applyAlignment="1" applyProtection="1">
      <alignment horizontal="left" vertical="top" wrapText="1"/>
    </xf>
    <xf numFmtId="0" fontId="13" fillId="3" borderId="571" xfId="6" applyFont="1" applyFill="1" applyBorder="1" applyAlignment="1" applyProtection="1">
      <alignment horizontal="center" vertical="center" wrapText="1"/>
    </xf>
    <xf numFmtId="0" fontId="23" fillId="0" borderId="111" xfId="6" applyFont="1" applyFill="1" applyBorder="1" applyAlignment="1" applyProtection="1">
      <alignment horizontal="left" vertical="center" wrapText="1"/>
      <protection locked="0"/>
    </xf>
    <xf numFmtId="0" fontId="23" fillId="0" borderId="704" xfId="6" applyFont="1" applyFill="1" applyBorder="1" applyAlignment="1" applyProtection="1">
      <alignment horizontal="left" vertical="center" wrapText="1"/>
      <protection locked="0"/>
    </xf>
    <xf numFmtId="0" fontId="23" fillId="0" borderId="579" xfId="6" applyFont="1" applyFill="1" applyBorder="1" applyAlignment="1" applyProtection="1">
      <alignment horizontal="left" vertical="center" wrapText="1"/>
      <protection locked="0"/>
    </xf>
    <xf numFmtId="0" fontId="23" fillId="3" borderId="848" xfId="0" applyNumberFormat="1" applyFont="1" applyFill="1" applyBorder="1" applyAlignment="1" applyProtection="1">
      <alignment horizontal="left" vertical="top" wrapText="1"/>
    </xf>
    <xf numFmtId="0" fontId="23" fillId="3" borderId="849" xfId="0" applyNumberFormat="1" applyFont="1" applyFill="1" applyBorder="1" applyAlignment="1" applyProtection="1">
      <alignment horizontal="left" vertical="top" wrapText="1"/>
    </xf>
    <xf numFmtId="0" fontId="21" fillId="0" borderId="732" xfId="0" applyFont="1" applyBorder="1" applyAlignment="1" applyProtection="1">
      <alignment horizontal="left" vertical="center" wrapText="1"/>
      <protection locked="0"/>
    </xf>
    <xf numFmtId="0" fontId="21" fillId="0" borderId="236" xfId="0" applyFont="1" applyBorder="1" applyAlignment="1" applyProtection="1">
      <alignment horizontal="left" vertical="center" wrapText="1"/>
      <protection locked="0"/>
    </xf>
    <xf numFmtId="0" fontId="21" fillId="0" borderId="835" xfId="0" applyFont="1" applyBorder="1" applyAlignment="1" applyProtection="1">
      <alignment horizontal="left" vertical="center" wrapText="1"/>
      <protection locked="0"/>
    </xf>
    <xf numFmtId="0" fontId="22" fillId="0" borderId="753" xfId="0" applyFont="1" applyFill="1" applyBorder="1" applyAlignment="1" applyProtection="1">
      <alignment horizontal="left" vertical="top" wrapText="1"/>
    </xf>
    <xf numFmtId="0" fontId="22" fillId="0" borderId="730" xfId="0" applyFont="1" applyFill="1" applyBorder="1" applyAlignment="1" applyProtection="1">
      <alignment horizontal="left" vertical="top" wrapText="1"/>
    </xf>
    <xf numFmtId="0" fontId="22" fillId="0" borderId="747" xfId="0" applyFont="1" applyFill="1" applyBorder="1" applyAlignment="1" applyProtection="1">
      <alignment horizontal="left" vertical="top" wrapText="1"/>
    </xf>
    <xf numFmtId="1" fontId="21" fillId="75" borderId="252" xfId="0" applyNumberFormat="1" applyFont="1" applyFill="1" applyBorder="1" applyAlignment="1" applyProtection="1">
      <alignment horizontal="center" vertical="center" wrapText="1"/>
      <protection locked="0"/>
    </xf>
    <xf numFmtId="1" fontId="21" fillId="75" borderId="705" xfId="0" applyNumberFormat="1" applyFont="1" applyFill="1" applyBorder="1" applyAlignment="1" applyProtection="1">
      <alignment horizontal="center" vertical="center" wrapText="1"/>
      <protection locked="0"/>
    </xf>
    <xf numFmtId="1" fontId="21" fillId="0" borderId="252" xfId="0" applyNumberFormat="1" applyFont="1" applyBorder="1" applyAlignment="1" applyProtection="1">
      <alignment horizontal="center" vertical="center" wrapText="1"/>
      <protection locked="0"/>
    </xf>
    <xf numFmtId="1" fontId="21" fillId="50" borderId="252" xfId="0" applyNumberFormat="1" applyFont="1" applyFill="1" applyBorder="1" applyAlignment="1" applyProtection="1">
      <alignment horizontal="center" vertical="center" wrapText="1"/>
      <protection locked="0"/>
    </xf>
    <xf numFmtId="0" fontId="23" fillId="35" borderId="839" xfId="6" applyFont="1" applyFill="1" applyBorder="1" applyAlignment="1" applyProtection="1">
      <alignment horizontal="left" vertical="top" wrapText="1"/>
    </xf>
    <xf numFmtId="1" fontId="21" fillId="0" borderId="252" xfId="0" applyNumberFormat="1" applyFont="1" applyFill="1" applyBorder="1" applyAlignment="1" applyProtection="1">
      <alignment horizontal="center" vertical="center" wrapText="1"/>
      <protection locked="0"/>
    </xf>
    <xf numFmtId="1" fontId="21" fillId="0" borderId="705" xfId="0" applyNumberFormat="1" applyFont="1" applyFill="1" applyBorder="1" applyAlignment="1" applyProtection="1">
      <alignment horizontal="center" vertical="center" wrapText="1"/>
      <protection locked="0"/>
    </xf>
    <xf numFmtId="0" fontId="23" fillId="0" borderId="246" xfId="0" applyFont="1" applyBorder="1" applyAlignment="1" applyProtection="1">
      <alignment horizontal="left" vertical="top" wrapText="1"/>
    </xf>
    <xf numFmtId="0" fontId="23" fillId="0" borderId="768" xfId="0" applyFont="1" applyBorder="1" applyAlignment="1" applyProtection="1">
      <alignment horizontal="left" vertical="top" wrapText="1"/>
    </xf>
    <xf numFmtId="0" fontId="23" fillId="0" borderId="676" xfId="0" applyFont="1" applyBorder="1" applyAlignment="1" applyProtection="1">
      <alignment horizontal="left" vertical="top" wrapText="1"/>
    </xf>
    <xf numFmtId="0" fontId="23" fillId="0" borderId="767" xfId="0" applyFont="1" applyBorder="1" applyAlignment="1" applyProtection="1">
      <alignment horizontal="left" vertical="top" wrapText="1"/>
    </xf>
    <xf numFmtId="0" fontId="13" fillId="0" borderId="233" xfId="0" applyFont="1" applyBorder="1" applyAlignment="1">
      <alignment horizontal="left" vertical="top" wrapText="1"/>
    </xf>
    <xf numFmtId="0" fontId="13" fillId="0" borderId="795" xfId="0" applyFont="1" applyBorder="1" applyAlignment="1">
      <alignment horizontal="left" vertical="top" wrapText="1"/>
    </xf>
    <xf numFmtId="0" fontId="13" fillId="0" borderId="474" xfId="0" applyFont="1" applyBorder="1" applyAlignment="1">
      <alignment horizontal="left" vertical="top" wrapText="1"/>
    </xf>
    <xf numFmtId="1" fontId="21" fillId="50" borderId="738" xfId="0" applyNumberFormat="1" applyFont="1" applyFill="1" applyBorder="1" applyAlignment="1" applyProtection="1">
      <alignment horizontal="center" vertical="center" wrapText="1"/>
      <protection locked="0"/>
    </xf>
    <xf numFmtId="1" fontId="21" fillId="50" borderId="237" xfId="0" applyNumberFormat="1" applyFont="1" applyFill="1" applyBorder="1" applyAlignment="1" applyProtection="1">
      <alignment horizontal="center" vertical="center" wrapText="1"/>
      <protection locked="0"/>
    </xf>
    <xf numFmtId="1" fontId="21" fillId="50" borderId="848" xfId="0" applyNumberFormat="1" applyFont="1" applyFill="1" applyBorder="1" applyAlignment="1" applyProtection="1">
      <alignment horizontal="center" vertical="center" wrapText="1"/>
      <protection locked="0"/>
    </xf>
    <xf numFmtId="0" fontId="22" fillId="0" borderId="732" xfId="0" applyFont="1" applyFill="1" applyBorder="1" applyAlignment="1" applyProtection="1">
      <alignment horizontal="center" vertical="center" wrapText="1"/>
    </xf>
    <xf numFmtId="0" fontId="22" fillId="0" borderId="835" xfId="0" applyFont="1" applyFill="1" applyBorder="1" applyAlignment="1" applyProtection="1">
      <alignment horizontal="center" vertical="center" wrapText="1"/>
    </xf>
    <xf numFmtId="1" fontId="21" fillId="48" borderId="738" xfId="0" applyNumberFormat="1" applyFont="1" applyFill="1" applyBorder="1" applyAlignment="1" applyProtection="1">
      <alignment horizontal="center" vertical="center" wrapText="1"/>
    </xf>
    <xf numFmtId="1" fontId="21" fillId="48" borderId="739" xfId="0" applyNumberFormat="1" applyFont="1" applyFill="1" applyBorder="1" applyAlignment="1" applyProtection="1">
      <alignment horizontal="center" vertical="center" wrapText="1"/>
    </xf>
    <xf numFmtId="1" fontId="21" fillId="48" borderId="237" xfId="0" applyNumberFormat="1" applyFont="1" applyFill="1" applyBorder="1" applyAlignment="1" applyProtection="1">
      <alignment horizontal="center" vertical="center" wrapText="1"/>
    </xf>
    <xf numFmtId="1" fontId="21" fillId="48" borderId="740" xfId="0" applyNumberFormat="1" applyFont="1" applyFill="1" applyBorder="1" applyAlignment="1" applyProtection="1">
      <alignment horizontal="center" vertical="center" wrapText="1"/>
    </xf>
    <xf numFmtId="1" fontId="21" fillId="48" borderId="224" xfId="0" applyNumberFormat="1" applyFont="1" applyFill="1" applyBorder="1" applyAlignment="1" applyProtection="1">
      <alignment horizontal="center" vertical="center" wrapText="1"/>
    </xf>
    <xf numFmtId="1" fontId="21" fillId="48" borderId="381" xfId="0" applyNumberFormat="1" applyFont="1" applyFill="1" applyBorder="1" applyAlignment="1" applyProtection="1">
      <alignment horizontal="center" vertical="center" wrapText="1"/>
    </xf>
    <xf numFmtId="0" fontId="22" fillId="0" borderId="223" xfId="0" applyFont="1" applyFill="1" applyBorder="1" applyAlignment="1" applyProtection="1">
      <alignment horizontal="center" vertical="center" wrapText="1"/>
    </xf>
    <xf numFmtId="0" fontId="21" fillId="0" borderId="835" xfId="0" applyFont="1" applyBorder="1" applyAlignment="1" applyProtection="1">
      <alignment horizontal="left" vertical="top" wrapText="1"/>
    </xf>
    <xf numFmtId="0" fontId="23" fillId="23" borderId="679" xfId="0" applyFont="1" applyFill="1" applyBorder="1" applyAlignment="1" applyProtection="1">
      <alignment horizontal="left" vertical="top" wrapText="1"/>
    </xf>
    <xf numFmtId="0" fontId="23" fillId="35" borderId="768" xfId="0" applyFont="1" applyFill="1" applyBorder="1" applyAlignment="1">
      <alignment horizontal="center" vertical="top" wrapText="1"/>
    </xf>
    <xf numFmtId="0" fontId="23" fillId="0" borderId="738" xfId="0" applyFont="1" applyBorder="1" applyAlignment="1">
      <alignment horizontal="left" vertical="top" wrapText="1"/>
    </xf>
    <xf numFmtId="0" fontId="23" fillId="0" borderId="739" xfId="0" applyFont="1" applyBorder="1" applyAlignment="1">
      <alignment horizontal="left" vertical="top" wrapText="1"/>
    </xf>
    <xf numFmtId="0" fontId="23" fillId="0" borderId="740" xfId="0" applyFont="1" applyBorder="1" applyAlignment="1">
      <alignment horizontal="left" vertical="top" wrapText="1"/>
    </xf>
    <xf numFmtId="0" fontId="23" fillId="0" borderId="848" xfId="0" applyFont="1" applyBorder="1" applyAlignment="1">
      <alignment horizontal="left" vertical="top" wrapText="1"/>
    </xf>
    <xf numFmtId="0" fontId="23" fillId="0" borderId="849" xfId="0" applyFont="1" applyBorder="1" applyAlignment="1">
      <alignment horizontal="left" vertical="top" wrapText="1"/>
    </xf>
    <xf numFmtId="0" fontId="22" fillId="0" borderId="224" xfId="0" applyFont="1" applyBorder="1" applyAlignment="1" applyProtection="1">
      <alignment horizontal="left" vertical="top" wrapText="1"/>
    </xf>
    <xf numFmtId="0" fontId="22" fillId="0" borderId="26" xfId="0" applyFont="1" applyBorder="1" applyAlignment="1" applyProtection="1">
      <alignment horizontal="left" vertical="top" wrapText="1"/>
    </xf>
    <xf numFmtId="0" fontId="22" fillId="0" borderId="381" xfId="0" applyFont="1" applyBorder="1" applyAlignment="1" applyProtection="1">
      <alignment horizontal="left" vertical="top" wrapText="1"/>
    </xf>
    <xf numFmtId="0" fontId="23" fillId="23" borderId="753" xfId="0" applyFont="1" applyFill="1" applyBorder="1" applyAlignment="1" applyProtection="1">
      <alignment horizontal="left" vertical="top"/>
    </xf>
    <xf numFmtId="0" fontId="23" fillId="23" borderId="747" xfId="0" applyFont="1" applyFill="1" applyBorder="1" applyAlignment="1" applyProtection="1">
      <alignment horizontal="left" vertical="top"/>
    </xf>
    <xf numFmtId="0" fontId="23" fillId="0" borderId="850" xfId="0" applyFont="1" applyBorder="1" applyAlignment="1" applyProtection="1">
      <alignment horizontal="left" vertical="top" wrapText="1"/>
    </xf>
    <xf numFmtId="0" fontId="23" fillId="0" borderId="851" xfId="0" applyFont="1" applyBorder="1" applyAlignment="1" applyProtection="1">
      <alignment horizontal="left" vertical="top" wrapText="1"/>
    </xf>
    <xf numFmtId="0" fontId="22" fillId="0" borderId="732" xfId="0" applyFont="1" applyBorder="1" applyAlignment="1" applyProtection="1">
      <alignment horizontal="center" vertical="top" wrapText="1"/>
    </xf>
    <xf numFmtId="0" fontId="22" fillId="0" borderId="223" xfId="0" applyFont="1" applyBorder="1" applyAlignment="1" applyProtection="1">
      <alignment horizontal="center" vertical="top" wrapText="1"/>
    </xf>
    <xf numFmtId="0" fontId="22" fillId="0" borderId="835" xfId="0" applyFont="1" applyBorder="1" applyAlignment="1" applyProtection="1">
      <alignment horizontal="center" vertical="center"/>
    </xf>
    <xf numFmtId="0" fontId="23" fillId="23" borderId="474" xfId="0" applyFont="1" applyFill="1" applyBorder="1" applyAlignment="1" applyProtection="1">
      <alignment horizontal="left" vertical="top"/>
    </xf>
    <xf numFmtId="0" fontId="21" fillId="50" borderId="732" xfId="0" applyFont="1" applyFill="1" applyBorder="1" applyAlignment="1" applyProtection="1">
      <alignment horizontal="center" vertical="center" wrapText="1"/>
      <protection locked="0"/>
    </xf>
    <xf numFmtId="0" fontId="21" fillId="50" borderId="223" xfId="0" applyFont="1" applyFill="1" applyBorder="1" applyAlignment="1" applyProtection="1">
      <alignment horizontal="center" vertical="center" wrapText="1"/>
      <protection locked="0"/>
    </xf>
    <xf numFmtId="0" fontId="21" fillId="0" borderId="732" xfId="0" applyFont="1" applyFill="1" applyBorder="1" applyAlignment="1" applyProtection="1">
      <alignment horizontal="center" vertical="center" wrapText="1"/>
      <protection locked="0"/>
    </xf>
    <xf numFmtId="0" fontId="21" fillId="0" borderId="223" xfId="0" applyFont="1" applyFill="1" applyBorder="1" applyAlignment="1" applyProtection="1">
      <alignment horizontal="center" vertical="center" wrapText="1"/>
      <protection locked="0"/>
    </xf>
    <xf numFmtId="0" fontId="23" fillId="0" borderId="233" xfId="0" applyFont="1" applyFill="1" applyBorder="1" applyAlignment="1" applyProtection="1">
      <alignment horizontal="left" vertical="top"/>
    </xf>
    <xf numFmtId="0" fontId="23" fillId="0" borderId="474" xfId="0" applyFont="1" applyFill="1" applyBorder="1" applyAlignment="1" applyProtection="1">
      <alignment horizontal="left" vertical="top"/>
    </xf>
    <xf numFmtId="0" fontId="21" fillId="0" borderId="236" xfId="1" applyNumberFormat="1" applyFont="1" applyBorder="1" applyAlignment="1" applyProtection="1">
      <alignment horizontal="left" vertical="center" wrapText="1"/>
      <protection locked="0"/>
    </xf>
    <xf numFmtId="0" fontId="21" fillId="0" borderId="223" xfId="1" applyNumberFormat="1" applyFont="1" applyBorder="1" applyAlignment="1" applyProtection="1">
      <alignment horizontal="left" vertical="center" wrapText="1"/>
      <protection locked="0"/>
    </xf>
    <xf numFmtId="0" fontId="22" fillId="0" borderId="233" xfId="0" applyFont="1" applyFill="1" applyBorder="1" applyAlignment="1" applyProtection="1">
      <alignment horizontal="center" vertical="center" wrapText="1"/>
      <protection locked="0"/>
    </xf>
    <xf numFmtId="0" fontId="22" fillId="0" borderId="474" xfId="0" applyFont="1" applyFill="1" applyBorder="1" applyAlignment="1" applyProtection="1">
      <alignment horizontal="center" vertical="center" wrapText="1"/>
      <protection locked="0"/>
    </xf>
    <xf numFmtId="0" fontId="22" fillId="0" borderId="233" xfId="0" applyFont="1" applyBorder="1" applyAlignment="1" applyProtection="1">
      <alignment horizontal="left" vertical="center" wrapText="1"/>
    </xf>
    <xf numFmtId="0" fontId="22" fillId="0" borderId="795" xfId="0" applyFont="1" applyBorder="1" applyAlignment="1" applyProtection="1">
      <alignment horizontal="left" vertical="center" wrapText="1"/>
    </xf>
    <xf numFmtId="0" fontId="22" fillId="0" borderId="474" xfId="0" applyFont="1" applyBorder="1" applyAlignment="1" applyProtection="1">
      <alignment horizontal="left" vertical="center" wrapText="1"/>
    </xf>
    <xf numFmtId="1" fontId="22" fillId="0" borderId="732" xfId="0" applyNumberFormat="1" applyFont="1" applyBorder="1" applyAlignment="1" applyProtection="1">
      <alignment horizontal="center" vertical="center" wrapText="1"/>
    </xf>
    <xf numFmtId="1" fontId="22" fillId="0" borderId="223" xfId="0" applyNumberFormat="1" applyFont="1" applyBorder="1" applyAlignment="1" applyProtection="1">
      <alignment horizontal="center" vertical="center" wrapText="1"/>
    </xf>
    <xf numFmtId="0" fontId="22" fillId="0" borderId="738" xfId="0" applyFont="1" applyBorder="1" applyAlignment="1" applyProtection="1">
      <alignment horizontal="left" vertical="top" wrapText="1"/>
    </xf>
    <xf numFmtId="0" fontId="0" fillId="0" borderId="224" xfId="0" applyBorder="1" applyAlignment="1">
      <alignment horizontal="left" vertical="top" wrapText="1"/>
    </xf>
    <xf numFmtId="0" fontId="23" fillId="23" borderId="381" xfId="0" applyFont="1" applyFill="1" applyBorder="1" applyAlignment="1" applyProtection="1">
      <alignment horizontal="left" vertical="top"/>
    </xf>
    <xf numFmtId="0" fontId="0" fillId="0" borderId="223" xfId="0" applyBorder="1" applyAlignment="1">
      <alignment vertical="top" wrapText="1"/>
    </xf>
    <xf numFmtId="0" fontId="0" fillId="50" borderId="223" xfId="0" applyFont="1" applyFill="1" applyBorder="1" applyAlignment="1" applyProtection="1">
      <alignment horizontal="center" vertical="center" wrapText="1"/>
      <protection locked="0"/>
    </xf>
    <xf numFmtId="0" fontId="0" fillId="0" borderId="223" xfId="0" applyBorder="1" applyAlignment="1">
      <alignment wrapText="1"/>
    </xf>
    <xf numFmtId="0" fontId="0" fillId="0" borderId="26" xfId="0" applyBorder="1" applyAlignment="1">
      <alignment horizontal="left" vertical="top" wrapText="1"/>
    </xf>
    <xf numFmtId="0" fontId="0" fillId="0" borderId="381" xfId="0" applyBorder="1" applyAlignment="1">
      <alignment horizontal="left" vertical="top" wrapText="1"/>
    </xf>
    <xf numFmtId="0" fontId="0" fillId="0" borderId="739" xfId="0" applyBorder="1" applyAlignment="1">
      <alignment horizontal="left" vertical="top"/>
    </xf>
    <xf numFmtId="0" fontId="0" fillId="0" borderId="224" xfId="0" applyBorder="1" applyAlignment="1">
      <alignment horizontal="left" vertical="top"/>
    </xf>
    <xf numFmtId="0" fontId="0" fillId="0" borderId="381" xfId="0" applyBorder="1" applyAlignment="1">
      <alignment horizontal="left" vertical="top"/>
    </xf>
    <xf numFmtId="0" fontId="23" fillId="0" borderId="753" xfId="0" applyFont="1" applyFill="1" applyBorder="1" applyAlignment="1" applyProtection="1">
      <alignment horizontal="left" vertical="top"/>
    </xf>
    <xf numFmtId="0" fontId="23" fillId="0" borderId="747" xfId="0" applyFont="1" applyFill="1" applyBorder="1" applyAlignment="1" applyProtection="1">
      <alignment horizontal="left" vertical="top"/>
    </xf>
    <xf numFmtId="0" fontId="0" fillId="0" borderId="0" xfId="0" applyBorder="1" applyAlignment="1">
      <alignment horizontal="right" indent="1"/>
    </xf>
    <xf numFmtId="0" fontId="0" fillId="0" borderId="0" xfId="0" applyFont="1" applyBorder="1" applyAlignment="1">
      <alignment horizontal="right" indent="1"/>
    </xf>
    <xf numFmtId="0" fontId="149" fillId="0" borderId="880" xfId="13" applyFont="1" applyFill="1" applyBorder="1" applyAlignment="1">
      <alignment horizontal="center" vertical="center" wrapText="1"/>
    </xf>
    <xf numFmtId="0" fontId="149" fillId="0" borderId="881" xfId="13" applyFont="1" applyFill="1" applyBorder="1" applyAlignment="1">
      <alignment horizontal="center" vertical="center" wrapText="1"/>
    </xf>
    <xf numFmtId="0" fontId="149" fillId="0" borderId="882" xfId="13" applyFont="1" applyFill="1" applyBorder="1" applyAlignment="1">
      <alignment horizontal="center" vertical="center" wrapText="1"/>
    </xf>
    <xf numFmtId="0" fontId="21" fillId="0" borderId="259" xfId="0" applyFont="1" applyBorder="1" applyAlignment="1" applyProtection="1">
      <alignment horizontal="left" vertical="center"/>
    </xf>
    <xf numFmtId="0" fontId="21" fillId="0" borderId="891" xfId="0" applyFont="1" applyBorder="1" applyAlignment="1" applyProtection="1">
      <alignment horizontal="left" vertical="center"/>
    </xf>
    <xf numFmtId="0" fontId="13" fillId="0" borderId="733" xfId="0" applyFont="1" applyBorder="1" applyAlignment="1" applyProtection="1">
      <alignment horizontal="left" vertical="top" wrapText="1"/>
    </xf>
    <xf numFmtId="0" fontId="13" fillId="0" borderId="841" xfId="0" applyFont="1" applyBorder="1" applyAlignment="1" applyProtection="1">
      <alignment horizontal="left" vertical="top" wrapText="1"/>
    </xf>
    <xf numFmtId="0" fontId="21" fillId="0" borderId="0" xfId="0" applyFont="1" applyBorder="1" applyAlignment="1" applyProtection="1">
      <alignment horizontal="left" vertical="center"/>
    </xf>
    <xf numFmtId="0" fontId="160" fillId="8" borderId="696" xfId="6" applyFont="1" applyBorder="1" applyAlignment="1" applyProtection="1">
      <alignment horizontal="center" vertical="center" wrapText="1"/>
    </xf>
    <xf numFmtId="0" fontId="80" fillId="0" borderId="696" xfId="0" applyFont="1" applyBorder="1" applyAlignment="1">
      <alignment vertical="center"/>
    </xf>
    <xf numFmtId="0" fontId="148" fillId="8" borderId="694" xfId="6" applyFont="1" applyBorder="1" applyAlignment="1" applyProtection="1">
      <alignment horizontal="center" vertical="center" wrapText="1"/>
    </xf>
    <xf numFmtId="0" fontId="148" fillId="8" borderId="693" xfId="6" applyFont="1" applyBorder="1" applyAlignment="1" applyProtection="1">
      <alignment horizontal="center" vertical="center" wrapText="1"/>
    </xf>
    <xf numFmtId="0" fontId="148" fillId="8" borderId="695" xfId="6" applyFont="1" applyBorder="1" applyAlignment="1" applyProtection="1">
      <alignment horizontal="center" vertical="center" wrapText="1"/>
    </xf>
    <xf numFmtId="0" fontId="23" fillId="35" borderId="381" xfId="0" applyFont="1" applyFill="1" applyBorder="1" applyAlignment="1" applyProtection="1">
      <alignment horizontal="left" vertical="top"/>
    </xf>
    <xf numFmtId="0" fontId="23" fillId="0" borderId="753" xfId="0" applyNumberFormat="1" applyFont="1" applyBorder="1" applyAlignment="1" applyProtection="1">
      <alignment horizontal="left" vertical="top" wrapText="1"/>
    </xf>
    <xf numFmtId="0" fontId="23" fillId="0" borderId="747" xfId="0" applyNumberFormat="1" applyFont="1" applyBorder="1" applyAlignment="1" applyProtection="1">
      <alignment horizontal="left" vertical="top" wrapText="1"/>
    </xf>
    <xf numFmtId="0" fontId="23" fillId="0" borderId="0" xfId="0" applyFont="1" applyBorder="1" applyAlignment="1" applyProtection="1">
      <alignment horizontal="left" vertical="top" wrapText="1"/>
      <protection locked="0"/>
    </xf>
    <xf numFmtId="0" fontId="23" fillId="0" borderId="740" xfId="0" applyFont="1" applyBorder="1" applyAlignment="1" applyProtection="1">
      <alignment horizontal="left" vertical="top" wrapText="1"/>
      <protection locked="0"/>
    </xf>
    <xf numFmtId="1" fontId="23" fillId="0" borderId="830" xfId="0" applyNumberFormat="1" applyFont="1" applyBorder="1" applyAlignment="1" applyProtection="1">
      <alignment horizontal="left" vertical="center"/>
    </xf>
    <xf numFmtId="0" fontId="23" fillId="0" borderId="830" xfId="0" applyFont="1" applyBorder="1" applyAlignment="1" applyProtection="1">
      <alignment horizontal="left" vertical="center"/>
    </xf>
    <xf numFmtId="0" fontId="148" fillId="8" borderId="842" xfId="6" applyFont="1" applyBorder="1" applyAlignment="1" applyProtection="1">
      <alignment horizontal="center" vertical="center" wrapText="1"/>
    </xf>
    <xf numFmtId="0" fontId="148" fillId="8" borderId="844" xfId="6" applyFont="1" applyBorder="1" applyAlignment="1" applyProtection="1">
      <alignment horizontal="center" vertical="center" wrapText="1"/>
    </xf>
    <xf numFmtId="0" fontId="148" fillId="8" borderId="846" xfId="6" applyFont="1" applyBorder="1" applyAlignment="1" applyProtection="1">
      <alignment horizontal="center" vertical="center" wrapText="1"/>
    </xf>
    <xf numFmtId="1" fontId="0" fillId="0" borderId="0" xfId="0" applyNumberFormat="1" applyFont="1" applyAlignment="1">
      <alignment horizontal="center" vertical="center"/>
    </xf>
    <xf numFmtId="0" fontId="0" fillId="0" borderId="0" xfId="0" applyAlignment="1">
      <alignment horizontal="right" vertical="center"/>
    </xf>
    <xf numFmtId="0" fontId="0" fillId="0" borderId="0" xfId="0" applyFont="1" applyAlignment="1">
      <alignment horizontal="right" vertical="center"/>
    </xf>
    <xf numFmtId="0" fontId="0" fillId="0" borderId="236" xfId="0" applyBorder="1" applyAlignment="1" applyProtection="1">
      <alignment horizontal="center" vertical="center" wrapText="1"/>
      <protection locked="0"/>
    </xf>
    <xf numFmtId="0" fontId="0" fillId="0" borderId="223" xfId="0" applyBorder="1" applyAlignment="1" applyProtection="1">
      <alignment horizontal="center" vertical="center" wrapText="1"/>
      <protection locked="0"/>
    </xf>
    <xf numFmtId="1" fontId="21" fillId="0" borderId="737" xfId="0" applyNumberFormat="1" applyFont="1" applyBorder="1" applyAlignment="1" applyProtection="1">
      <alignment horizontal="center" vertical="center" wrapText="1"/>
      <protection locked="0"/>
    </xf>
    <xf numFmtId="1" fontId="21" fillId="50" borderId="737" xfId="0" applyNumberFormat="1" applyFont="1" applyFill="1" applyBorder="1" applyAlignment="1" applyProtection="1">
      <alignment horizontal="center" vertical="center" wrapText="1"/>
      <protection locked="0"/>
    </xf>
    <xf numFmtId="1" fontId="21" fillId="0" borderId="737" xfId="0" applyNumberFormat="1" applyFont="1" applyBorder="1" applyAlignment="1" applyProtection="1">
      <alignment horizontal="left" vertical="center" wrapText="1"/>
      <protection locked="0"/>
    </xf>
    <xf numFmtId="0" fontId="19" fillId="35" borderId="839" xfId="6" applyFill="1" applyBorder="1" applyAlignment="1" applyProtection="1">
      <alignment horizontal="left" vertical="top" wrapText="1"/>
    </xf>
    <xf numFmtId="0" fontId="87" fillId="3" borderId="839" xfId="6" applyFont="1" applyFill="1" applyBorder="1" applyAlignment="1" applyProtection="1">
      <alignment horizontal="left" vertical="top" wrapText="1"/>
    </xf>
    <xf numFmtId="0" fontId="13" fillId="35" borderId="862" xfId="6" applyFont="1" applyFill="1" applyBorder="1" applyAlignment="1" applyProtection="1">
      <alignment horizontal="left" vertical="top" wrapText="1"/>
    </xf>
    <xf numFmtId="0" fontId="22" fillId="0" borderId="785" xfId="0" applyFont="1" applyBorder="1" applyAlignment="1" applyProtection="1">
      <alignment horizontal="left" vertical="top" wrapText="1"/>
    </xf>
    <xf numFmtId="0" fontId="22" fillId="0" borderId="237" xfId="0" applyFont="1" applyBorder="1" applyAlignment="1" applyProtection="1">
      <alignment horizontal="left" vertical="top" wrapText="1"/>
    </xf>
    <xf numFmtId="167" fontId="21" fillId="11" borderId="241" xfId="10" applyFont="1" applyBorder="1" applyAlignment="1" applyProtection="1">
      <alignment horizontal="left" vertical="top" wrapText="1"/>
    </xf>
    <xf numFmtId="167" fontId="21" fillId="11" borderId="37" xfId="10" applyFont="1" applyBorder="1" applyAlignment="1" applyProtection="1">
      <alignment horizontal="left" vertical="top" wrapText="1"/>
    </xf>
    <xf numFmtId="167" fontId="21" fillId="11" borderId="679" xfId="10" applyFont="1" applyBorder="1" applyAlignment="1" applyProtection="1">
      <alignment horizontal="left" vertical="top" wrapText="1"/>
    </xf>
    <xf numFmtId="0" fontId="90" fillId="3" borderId="854" xfId="6" applyFont="1" applyFill="1" applyBorder="1" applyAlignment="1" applyProtection="1">
      <alignment horizontal="left" vertical="top" wrapText="1"/>
    </xf>
    <xf numFmtId="0" fontId="90" fillId="3" borderId="67" xfId="6" applyFont="1" applyFill="1" applyBorder="1" applyAlignment="1" applyProtection="1">
      <alignment horizontal="left" vertical="top" wrapText="1"/>
    </xf>
    <xf numFmtId="0" fontId="90" fillId="3" borderId="741" xfId="6" applyFont="1" applyFill="1" applyBorder="1" applyAlignment="1" applyProtection="1">
      <alignment horizontal="left" vertical="top" wrapText="1"/>
    </xf>
    <xf numFmtId="0" fontId="90" fillId="3" borderId="861" xfId="6" applyFont="1" applyFill="1" applyBorder="1" applyAlignment="1" applyProtection="1">
      <alignment horizontal="left" vertical="top" wrapText="1"/>
    </xf>
    <xf numFmtId="0" fontId="90" fillId="3" borderId="748" xfId="6" applyFont="1" applyFill="1" applyBorder="1" applyAlignment="1" applyProtection="1">
      <alignment horizontal="left" vertical="top" wrapText="1"/>
    </xf>
    <xf numFmtId="0" fontId="90" fillId="3" borderId="749" xfId="6" applyFont="1" applyFill="1" applyBorder="1" applyAlignment="1" applyProtection="1">
      <alignment horizontal="left" vertical="top" wrapText="1"/>
    </xf>
    <xf numFmtId="0" fontId="13" fillId="0" borderId="733" xfId="0" applyFont="1" applyBorder="1" applyAlignment="1">
      <alignment horizontal="left" vertical="top" wrapText="1"/>
    </xf>
    <xf numFmtId="0" fontId="19" fillId="8" borderId="681" xfId="6" applyBorder="1" applyProtection="1">
      <alignment horizontal="center" vertical="center" wrapText="1"/>
    </xf>
    <xf numFmtId="0" fontId="19" fillId="8" borderId="853" xfId="6" applyBorder="1" applyProtection="1">
      <alignment horizontal="center" vertical="center" wrapText="1"/>
    </xf>
    <xf numFmtId="0" fontId="0" fillId="0" borderId="835" xfId="0" applyBorder="1" applyAlignment="1" applyProtection="1">
      <alignment horizontal="center" vertical="center" wrapText="1"/>
      <protection locked="0"/>
    </xf>
    <xf numFmtId="1" fontId="21" fillId="0" borderId="705" xfId="0" applyNumberFormat="1" applyFont="1" applyBorder="1" applyAlignment="1" applyProtection="1">
      <alignment horizontal="center" vertical="center" wrapText="1"/>
    </xf>
    <xf numFmtId="1" fontId="16" fillId="49" borderId="753" xfId="0" applyNumberFormat="1" applyFont="1" applyFill="1" applyBorder="1" applyAlignment="1" applyProtection="1">
      <alignment horizontal="center" vertical="center" wrapText="1"/>
    </xf>
    <xf numFmtId="1" fontId="16" fillId="49" borderId="747" xfId="0" applyNumberFormat="1" applyFont="1" applyFill="1" applyBorder="1" applyAlignment="1" applyProtection="1">
      <alignment horizontal="center" vertical="center" wrapText="1"/>
    </xf>
    <xf numFmtId="1" fontId="21" fillId="3" borderId="739" xfId="0" applyNumberFormat="1" applyFont="1" applyFill="1" applyBorder="1" applyAlignment="1" applyProtection="1">
      <alignment horizontal="center" vertical="center" wrapText="1"/>
    </xf>
    <xf numFmtId="1" fontId="21" fillId="3" borderId="381" xfId="0" applyNumberFormat="1" applyFont="1" applyFill="1" applyBorder="1" applyAlignment="1" applyProtection="1">
      <alignment horizontal="center" vertical="center" wrapText="1"/>
    </xf>
    <xf numFmtId="1" fontId="21" fillId="49" borderId="732" xfId="0" applyNumberFormat="1" applyFont="1" applyFill="1" applyBorder="1" applyAlignment="1" applyProtection="1">
      <alignment horizontal="center" vertical="center" wrapText="1"/>
    </xf>
    <xf numFmtId="1" fontId="21" fillId="49" borderId="223" xfId="0" applyNumberFormat="1" applyFont="1" applyFill="1" applyBorder="1" applyAlignment="1" applyProtection="1">
      <alignment horizontal="center" vertical="center" wrapText="1"/>
    </xf>
    <xf numFmtId="0" fontId="23" fillId="0" borderId="738" xfId="0" applyFont="1" applyBorder="1" applyAlignment="1" applyProtection="1">
      <alignment horizontal="center" vertical="top" wrapText="1"/>
    </xf>
    <xf numFmtId="0" fontId="23" fillId="0" borderId="739" xfId="0" applyFont="1" applyBorder="1" applyAlignment="1" applyProtection="1">
      <alignment horizontal="center" vertical="top" wrapText="1"/>
    </xf>
    <xf numFmtId="0" fontId="23" fillId="0" borderId="224" xfId="0" applyFont="1" applyBorder="1" applyAlignment="1" applyProtection="1">
      <alignment horizontal="center" vertical="top" wrapText="1"/>
    </xf>
    <xf numFmtId="0" fontId="23" fillId="0" borderId="381" xfId="0" applyFont="1" applyBorder="1" applyAlignment="1" applyProtection="1">
      <alignment horizontal="center" vertical="top" wrapText="1"/>
    </xf>
    <xf numFmtId="0" fontId="21" fillId="0" borderId="732" xfId="0" applyFont="1" applyFill="1" applyBorder="1" applyAlignment="1" applyProtection="1">
      <alignment horizontal="center" vertical="center"/>
      <protection locked="0"/>
    </xf>
    <xf numFmtId="0" fontId="21" fillId="0" borderId="236" xfId="0" applyFont="1" applyFill="1" applyBorder="1" applyAlignment="1" applyProtection="1">
      <alignment horizontal="center" vertical="center"/>
      <protection locked="0"/>
    </xf>
    <xf numFmtId="0" fontId="21" fillId="0" borderId="223" xfId="0" applyFont="1" applyFill="1" applyBorder="1" applyAlignment="1" applyProtection="1">
      <alignment horizontal="center" vertical="center"/>
      <protection locked="0"/>
    </xf>
    <xf numFmtId="0" fontId="21" fillId="0" borderId="732" xfId="1" applyNumberFormat="1" applyFont="1" applyBorder="1" applyAlignment="1" applyProtection="1">
      <alignment horizontal="center" vertical="center" wrapText="1"/>
    </xf>
    <xf numFmtId="0" fontId="21" fillId="0" borderId="223" xfId="1" applyNumberFormat="1" applyFont="1" applyBorder="1" applyAlignment="1" applyProtection="1">
      <alignment horizontal="center" vertical="center" wrapText="1"/>
    </xf>
    <xf numFmtId="0" fontId="21" fillId="23" borderId="732" xfId="0" applyFont="1" applyFill="1" applyBorder="1" applyAlignment="1" applyProtection="1">
      <alignment horizontal="center" vertical="center"/>
      <protection locked="0"/>
    </xf>
    <xf numFmtId="0" fontId="21" fillId="23" borderId="236" xfId="0" applyFont="1" applyFill="1" applyBorder="1" applyAlignment="1" applyProtection="1">
      <alignment horizontal="center" vertical="center"/>
      <protection locked="0"/>
    </xf>
    <xf numFmtId="0" fontId="21" fillId="23" borderId="223" xfId="0" applyFont="1" applyFill="1" applyBorder="1" applyAlignment="1" applyProtection="1">
      <alignment horizontal="center" vertical="center"/>
      <protection locked="0"/>
    </xf>
    <xf numFmtId="0" fontId="22" fillId="0" borderId="835" xfId="0" applyFont="1" applyBorder="1" applyAlignment="1" applyProtection="1">
      <alignment horizontal="center" vertical="top" wrapText="1"/>
    </xf>
    <xf numFmtId="0" fontId="22" fillId="0" borderId="848" xfId="0" applyFont="1" applyBorder="1" applyAlignment="1" applyProtection="1">
      <alignment horizontal="left" vertical="top" wrapText="1"/>
    </xf>
    <xf numFmtId="1" fontId="21" fillId="25" borderId="236" xfId="0" applyNumberFormat="1" applyFont="1" applyFill="1" applyBorder="1" applyAlignment="1" applyProtection="1">
      <alignment horizontal="left" vertical="center" wrapText="1"/>
      <protection locked="0"/>
    </xf>
    <xf numFmtId="1" fontId="21" fillId="25" borderId="835" xfId="0" applyNumberFormat="1" applyFont="1" applyFill="1" applyBorder="1" applyAlignment="1" applyProtection="1">
      <alignment horizontal="left" vertical="center" wrapText="1"/>
      <protection locked="0"/>
    </xf>
    <xf numFmtId="0" fontId="23" fillId="35" borderId="768" xfId="0" applyFont="1" applyFill="1" applyBorder="1" applyAlignment="1" applyProtection="1">
      <alignment horizontal="left" vertical="top" wrapText="1"/>
    </xf>
    <xf numFmtId="0" fontId="30" fillId="50" borderId="732" xfId="0" applyFont="1" applyFill="1" applyBorder="1" applyAlignment="1" applyProtection="1">
      <alignment horizontal="center" vertical="center" wrapText="1"/>
      <protection locked="0"/>
    </xf>
    <xf numFmtId="0" fontId="30" fillId="50" borderId="835" xfId="0" applyFont="1" applyFill="1" applyBorder="1" applyAlignment="1" applyProtection="1">
      <alignment horizontal="center" vertical="center" wrapText="1"/>
      <protection locked="0"/>
    </xf>
    <xf numFmtId="0" fontId="22" fillId="0" borderId="732" xfId="0" applyFont="1" applyBorder="1" applyAlignment="1" applyProtection="1">
      <alignment vertical="top" wrapText="1"/>
    </xf>
    <xf numFmtId="0" fontId="22" fillId="0" borderId="835" xfId="0" applyFont="1" applyBorder="1" applyAlignment="1" applyProtection="1">
      <alignment vertical="top" wrapText="1"/>
    </xf>
    <xf numFmtId="0" fontId="30" fillId="0" borderId="732" xfId="0" applyFont="1" applyBorder="1" applyAlignment="1" applyProtection="1">
      <alignment horizontal="center" vertical="center" wrapText="1"/>
      <protection locked="0"/>
    </xf>
    <xf numFmtId="0" fontId="30" fillId="0" borderId="835" xfId="0" applyFont="1" applyBorder="1" applyAlignment="1" applyProtection="1">
      <alignment horizontal="center" vertical="center" wrapText="1"/>
      <protection locked="0"/>
    </xf>
    <xf numFmtId="1" fontId="21" fillId="42" borderId="732" xfId="0" applyNumberFormat="1" applyFont="1" applyFill="1" applyBorder="1" applyAlignment="1" applyProtection="1">
      <alignment horizontal="center" vertical="center" wrapText="1"/>
      <protection locked="0"/>
    </xf>
    <xf numFmtId="1" fontId="21" fillId="42" borderId="236" xfId="0" applyNumberFormat="1" applyFont="1" applyFill="1" applyBorder="1" applyAlignment="1" applyProtection="1">
      <alignment horizontal="center" vertical="center" wrapText="1"/>
      <protection locked="0"/>
    </xf>
    <xf numFmtId="1" fontId="21" fillId="42" borderId="223" xfId="0" applyNumberFormat="1" applyFont="1" applyFill="1" applyBorder="1" applyAlignment="1" applyProtection="1">
      <alignment horizontal="center" vertical="center" wrapText="1"/>
      <protection locked="0"/>
    </xf>
    <xf numFmtId="0" fontId="22" fillId="0" borderId="245" xfId="0" applyFont="1" applyBorder="1" applyAlignment="1" applyProtection="1">
      <alignment horizontal="left" vertical="top" wrapText="1"/>
    </xf>
    <xf numFmtId="0" fontId="22" fillId="0" borderId="789" xfId="0" applyFont="1" applyBorder="1" applyAlignment="1" applyProtection="1">
      <alignment horizontal="left" vertical="top" wrapText="1"/>
    </xf>
    <xf numFmtId="0" fontId="22" fillId="0" borderId="766" xfId="0" applyFont="1" applyBorder="1" applyAlignment="1" applyProtection="1">
      <alignment horizontal="left" vertical="top" wrapText="1"/>
    </xf>
    <xf numFmtId="0" fontId="66" fillId="3" borderId="732" xfId="4" applyNumberFormat="1" applyFont="1" applyFill="1" applyBorder="1" applyAlignment="1">
      <alignment horizontal="center" vertical="center" wrapText="1"/>
    </xf>
    <xf numFmtId="0" fontId="66" fillId="3" borderId="223" xfId="4" applyNumberFormat="1" applyFont="1" applyFill="1" applyBorder="1" applyAlignment="1">
      <alignment horizontal="center" vertical="center" wrapText="1"/>
    </xf>
    <xf numFmtId="0" fontId="21" fillId="0" borderId="236" xfId="0" applyFont="1" applyBorder="1" applyAlignment="1" applyProtection="1">
      <alignment horizontal="center" vertical="center" wrapText="1"/>
    </xf>
    <xf numFmtId="1" fontId="21" fillId="0" borderId="252" xfId="0" applyNumberFormat="1" applyFont="1" applyFill="1" applyBorder="1" applyAlignment="1" applyProtection="1">
      <alignment horizontal="center" vertical="center" wrapText="1"/>
    </xf>
    <xf numFmtId="0" fontId="21" fillId="0" borderId="252" xfId="0" applyFont="1" applyFill="1" applyBorder="1" applyAlignment="1" applyProtection="1">
      <alignment horizontal="center" vertical="center" wrapText="1"/>
      <protection locked="0"/>
    </xf>
    <xf numFmtId="0" fontId="21" fillId="0" borderId="835" xfId="0" applyFont="1" applyFill="1" applyBorder="1" applyAlignment="1" applyProtection="1">
      <alignment horizontal="center" vertical="center" wrapText="1"/>
      <protection locked="0"/>
    </xf>
    <xf numFmtId="0" fontId="22" fillId="27" borderId="753" xfId="0" applyFont="1" applyFill="1" applyBorder="1" applyAlignment="1" applyProtection="1">
      <alignment horizontal="center" vertical="top" wrapText="1"/>
    </xf>
    <xf numFmtId="0" fontId="22" fillId="27" borderId="730" xfId="0" applyFont="1" applyFill="1" applyBorder="1" applyAlignment="1" applyProtection="1">
      <alignment horizontal="center" vertical="top" wrapText="1"/>
    </xf>
    <xf numFmtId="0" fontId="22" fillId="27" borderId="747" xfId="0" applyFont="1" applyFill="1" applyBorder="1" applyAlignment="1" applyProtection="1">
      <alignment horizontal="center" vertical="top" wrapText="1"/>
    </xf>
    <xf numFmtId="0" fontId="22" fillId="0" borderId="236" xfId="0" applyFont="1" applyBorder="1" applyAlignment="1" applyProtection="1">
      <alignment horizontal="left" vertical="top" wrapText="1" indent="8"/>
    </xf>
    <xf numFmtId="0" fontId="22" fillId="77" borderId="252" xfId="0" applyFont="1" applyFill="1" applyBorder="1" applyAlignment="1" applyProtection="1">
      <alignment horizontal="center" vertical="center" wrapText="1"/>
    </xf>
    <xf numFmtId="0" fontId="22" fillId="77" borderId="835" xfId="0" applyFont="1" applyFill="1" applyBorder="1" applyAlignment="1" applyProtection="1">
      <alignment horizontal="center" vertical="center" wrapText="1"/>
    </xf>
    <xf numFmtId="0" fontId="66" fillId="0" borderId="236" xfId="4" applyNumberFormat="1" applyFont="1" applyBorder="1" applyAlignment="1">
      <alignment horizontal="center" vertical="center" wrapText="1"/>
    </xf>
    <xf numFmtId="0" fontId="66" fillId="0" borderId="223" xfId="4" applyNumberFormat="1" applyFont="1" applyBorder="1" applyAlignment="1">
      <alignment horizontal="center" vertical="center" wrapText="1"/>
    </xf>
    <xf numFmtId="0" fontId="0" fillId="32" borderId="730" xfId="0" applyFill="1" applyBorder="1" applyAlignment="1" applyProtection="1"/>
    <xf numFmtId="0" fontId="23" fillId="35" borderId="732" xfId="0" applyFont="1" applyFill="1" applyBorder="1" applyAlignment="1" applyProtection="1">
      <alignment horizontal="left" vertical="top" wrapText="1"/>
    </xf>
    <xf numFmtId="1" fontId="21" fillId="50" borderId="252" xfId="1" applyNumberFormat="1" applyFont="1" applyFill="1" applyBorder="1" applyAlignment="1" applyProtection="1">
      <alignment horizontal="center" vertical="center" wrapText="1"/>
      <protection locked="0"/>
    </xf>
    <xf numFmtId="1" fontId="21" fillId="50" borderId="835" xfId="1" applyNumberFormat="1" applyFont="1" applyFill="1" applyBorder="1" applyAlignment="1" applyProtection="1">
      <alignment horizontal="center" vertical="center" wrapText="1"/>
      <protection locked="0"/>
    </xf>
    <xf numFmtId="0" fontId="21" fillId="0" borderId="753" xfId="0" applyFont="1" applyBorder="1" applyAlignment="1" applyProtection="1">
      <alignment horizontal="left" vertical="top" wrapText="1"/>
    </xf>
    <xf numFmtId="0" fontId="21" fillId="0" borderId="730" xfId="0" applyFont="1" applyBorder="1" applyAlignment="1" applyProtection="1">
      <alignment horizontal="left" vertical="top" wrapText="1"/>
    </xf>
    <xf numFmtId="0" fontId="21" fillId="0" borderId="747" xfId="0" applyFont="1" applyBorder="1" applyAlignment="1" applyProtection="1">
      <alignment horizontal="left" vertical="top" wrapText="1"/>
    </xf>
    <xf numFmtId="0" fontId="21" fillId="0" borderId="224" xfId="0" applyFont="1" applyBorder="1" applyAlignment="1" applyProtection="1">
      <alignment horizontal="left" vertical="top" wrapText="1"/>
    </xf>
    <xf numFmtId="0" fontId="21" fillId="0" borderId="381" xfId="0" applyFont="1" applyBorder="1" applyAlignment="1" applyProtection="1">
      <alignment horizontal="left" vertical="top" wrapText="1"/>
    </xf>
    <xf numFmtId="0" fontId="28" fillId="0" borderId="835" xfId="0" applyFont="1" applyBorder="1" applyAlignment="1" applyProtection="1">
      <alignment horizontal="center" vertical="center" wrapText="1"/>
    </xf>
    <xf numFmtId="0" fontId="55" fillId="0" borderId="732" xfId="0" applyFont="1" applyFill="1" applyBorder="1" applyAlignment="1" applyProtection="1">
      <alignment horizontal="center" vertical="center" wrapText="1"/>
    </xf>
    <xf numFmtId="0" fontId="55" fillId="0" borderId="223" xfId="0" applyFont="1" applyFill="1" applyBorder="1" applyAlignment="1" applyProtection="1">
      <alignment horizontal="center" vertical="center" wrapText="1"/>
    </xf>
    <xf numFmtId="0" fontId="110" fillId="0" borderId="241" xfId="0" applyFont="1" applyBorder="1" applyAlignment="1" applyProtection="1">
      <alignment horizontal="left" vertical="center" wrapText="1"/>
    </xf>
    <xf numFmtId="0" fontId="110" fillId="0" borderId="37" xfId="0" applyFont="1" applyBorder="1" applyAlignment="1" applyProtection="1">
      <alignment horizontal="left" vertical="center" wrapText="1"/>
    </xf>
    <xf numFmtId="0" fontId="110" fillId="0" borderId="679" xfId="0" applyFont="1" applyBorder="1" applyAlignment="1" applyProtection="1">
      <alignment horizontal="left" vertical="center" wrapText="1"/>
    </xf>
    <xf numFmtId="1" fontId="21" fillId="0" borderId="758" xfId="0" applyNumberFormat="1" applyFont="1" applyFill="1" applyBorder="1" applyAlignment="1" applyProtection="1">
      <alignment horizontal="center" vertical="center" wrapText="1"/>
      <protection locked="0"/>
    </xf>
    <xf numFmtId="1" fontId="21" fillId="0" borderId="759" xfId="0" applyNumberFormat="1" applyFont="1" applyFill="1" applyBorder="1" applyAlignment="1" applyProtection="1">
      <alignment horizontal="center" vertical="center" wrapText="1"/>
      <protection locked="0"/>
    </xf>
    <xf numFmtId="0" fontId="90" fillId="3" borderId="865" xfId="6" applyFont="1" applyFill="1" applyBorder="1" applyAlignment="1" applyProtection="1">
      <alignment horizontal="left" vertical="top" wrapText="1"/>
    </xf>
    <xf numFmtId="0" fontId="90" fillId="3" borderId="69" xfId="6" applyFont="1" applyFill="1" applyBorder="1" applyAlignment="1" applyProtection="1">
      <alignment horizontal="left" vertical="top" wrapText="1"/>
    </xf>
    <xf numFmtId="0" fontId="90" fillId="3" borderId="762" xfId="6" applyFont="1" applyFill="1" applyBorder="1" applyAlignment="1" applyProtection="1">
      <alignment horizontal="left" vertical="top" wrapText="1"/>
    </xf>
    <xf numFmtId="0" fontId="23" fillId="50" borderId="758" xfId="6" applyFont="1" applyFill="1" applyBorder="1" applyAlignment="1" applyProtection="1">
      <alignment horizontal="center" vertical="center" wrapText="1"/>
      <protection locked="0"/>
    </xf>
    <xf numFmtId="0" fontId="23" fillId="50" borderId="759" xfId="6" applyFont="1" applyFill="1" applyBorder="1" applyAlignment="1" applyProtection="1">
      <alignment horizontal="center" vertical="center" wrapText="1"/>
      <protection locked="0"/>
    </xf>
    <xf numFmtId="0" fontId="30" fillId="0" borderId="760" xfId="6" applyFont="1" applyFill="1" applyBorder="1" applyAlignment="1" applyProtection="1">
      <alignment horizontal="center" vertical="center" wrapText="1"/>
      <protection locked="0"/>
    </xf>
    <xf numFmtId="0" fontId="30" fillId="0" borderId="761" xfId="6" applyFont="1" applyFill="1" applyBorder="1" applyAlignment="1" applyProtection="1">
      <alignment horizontal="center" vertical="center" wrapText="1"/>
      <protection locked="0"/>
    </xf>
    <xf numFmtId="0" fontId="90" fillId="0" borderId="865" xfId="6" applyFont="1" applyFill="1" applyBorder="1" applyAlignment="1" applyProtection="1">
      <alignment horizontal="left" vertical="top" wrapText="1"/>
    </xf>
    <xf numFmtId="0" fontId="90" fillId="0" borderId="69" xfId="6" applyFont="1" applyFill="1" applyBorder="1" applyAlignment="1" applyProtection="1">
      <alignment horizontal="left" vertical="top" wrapText="1"/>
    </xf>
    <xf numFmtId="0" fontId="90" fillId="0" borderId="762" xfId="6" applyFont="1" applyFill="1" applyBorder="1" applyAlignment="1" applyProtection="1">
      <alignment horizontal="left" vertical="top" wrapText="1"/>
    </xf>
    <xf numFmtId="0" fontId="66" fillId="0" borderId="785" xfId="4" applyNumberFormat="1" applyFont="1" applyBorder="1" applyAlignment="1">
      <alignment horizontal="center" vertical="center" wrapText="1"/>
    </xf>
    <xf numFmtId="0" fontId="66" fillId="0" borderId="26" xfId="4" applyNumberFormat="1" applyFont="1" applyBorder="1" applyAlignment="1">
      <alignment horizontal="center" vertical="center" wrapText="1"/>
    </xf>
    <xf numFmtId="0" fontId="28" fillId="0" borderId="785" xfId="0" applyFont="1" applyBorder="1" applyAlignment="1" applyProtection="1">
      <alignment horizontal="center" vertical="center" wrapText="1"/>
    </xf>
    <xf numFmtId="0" fontId="28" fillId="0" borderId="26" xfId="0" applyFont="1" applyBorder="1" applyAlignment="1" applyProtection="1">
      <alignment horizontal="center" vertical="center" wrapText="1"/>
    </xf>
    <xf numFmtId="1" fontId="21" fillId="0" borderId="785" xfId="0" applyNumberFormat="1" applyFont="1" applyBorder="1" applyAlignment="1" applyProtection="1">
      <alignment horizontal="center" vertical="center" wrapText="1"/>
    </xf>
    <xf numFmtId="1" fontId="21" fillId="0" borderId="26" xfId="0" applyNumberFormat="1" applyFont="1" applyBorder="1" applyAlignment="1" applyProtection="1">
      <alignment horizontal="center" vertical="center" wrapText="1"/>
    </xf>
    <xf numFmtId="1" fontId="0" fillId="0" borderId="734" xfId="0" applyNumberFormat="1" applyFont="1" applyBorder="1" applyAlignment="1" applyProtection="1">
      <alignment horizontal="center" vertical="center"/>
      <protection locked="0"/>
    </xf>
    <xf numFmtId="1" fontId="0" fillId="0" borderId="753" xfId="0" applyNumberFormat="1" applyFont="1" applyBorder="1" applyAlignment="1" applyProtection="1">
      <alignment horizontal="center" vertical="center"/>
      <protection locked="0"/>
    </xf>
    <xf numFmtId="1" fontId="0" fillId="0" borderId="732" xfId="0" applyNumberFormat="1" applyFont="1" applyBorder="1" applyAlignment="1" applyProtection="1">
      <alignment horizontal="center" vertical="center"/>
      <protection locked="0"/>
    </xf>
    <xf numFmtId="1" fontId="0" fillId="0" borderId="236" xfId="0" applyNumberFormat="1" applyFont="1" applyBorder="1" applyAlignment="1" applyProtection="1">
      <alignment horizontal="center" vertical="center"/>
      <protection locked="0"/>
    </xf>
    <xf numFmtId="1" fontId="0" fillId="0" borderId="223" xfId="0" applyNumberFormat="1" applyFont="1" applyBorder="1" applyAlignment="1" applyProtection="1">
      <alignment horizontal="center" vertical="center"/>
      <protection locked="0"/>
    </xf>
    <xf numFmtId="1" fontId="0" fillId="0" borderId="739" xfId="0" applyNumberFormat="1" applyFont="1" applyBorder="1" applyAlignment="1" applyProtection="1">
      <alignment horizontal="center" vertical="center"/>
      <protection locked="0"/>
    </xf>
    <xf numFmtId="1" fontId="0" fillId="0" borderId="740" xfId="0" applyNumberFormat="1" applyFont="1" applyBorder="1" applyAlignment="1" applyProtection="1">
      <alignment horizontal="center" vertical="center"/>
      <protection locked="0"/>
    </xf>
    <xf numFmtId="1" fontId="0" fillId="0" borderId="381" xfId="0" applyNumberFormat="1" applyFont="1" applyBorder="1" applyAlignment="1" applyProtection="1">
      <alignment horizontal="center" vertical="center"/>
      <protection locked="0"/>
    </xf>
    <xf numFmtId="0" fontId="0" fillId="0" borderId="830" xfId="0" applyFont="1" applyBorder="1" applyAlignment="1" applyProtection="1">
      <alignment horizontal="right" textRotation="180"/>
    </xf>
    <xf numFmtId="0" fontId="0" fillId="0" borderId="0" xfId="0" applyFont="1" applyBorder="1" applyAlignment="1" applyProtection="1">
      <alignment horizontal="right" textRotation="180"/>
    </xf>
    <xf numFmtId="0" fontId="0" fillId="0" borderId="890" xfId="0" applyFont="1" applyBorder="1" applyAlignment="1" applyProtection="1">
      <alignment textRotation="180"/>
    </xf>
    <xf numFmtId="0" fontId="0" fillId="0" borderId="740" xfId="0" applyFont="1" applyBorder="1" applyAlignment="1" applyProtection="1">
      <alignment textRotation="180"/>
    </xf>
    <xf numFmtId="0" fontId="0" fillId="0" borderId="0" xfId="0" applyFont="1" applyAlignment="1" applyProtection="1">
      <alignment horizontal="left" wrapText="1"/>
    </xf>
    <xf numFmtId="0" fontId="23" fillId="0" borderId="830" xfId="5" applyFont="1" applyBorder="1" applyAlignment="1" applyProtection="1">
      <alignment horizontal="center" vertical="center" wrapText="1"/>
    </xf>
    <xf numFmtId="0" fontId="162" fillId="0" borderId="836" xfId="5" applyFont="1" applyBorder="1" applyAlignment="1" applyProtection="1">
      <alignment horizontal="center" vertical="center" wrapText="1"/>
    </xf>
    <xf numFmtId="0" fontId="162" fillId="0" borderId="837" xfId="5" applyFont="1" applyBorder="1" applyAlignment="1" applyProtection="1">
      <alignment horizontal="center" vertical="center" wrapText="1"/>
    </xf>
    <xf numFmtId="0" fontId="163" fillId="0" borderId="836" xfId="5" applyFont="1" applyBorder="1" applyAlignment="1" applyProtection="1">
      <alignment horizontal="center" vertical="center" wrapText="1"/>
    </xf>
    <xf numFmtId="0" fontId="148" fillId="8" borderId="699" xfId="6" applyFont="1" applyBorder="1" applyAlignment="1" applyProtection="1">
      <alignment horizontal="center" vertical="center" wrapText="1"/>
    </xf>
    <xf numFmtId="0" fontId="148" fillId="8" borderId="843" xfId="6" applyFont="1" applyBorder="1" applyAlignment="1" applyProtection="1">
      <alignment horizontal="center" vertical="center" wrapText="1"/>
    </xf>
    <xf numFmtId="0" fontId="148" fillId="8" borderId="700" xfId="6" applyFont="1" applyBorder="1" applyAlignment="1" applyProtection="1">
      <alignment horizontal="center" vertical="center" wrapText="1"/>
    </xf>
    <xf numFmtId="0" fontId="148" fillId="8" borderId="740" xfId="6" applyFont="1" applyBorder="1" applyAlignment="1" applyProtection="1">
      <alignment horizontal="center" vertical="center" wrapText="1"/>
    </xf>
    <xf numFmtId="0" fontId="0" fillId="0" borderId="223" xfId="0" applyBorder="1" applyAlignment="1" applyProtection="1">
      <alignment horizontal="center" vertical="center"/>
      <protection locked="0"/>
    </xf>
    <xf numFmtId="0" fontId="22" fillId="0" borderId="738" xfId="0" applyFont="1" applyBorder="1" applyAlignment="1" applyProtection="1">
      <alignment horizontal="left" vertical="center" wrapText="1"/>
    </xf>
    <xf numFmtId="0" fontId="22" fillId="0" borderId="224" xfId="0" applyFont="1" applyBorder="1" applyAlignment="1" applyProtection="1">
      <alignment horizontal="left" vertical="center" wrapText="1"/>
    </xf>
    <xf numFmtId="1" fontId="21" fillId="0" borderId="739" xfId="0" applyNumberFormat="1" applyFont="1" applyFill="1" applyBorder="1" applyAlignment="1" applyProtection="1">
      <alignment horizontal="center" vertical="center" wrapText="1"/>
    </xf>
    <xf numFmtId="1" fontId="21" fillId="0" borderId="381" xfId="0" applyNumberFormat="1" applyFont="1" applyFill="1" applyBorder="1" applyAlignment="1" applyProtection="1">
      <alignment horizontal="center" vertical="center" wrapText="1"/>
    </xf>
    <xf numFmtId="0" fontId="30" fillId="0" borderId="732" xfId="0" applyFont="1" applyFill="1" applyBorder="1" applyAlignment="1" applyProtection="1">
      <alignment horizontal="center" vertical="center" wrapText="1"/>
      <protection locked="0"/>
    </xf>
    <xf numFmtId="0" fontId="30" fillId="0" borderId="835" xfId="0" applyFont="1" applyFill="1" applyBorder="1" applyAlignment="1" applyProtection="1">
      <alignment horizontal="center" vertical="center" wrapText="1"/>
      <protection locked="0"/>
    </xf>
    <xf numFmtId="0" fontId="23" fillId="0" borderId="474" xfId="0" applyFont="1" applyBorder="1" applyAlignment="1" applyProtection="1">
      <alignment horizontal="left" vertical="top" wrapText="1"/>
    </xf>
    <xf numFmtId="0" fontId="13" fillId="0" borderId="0" xfId="0" applyFont="1"/>
    <xf numFmtId="0" fontId="0" fillId="0" borderId="753" xfId="0" applyFont="1" applyBorder="1" applyAlignment="1" applyProtection="1">
      <alignment horizontal="center" vertical="center"/>
    </xf>
    <xf numFmtId="0" fontId="0" fillId="0" borderId="747" xfId="0" applyFont="1" applyBorder="1" applyAlignment="1" applyProtection="1">
      <alignment horizontal="center" vertical="center"/>
    </xf>
    <xf numFmtId="1" fontId="0" fillId="0" borderId="734" xfId="0" applyNumberFormat="1" applyFont="1" applyBorder="1" applyAlignment="1" applyProtection="1">
      <alignment horizontal="center" vertical="center"/>
    </xf>
    <xf numFmtId="0" fontId="23" fillId="0" borderId="734" xfId="0" applyFont="1" applyBorder="1" applyAlignment="1" applyProtection="1">
      <alignment horizontal="center" vertical="center" wrapText="1"/>
    </xf>
    <xf numFmtId="172" fontId="0" fillId="0" borderId="734" xfId="0" applyNumberFormat="1" applyBorder="1" applyAlignment="1" applyProtection="1">
      <alignment horizontal="left" vertical="center"/>
      <protection locked="0"/>
    </xf>
    <xf numFmtId="172" fontId="0" fillId="0" borderId="753" xfId="0" applyNumberFormat="1" applyBorder="1" applyAlignment="1" applyProtection="1">
      <alignment horizontal="center" vertical="center"/>
      <protection locked="0"/>
    </xf>
    <xf numFmtId="172" fontId="0" fillId="0" borderId="747" xfId="0" applyNumberFormat="1" applyBorder="1" applyAlignment="1" applyProtection="1">
      <alignment horizontal="center" vertical="center"/>
      <protection locked="0"/>
    </xf>
    <xf numFmtId="0" fontId="0" fillId="0" borderId="753" xfId="0" applyBorder="1" applyAlignment="1" applyProtection="1">
      <alignment horizontal="center"/>
      <protection locked="0"/>
    </xf>
    <xf numFmtId="0" fontId="0" fillId="0" borderId="747" xfId="0" applyBorder="1" applyAlignment="1" applyProtection="1">
      <alignment horizontal="center"/>
      <protection locked="0"/>
    </xf>
    <xf numFmtId="0" fontId="0" fillId="0" borderId="734" xfId="0" applyBorder="1" applyAlignment="1" applyProtection="1">
      <alignment horizontal="center"/>
      <protection locked="0"/>
    </xf>
    <xf numFmtId="0" fontId="3" fillId="0" borderId="753" xfId="0" applyFont="1" applyBorder="1" applyAlignment="1">
      <alignment horizontal="center" vertical="center"/>
    </xf>
    <xf numFmtId="0" fontId="3" fillId="0" borderId="730" xfId="0" applyFont="1" applyBorder="1" applyAlignment="1">
      <alignment horizontal="center" vertical="center"/>
    </xf>
    <xf numFmtId="0" fontId="3" fillId="0" borderId="747" xfId="0" applyFont="1" applyBorder="1" applyAlignment="1">
      <alignment horizontal="center" vertical="center"/>
    </xf>
    <xf numFmtId="1" fontId="3" fillId="0" borderId="730" xfId="0" applyNumberFormat="1" applyFont="1" applyBorder="1" applyAlignment="1">
      <alignment horizontal="center" vertical="center"/>
    </xf>
    <xf numFmtId="1" fontId="3" fillId="0" borderId="747" xfId="0" applyNumberFormat="1" applyFont="1" applyBorder="1" applyAlignment="1">
      <alignment horizontal="center" vertical="center"/>
    </xf>
    <xf numFmtId="0" fontId="175" fillId="3" borderId="0" xfId="0" applyFont="1" applyFill="1" applyBorder="1" applyAlignment="1">
      <alignment horizontal="left" vertical="top" wrapText="1"/>
    </xf>
    <xf numFmtId="0" fontId="175" fillId="0" borderId="237" xfId="0" applyFont="1" applyFill="1" applyBorder="1" applyAlignment="1">
      <alignment horizontal="left" vertical="top" wrapText="1"/>
    </xf>
    <xf numFmtId="0" fontId="175" fillId="0" borderId="0" xfId="0" applyFont="1" applyFill="1" applyBorder="1" applyAlignment="1">
      <alignment horizontal="left" vertical="top" wrapText="1"/>
    </xf>
    <xf numFmtId="0" fontId="173" fillId="3" borderId="0" xfId="0" applyFont="1" applyFill="1" applyBorder="1" applyAlignment="1">
      <alignment horizontal="left" vertical="top" wrapText="1"/>
    </xf>
    <xf numFmtId="0" fontId="115" fillId="0" borderId="505" xfId="0" applyFont="1" applyBorder="1" applyAlignment="1">
      <alignment horizontal="center" vertical="center"/>
    </xf>
    <xf numFmtId="0" fontId="115" fillId="0" borderId="504" xfId="0" applyFont="1" applyBorder="1" applyAlignment="1">
      <alignment horizontal="center" vertical="center"/>
    </xf>
    <xf numFmtId="1" fontId="116" fillId="0" borderId="706" xfId="0" applyNumberFormat="1" applyFont="1" applyBorder="1" applyAlignment="1">
      <alignment horizontal="center" vertical="center" wrapText="1"/>
    </xf>
    <xf numFmtId="0" fontId="116" fillId="0" borderId="683" xfId="0" applyFont="1" applyBorder="1" applyAlignment="1">
      <alignment horizontal="center" vertical="center" wrapText="1"/>
    </xf>
    <xf numFmtId="1" fontId="115" fillId="0" borderId="706" xfId="0" applyNumberFormat="1" applyFont="1" applyBorder="1" applyAlignment="1">
      <alignment horizontal="center" vertical="center"/>
    </xf>
    <xf numFmtId="0" fontId="115" fillId="0" borderId="683" xfId="0" applyFont="1" applyBorder="1" applyAlignment="1">
      <alignment horizontal="center" vertical="center"/>
    </xf>
    <xf numFmtId="1" fontId="118" fillId="0" borderId="706" xfId="0" applyNumberFormat="1" applyFont="1" applyBorder="1" applyAlignment="1">
      <alignment horizontal="center" vertical="center"/>
    </xf>
    <xf numFmtId="0" fontId="0" fillId="0" borderId="683" xfId="0" applyBorder="1" applyAlignment="1">
      <alignment horizontal="center" vertical="center"/>
    </xf>
    <xf numFmtId="0" fontId="118" fillId="0" borderId="708" xfId="0" applyFont="1" applyBorder="1" applyAlignment="1">
      <alignment horizontal="center" vertical="center"/>
    </xf>
    <xf numFmtId="0" fontId="118" fillId="0" borderId="709" xfId="0" applyFont="1" applyBorder="1" applyAlignment="1">
      <alignment horizontal="center" vertical="center"/>
    </xf>
    <xf numFmtId="0" fontId="118" fillId="0" borderId="683" xfId="0" applyFont="1" applyBorder="1" applyAlignment="1">
      <alignment horizontal="center" vertical="center"/>
    </xf>
    <xf numFmtId="0" fontId="3" fillId="0" borderId="734" xfId="0" applyFont="1" applyBorder="1" applyAlignment="1">
      <alignment horizontal="center"/>
    </xf>
    <xf numFmtId="0" fontId="3" fillId="0" borderId="734" xfId="0" applyFont="1" applyBorder="1" applyAlignment="1">
      <alignment horizontal="center" vertical="center"/>
    </xf>
    <xf numFmtId="0" fontId="118" fillId="0" borderId="708" xfId="0" applyFont="1" applyBorder="1" applyAlignment="1" applyProtection="1">
      <alignment horizontal="left" vertical="top"/>
      <protection locked="0"/>
    </xf>
    <xf numFmtId="0" fontId="0" fillId="0" borderId="346" xfId="0" applyBorder="1" applyAlignment="1" applyProtection="1">
      <alignment horizontal="left" vertical="top"/>
      <protection locked="0"/>
    </xf>
    <xf numFmtId="0" fontId="0" fillId="0" borderId="507" xfId="0" applyBorder="1" applyAlignment="1" applyProtection="1">
      <alignment horizontal="left" vertical="top"/>
      <protection locked="0"/>
    </xf>
    <xf numFmtId="0" fontId="0" fillId="0" borderId="362" xfId="0" applyBorder="1" applyAlignment="1" applyProtection="1">
      <alignment horizontal="left" vertical="top"/>
      <protection locked="0"/>
    </xf>
    <xf numFmtId="0" fontId="0" fillId="0" borderId="0" xfId="0" applyBorder="1" applyAlignment="1" applyProtection="1">
      <alignment horizontal="left" vertical="top"/>
      <protection locked="0"/>
    </xf>
    <xf numFmtId="0" fontId="0" fillId="0" borderId="515" xfId="0" applyBorder="1" applyAlignment="1" applyProtection="1">
      <alignment horizontal="left" vertical="top"/>
      <protection locked="0"/>
    </xf>
    <xf numFmtId="0" fontId="0" fillId="0" borderId="513" xfId="0" applyBorder="1" applyAlignment="1" applyProtection="1">
      <alignment horizontal="left" vertical="top" wrapText="1"/>
    </xf>
    <xf numFmtId="0" fontId="0" fillId="0" borderId="27" xfId="0" applyBorder="1" applyAlignment="1" applyProtection="1">
      <alignment horizontal="left" vertical="top" wrapText="1"/>
    </xf>
    <xf numFmtId="0" fontId="0" fillId="0" borderId="500" xfId="0" applyBorder="1" applyAlignment="1" applyProtection="1">
      <alignment horizontal="left" vertical="top" wrapText="1"/>
    </xf>
    <xf numFmtId="0" fontId="0" fillId="83" borderId="431" xfId="0" applyFill="1" applyBorder="1" applyAlignment="1" applyProtection="1">
      <protection locked="0"/>
    </xf>
    <xf numFmtId="0" fontId="0" fillId="83" borderId="228" xfId="0" applyFill="1" applyBorder="1" applyAlignment="1" applyProtection="1">
      <protection locked="0"/>
    </xf>
    <xf numFmtId="0" fontId="0" fillId="0" borderId="228" xfId="0" applyFill="1" applyBorder="1" applyAlignment="1" applyProtection="1">
      <protection locked="0"/>
    </xf>
    <xf numFmtId="0" fontId="120" fillId="0" borderId="504" xfId="0" applyFont="1" applyBorder="1" applyAlignment="1" applyProtection="1"/>
    <xf numFmtId="0" fontId="0" fillId="0" borderId="683" xfId="0" applyBorder="1" applyAlignment="1" applyProtection="1"/>
    <xf numFmtId="0" fontId="120" fillId="0" borderId="683" xfId="0" applyFont="1" applyBorder="1" applyAlignment="1" applyProtection="1"/>
    <xf numFmtId="0" fontId="0" fillId="0" borderId="517" xfId="0" applyBorder="1" applyAlignment="1" applyProtection="1">
      <alignment horizontal="left" vertical="top"/>
      <protection locked="0"/>
    </xf>
    <xf numFmtId="0" fontId="0" fillId="0" borderId="26" xfId="0" applyBorder="1" applyAlignment="1" applyProtection="1">
      <alignment horizontal="left" vertical="top"/>
      <protection locked="0"/>
    </xf>
    <xf numFmtId="0" fontId="0" fillId="0" borderId="508" xfId="0" applyBorder="1" applyAlignment="1" applyProtection="1">
      <alignment horizontal="left" vertical="top"/>
      <protection locked="0"/>
    </xf>
    <xf numFmtId="0" fontId="0" fillId="0" borderId="431" xfId="0" applyFill="1" applyBorder="1" applyAlignment="1" applyProtection="1">
      <alignment horizontal="center"/>
      <protection locked="0"/>
    </xf>
    <xf numFmtId="0" fontId="121" fillId="0" borderId="175" xfId="5" applyFont="1" applyBorder="1" applyAlignment="1" applyProtection="1">
      <protection locked="0"/>
    </xf>
    <xf numFmtId="0" fontId="0" fillId="0" borderId="401" xfId="0" applyBorder="1" applyAlignment="1" applyProtection="1">
      <protection locked="0"/>
    </xf>
    <xf numFmtId="0" fontId="120" fillId="0" borderId="718" xfId="0" applyFont="1" applyBorder="1" applyAlignment="1" applyProtection="1"/>
    <xf numFmtId="0" fontId="0" fillId="0" borderId="223" xfId="0" applyBorder="1" applyAlignment="1" applyProtection="1"/>
    <xf numFmtId="0" fontId="120" fillId="0" borderId="223" xfId="0" applyFont="1" applyBorder="1" applyAlignment="1" applyProtection="1"/>
    <xf numFmtId="0" fontId="0" fillId="0" borderId="381" xfId="0" applyBorder="1" applyAlignment="1" applyProtection="1">
      <protection locked="0"/>
    </xf>
    <xf numFmtId="0" fontId="0" fillId="0" borderId="223" xfId="0" applyBorder="1" applyAlignment="1" applyProtection="1">
      <protection locked="0"/>
    </xf>
    <xf numFmtId="0" fontId="0" fillId="0" borderId="0" xfId="0" applyFont="1" applyAlignment="1">
      <alignment horizontal="left" vertical="top" wrapText="1"/>
    </xf>
    <xf numFmtId="0" fontId="118" fillId="0" borderId="715" xfId="0" applyFont="1" applyBorder="1" applyAlignment="1" applyProtection="1">
      <alignment horizontal="left" vertical="top" wrapText="1"/>
      <protection locked="0"/>
    </xf>
    <xf numFmtId="0" fontId="122" fillId="0" borderId="511" xfId="0" applyFont="1" applyBorder="1" applyAlignment="1">
      <alignment vertical="top" wrapText="1"/>
    </xf>
    <xf numFmtId="0" fontId="34" fillId="8" borderId="362" xfId="13" applyBorder="1" applyAlignment="1">
      <alignment horizontal="center" vertical="center" wrapText="1"/>
    </xf>
    <xf numFmtId="0" fontId="34" fillId="8" borderId="0" xfId="13" applyBorder="1" applyAlignment="1">
      <alignment horizontal="center" vertical="center" wrapText="1"/>
    </xf>
    <xf numFmtId="0" fontId="34" fillId="8" borderId="515" xfId="13" applyBorder="1" applyAlignment="1">
      <alignment horizontal="center" vertical="center" wrapText="1"/>
    </xf>
    <xf numFmtId="165" fontId="68" fillId="0" borderId="8" xfId="0" applyNumberFormat="1" applyFont="1" applyBorder="1" applyAlignment="1">
      <alignment horizontal="center" vertical="center" wrapText="1"/>
    </xf>
    <xf numFmtId="0" fontId="18" fillId="0" borderId="834" xfId="5" applyFont="1" applyBorder="1" applyAlignment="1">
      <alignment horizontal="left" vertical="center" wrapText="1"/>
    </xf>
    <xf numFmtId="1" fontId="143" fillId="3" borderId="0" xfId="0" applyNumberFormat="1" applyFont="1" applyFill="1" applyAlignment="1">
      <alignment horizontal="center" vertical="center" wrapText="1"/>
    </xf>
    <xf numFmtId="0" fontId="113" fillId="0" borderId="517" xfId="0" applyFont="1" applyBorder="1" applyAlignment="1">
      <alignment horizontal="center"/>
    </xf>
    <xf numFmtId="0" fontId="114" fillId="0" borderId="26" xfId="0" applyFont="1" applyBorder="1" applyAlignment="1"/>
    <xf numFmtId="0" fontId="114" fillId="0" borderId="515" xfId="0" applyFont="1" applyBorder="1" applyAlignment="1"/>
    <xf numFmtId="0" fontId="23" fillId="0" borderId="0" xfId="0" applyFont="1" applyFill="1" applyBorder="1" applyAlignment="1">
      <alignment horizontal="left" vertical="center" wrapText="1"/>
    </xf>
    <xf numFmtId="0" fontId="0" fillId="0" borderId="0" xfId="0" applyFill="1" applyAlignment="1">
      <alignment horizontal="left"/>
    </xf>
    <xf numFmtId="0" fontId="0" fillId="0" borderId="515" xfId="0" applyFill="1" applyBorder="1" applyAlignment="1">
      <alignment horizontal="left"/>
    </xf>
    <xf numFmtId="0" fontId="115" fillId="0" borderId="717" xfId="0" applyFont="1" applyBorder="1" applyAlignment="1">
      <alignment horizontal="center" vertical="center"/>
    </xf>
    <xf numFmtId="0" fontId="115" fillId="0" borderId="709" xfId="0" applyFont="1" applyBorder="1" applyAlignment="1">
      <alignment horizontal="center" vertical="center"/>
    </xf>
    <xf numFmtId="0" fontId="117" fillId="0" borderId="18" xfId="0" applyFont="1" applyBorder="1" applyAlignment="1">
      <alignment horizontal="center" wrapText="1"/>
    </xf>
    <xf numFmtId="0" fontId="117" fillId="0" borderId="433" xfId="0" applyFont="1" applyBorder="1" applyAlignment="1">
      <alignment horizontal="center" wrapText="1"/>
    </xf>
    <xf numFmtId="0" fontId="117" fillId="0" borderId="18" xfId="0" applyFont="1" applyBorder="1" applyAlignment="1">
      <alignment horizontal="center" vertical="center" wrapText="1"/>
    </xf>
    <xf numFmtId="0" fontId="117" fillId="0" borderId="433" xfId="0" applyFont="1" applyBorder="1" applyAlignment="1">
      <alignment horizontal="center" vertical="center" wrapText="1"/>
    </xf>
    <xf numFmtId="0" fontId="116" fillId="0" borderId="428" xfId="0" applyFont="1" applyBorder="1" applyAlignment="1">
      <alignment horizontal="center" vertical="center" wrapText="1"/>
    </xf>
    <xf numFmtId="0" fontId="116" fillId="0" borderId="429" xfId="0" applyFont="1" applyBorder="1" applyAlignment="1">
      <alignment horizontal="center" vertical="center" wrapText="1"/>
    </xf>
    <xf numFmtId="0" fontId="116" fillId="0" borderId="430" xfId="0" applyFont="1" applyBorder="1" applyAlignment="1">
      <alignment horizontal="center" vertical="center" wrapText="1"/>
    </xf>
    <xf numFmtId="0" fontId="13" fillId="0" borderId="0" xfId="0" applyFont="1" applyBorder="1" applyAlignment="1" applyProtection="1">
      <alignment horizontal="left" vertical="center"/>
    </xf>
    <xf numFmtId="0" fontId="23" fillId="0" borderId="61" xfId="0" applyFont="1" applyBorder="1" applyAlignment="1" applyProtection="1">
      <alignment horizontal="left" vertical="center"/>
    </xf>
    <xf numFmtId="0" fontId="23" fillId="0" borderId="0" xfId="0" applyFont="1" applyBorder="1" applyAlignment="1" applyProtection="1">
      <alignment horizontal="left" vertical="center"/>
    </xf>
    <xf numFmtId="1" fontId="0" fillId="0" borderId="738" xfId="0" applyNumberFormat="1" applyFont="1" applyBorder="1" applyAlignment="1" applyProtection="1">
      <alignment horizontal="center" vertical="center"/>
    </xf>
    <xf numFmtId="1" fontId="0" fillId="0" borderId="739" xfId="0" applyNumberFormat="1" applyFont="1" applyBorder="1" applyAlignment="1" applyProtection="1">
      <alignment horizontal="center" vertical="center"/>
    </xf>
    <xf numFmtId="1" fontId="0" fillId="0" borderId="237" xfId="0" applyNumberFormat="1" applyFont="1" applyBorder="1" applyAlignment="1" applyProtection="1">
      <alignment horizontal="center" vertical="center"/>
    </xf>
    <xf numFmtId="1" fontId="0" fillId="0" borderId="740" xfId="0" applyNumberFormat="1" applyFont="1" applyBorder="1" applyAlignment="1" applyProtection="1">
      <alignment horizontal="center" vertical="center"/>
    </xf>
    <xf numFmtId="1" fontId="0" fillId="0" borderId="224" xfId="0" applyNumberFormat="1" applyFont="1" applyBorder="1" applyAlignment="1" applyProtection="1">
      <alignment horizontal="center" vertical="center"/>
    </xf>
    <xf numFmtId="1" fontId="0" fillId="0" borderId="381" xfId="0" applyNumberFormat="1" applyFont="1" applyBorder="1" applyAlignment="1" applyProtection="1">
      <alignment horizontal="center" vertical="center"/>
    </xf>
    <xf numFmtId="1" fontId="0" fillId="0" borderId="732" xfId="0" applyNumberFormat="1" applyFont="1" applyBorder="1" applyAlignment="1" applyProtection="1">
      <alignment horizontal="center" vertical="center"/>
    </xf>
    <xf numFmtId="1" fontId="0" fillId="0" borderId="236" xfId="0" applyNumberFormat="1" applyFont="1" applyBorder="1" applyAlignment="1" applyProtection="1">
      <alignment horizontal="center" vertical="center"/>
    </xf>
    <xf numFmtId="1" fontId="0" fillId="0" borderId="223" xfId="0" applyNumberFormat="1" applyFont="1" applyBorder="1" applyAlignment="1" applyProtection="1">
      <alignment horizontal="center" vertical="center"/>
    </xf>
    <xf numFmtId="0" fontId="23" fillId="0" borderId="732" xfId="0" applyFont="1" applyBorder="1" applyAlignment="1" applyProtection="1">
      <alignment horizontal="center" vertical="center" wrapText="1"/>
    </xf>
    <xf numFmtId="0" fontId="23" fillId="0" borderId="236" xfId="0" applyFont="1" applyBorder="1" applyAlignment="1" applyProtection="1">
      <alignment horizontal="center" vertical="center" wrapText="1"/>
    </xf>
    <xf numFmtId="0" fontId="23" fillId="0" borderId="223" xfId="0" applyFont="1" applyBorder="1" applyAlignment="1" applyProtection="1">
      <alignment horizontal="center" vertical="center" wrapText="1"/>
    </xf>
    <xf numFmtId="0" fontId="22" fillId="0" borderId="0" xfId="0" applyFont="1" applyFill="1" applyBorder="1" applyAlignment="1" applyProtection="1">
      <alignment horizontal="left" vertical="center"/>
    </xf>
    <xf numFmtId="1" fontId="0" fillId="0" borderId="730" xfId="0" applyNumberFormat="1" applyFont="1" applyBorder="1" applyAlignment="1">
      <alignment horizontal="center" vertical="center"/>
    </xf>
    <xf numFmtId="1" fontId="0" fillId="0" borderId="747" xfId="0" applyNumberFormat="1" applyFont="1" applyBorder="1" applyAlignment="1">
      <alignment horizontal="center" vertical="center"/>
    </xf>
    <xf numFmtId="0" fontId="0" fillId="0" borderId="753" xfId="0" applyFont="1" applyBorder="1" applyAlignment="1">
      <alignment horizontal="center" vertical="center"/>
    </xf>
    <xf numFmtId="0" fontId="0" fillId="0" borderId="730" xfId="0" applyFont="1" applyBorder="1" applyAlignment="1">
      <alignment horizontal="center" vertical="center"/>
    </xf>
    <xf numFmtId="0" fontId="0" fillId="0" borderId="734" xfId="0" applyBorder="1" applyAlignment="1">
      <alignment horizontal="center" vertical="center"/>
    </xf>
    <xf numFmtId="0" fontId="30" fillId="0" borderId="0" xfId="0" applyFont="1" applyBorder="1" applyAlignment="1" applyProtection="1">
      <alignment horizontal="left" vertical="center" wrapText="1"/>
    </xf>
    <xf numFmtId="0" fontId="23" fillId="0" borderId="515" xfId="0" applyFont="1" applyBorder="1" applyAlignment="1" applyProtection="1">
      <alignment horizontal="left" vertical="center" wrapText="1"/>
    </xf>
    <xf numFmtId="0" fontId="23" fillId="0" borderId="0" xfId="0" applyFont="1" applyFill="1" applyBorder="1" applyAlignment="1" applyProtection="1">
      <alignment horizontal="left" vertical="center" wrapText="1"/>
    </xf>
    <xf numFmtId="0" fontId="0" fillId="83" borderId="431" xfId="0" applyFill="1" applyBorder="1" applyAlignment="1" applyProtection="1">
      <alignment horizontal="center"/>
      <protection locked="0"/>
    </xf>
    <xf numFmtId="0" fontId="0" fillId="0" borderId="730" xfId="0" applyBorder="1" applyAlignment="1" applyProtection="1">
      <alignment horizontal="left" vertical="top" wrapText="1"/>
    </xf>
    <xf numFmtId="0" fontId="0" fillId="0" borderId="775" xfId="0" applyBorder="1" applyAlignment="1" applyProtection="1">
      <alignment horizontal="left" vertical="top" wrapText="1"/>
    </xf>
    <xf numFmtId="14" fontId="0" fillId="0" borderId="738" xfId="0" applyNumberFormat="1" applyBorder="1" applyAlignment="1" applyProtection="1">
      <alignment horizontal="center"/>
      <protection locked="0"/>
    </xf>
    <xf numFmtId="14" fontId="0" fillId="0" borderId="777" xfId="0" applyNumberFormat="1" applyBorder="1" applyAlignment="1" applyProtection="1">
      <alignment horizontal="center"/>
      <protection locked="0"/>
    </xf>
    <xf numFmtId="0" fontId="120" fillId="0" borderId="224" xfId="0" applyFont="1" applyBorder="1" applyAlignment="1" applyProtection="1">
      <alignment horizontal="center"/>
    </xf>
    <xf numFmtId="0" fontId="120" fillId="0" borderId="508" xfId="0" applyFont="1" applyBorder="1" applyAlignment="1" applyProtection="1">
      <alignment horizontal="center"/>
    </xf>
    <xf numFmtId="0" fontId="0" fillId="0" borderId="730" xfId="0" applyBorder="1" applyAlignment="1" applyProtection="1">
      <alignment horizontal="right" vertical="top" wrapText="1"/>
    </xf>
    <xf numFmtId="0" fontId="0" fillId="0" borderId="708" xfId="0" applyBorder="1" applyAlignment="1" applyProtection="1">
      <alignment horizontal="left" vertical="top" wrapText="1"/>
    </xf>
    <xf numFmtId="0" fontId="0" fillId="0" borderId="346" xfId="0" applyBorder="1" applyAlignment="1" applyProtection="1">
      <alignment horizontal="left" vertical="top" wrapText="1"/>
    </xf>
    <xf numFmtId="0" fontId="0" fillId="0" borderId="779" xfId="0" applyBorder="1" applyAlignment="1" applyProtection="1">
      <alignment horizontal="left" vertical="top" wrapText="1"/>
    </xf>
    <xf numFmtId="0" fontId="0" fillId="0" borderId="517" xfId="0" applyBorder="1" applyAlignment="1" applyProtection="1">
      <alignment horizontal="left" vertical="top" wrapText="1"/>
    </xf>
    <xf numFmtId="0" fontId="0" fillId="0" borderId="26" xfId="0" applyBorder="1" applyAlignment="1" applyProtection="1">
      <alignment horizontal="left" vertical="top" wrapText="1"/>
    </xf>
    <xf numFmtId="0" fontId="0" fillId="0" borderId="381" xfId="0" applyBorder="1" applyAlignment="1" applyProtection="1">
      <alignment horizontal="left" vertical="top" wrapText="1"/>
    </xf>
    <xf numFmtId="0" fontId="0" fillId="0" borderId="730" xfId="0" applyBorder="1" applyAlignment="1" applyProtection="1">
      <alignment horizontal="right" vertical="top" wrapText="1"/>
      <protection locked="0"/>
    </xf>
    <xf numFmtId="0" fontId="0" fillId="0" borderId="730" xfId="0" applyBorder="1" applyAlignment="1" applyProtection="1">
      <alignment horizontal="left" vertical="top" wrapText="1"/>
      <protection locked="0"/>
    </xf>
    <xf numFmtId="0" fontId="0" fillId="0" borderId="775" xfId="0" applyBorder="1" applyAlignment="1" applyProtection="1">
      <alignment horizontal="left" vertical="top" wrapText="1"/>
      <protection locked="0"/>
    </xf>
    <xf numFmtId="0" fontId="0" fillId="0" borderId="26" xfId="0" applyBorder="1" applyAlignment="1" applyProtection="1">
      <alignment horizontal="left"/>
    </xf>
    <xf numFmtId="0" fontId="23" fillId="0" borderId="730" xfId="0" applyFont="1" applyBorder="1" applyAlignment="1" applyProtection="1">
      <alignment horizontal="left" vertical="top"/>
    </xf>
    <xf numFmtId="49" fontId="163" fillId="0" borderId="734" xfId="0" applyNumberFormat="1" applyFont="1" applyBorder="1" applyAlignment="1" applyProtection="1">
      <alignment horizontal="left" vertical="center"/>
      <protection locked="0"/>
    </xf>
    <xf numFmtId="0" fontId="71" fillId="0" borderId="734" xfId="0" applyFont="1" applyBorder="1" applyAlignment="1">
      <alignment horizontal="center"/>
    </xf>
    <xf numFmtId="49" fontId="163" fillId="0" borderId="753" xfId="0" applyNumberFormat="1" applyFont="1" applyBorder="1" applyAlignment="1" applyProtection="1">
      <alignment horizontal="left" vertical="center"/>
      <protection locked="0"/>
    </xf>
    <xf numFmtId="49" fontId="163" fillId="0" borderId="747" xfId="0" applyNumberFormat="1" applyFont="1" applyBorder="1" applyAlignment="1" applyProtection="1">
      <alignment horizontal="left" vertical="center"/>
      <protection locked="0"/>
    </xf>
    <xf numFmtId="171" fontId="163" fillId="0" borderId="753" xfId="0" applyNumberFormat="1" applyFont="1" applyBorder="1" applyAlignment="1" applyProtection="1">
      <alignment horizontal="left" vertical="center"/>
      <protection locked="0"/>
    </xf>
    <xf numFmtId="171" fontId="163" fillId="0" borderId="747" xfId="0" applyNumberFormat="1" applyFont="1" applyBorder="1" applyAlignment="1" applyProtection="1">
      <alignment horizontal="left" vertical="center"/>
      <protection locked="0"/>
    </xf>
    <xf numFmtId="0" fontId="163" fillId="0" borderId="0" xfId="0" applyFont="1" applyBorder="1" applyAlignment="1">
      <alignment horizontal="right"/>
    </xf>
    <xf numFmtId="14" fontId="0" fillId="0" borderId="734" xfId="0" applyNumberFormat="1" applyBorder="1" applyAlignment="1" applyProtection="1">
      <alignment horizontal="left" vertical="center"/>
      <protection locked="0"/>
    </xf>
    <xf numFmtId="0" fontId="163" fillId="0" borderId="0" xfId="0" applyFont="1" applyBorder="1" applyAlignment="1">
      <alignment horizontal="right" vertical="center"/>
    </xf>
    <xf numFmtId="0" fontId="163" fillId="0" borderId="740" xfId="0" applyFont="1" applyBorder="1" applyAlignment="1">
      <alignment horizontal="right" vertical="center"/>
    </xf>
    <xf numFmtId="0" fontId="171" fillId="0" borderId="0" xfId="0" applyFont="1" applyAlignment="1">
      <alignment horizontal="left" vertical="top" wrapText="1"/>
    </xf>
    <xf numFmtId="0" fontId="23" fillId="0" borderId="836" xfId="5" applyFont="1" applyBorder="1" applyAlignment="1" applyProtection="1">
      <alignment horizontal="center" vertical="center" wrapText="1"/>
    </xf>
    <xf numFmtId="1" fontId="164" fillId="3" borderId="889" xfId="0" applyNumberFormat="1" applyFont="1" applyFill="1" applyBorder="1" applyAlignment="1" applyProtection="1">
      <alignment horizontal="center" vertical="center" wrapText="1"/>
    </xf>
    <xf numFmtId="0" fontId="21" fillId="0" borderId="785" xfId="0" applyFont="1" applyBorder="1" applyAlignment="1" applyProtection="1">
      <alignment horizontal="left" vertical="center"/>
    </xf>
    <xf numFmtId="0" fontId="168" fillId="0" borderId="0" xfId="0" applyFont="1" applyAlignment="1">
      <alignment horizontal="center"/>
    </xf>
    <xf numFmtId="0" fontId="170" fillId="0" borderId="836" xfId="5" applyFont="1" applyBorder="1" applyAlignment="1" applyProtection="1">
      <alignment horizontal="center" vertical="center" wrapText="1"/>
    </xf>
    <xf numFmtId="0" fontId="23" fillId="0" borderId="830" xfId="0" applyFont="1" applyBorder="1" applyAlignment="1" applyProtection="1">
      <alignment horizontal="left" vertical="center" wrapText="1"/>
    </xf>
    <xf numFmtId="0" fontId="163" fillId="0" borderId="0" xfId="0" applyFont="1" applyAlignment="1">
      <alignment horizontal="left" vertical="top" wrapText="1"/>
    </xf>
    <xf numFmtId="0" fontId="71" fillId="0" borderId="0" xfId="0" applyFont="1" applyBorder="1" applyAlignment="1">
      <alignment horizontal="left"/>
    </xf>
    <xf numFmtId="0" fontId="0" fillId="0" borderId="738" xfId="0" applyBorder="1" applyAlignment="1" applyProtection="1">
      <alignment horizontal="left"/>
      <protection locked="0"/>
    </xf>
    <xf numFmtId="0" fontId="0" fillId="0" borderId="785" xfId="0" applyBorder="1" applyAlignment="1" applyProtection="1">
      <alignment horizontal="left"/>
      <protection locked="0"/>
    </xf>
    <xf numFmtId="0" fontId="0" fillId="0" borderId="739" xfId="0" applyBorder="1" applyAlignment="1" applyProtection="1">
      <alignment horizontal="left"/>
      <protection locked="0"/>
    </xf>
    <xf numFmtId="0" fontId="0" fillId="0" borderId="237" xfId="0" applyBorder="1" applyAlignment="1" applyProtection="1">
      <alignment horizontal="left"/>
      <protection locked="0"/>
    </xf>
    <xf numFmtId="0" fontId="0" fillId="0" borderId="0" xfId="0" applyBorder="1" applyAlignment="1" applyProtection="1">
      <alignment horizontal="left"/>
      <protection locked="0"/>
    </xf>
    <xf numFmtId="0" fontId="0" fillId="0" borderId="740" xfId="0" applyBorder="1" applyAlignment="1" applyProtection="1">
      <alignment horizontal="left"/>
      <protection locked="0"/>
    </xf>
    <xf numFmtId="0" fontId="0" fillId="0" borderId="224" xfId="0" applyBorder="1" applyAlignment="1" applyProtection="1">
      <alignment horizontal="left"/>
      <protection locked="0"/>
    </xf>
    <xf numFmtId="0" fontId="0" fillId="0" borderId="26" xfId="0" applyBorder="1" applyAlignment="1" applyProtection="1">
      <alignment horizontal="left"/>
      <protection locked="0"/>
    </xf>
    <xf numFmtId="0" fontId="0" fillId="0" borderId="734" xfId="0" applyBorder="1" applyAlignment="1" applyProtection="1">
      <alignment horizontal="left" vertical="center"/>
      <protection locked="0"/>
    </xf>
    <xf numFmtId="0" fontId="35" fillId="8" borderId="63" xfId="13" applyFont="1" applyBorder="1" applyProtection="1">
      <alignment horizontal="left" vertical="center" wrapText="1"/>
      <protection locked="0"/>
    </xf>
    <xf numFmtId="0" fontId="35" fillId="8" borderId="64" xfId="13" applyFont="1" applyBorder="1" applyProtection="1">
      <alignment horizontal="left" vertical="center" wrapText="1"/>
      <protection locked="0"/>
    </xf>
    <xf numFmtId="0" fontId="35" fillId="8" borderId="65" xfId="13" applyFont="1" applyBorder="1" applyProtection="1">
      <alignment horizontal="left" vertical="center" wrapText="1"/>
      <protection locked="0"/>
    </xf>
    <xf numFmtId="0" fontId="17" fillId="3" borderId="12" xfId="5" applyFont="1" applyFill="1" applyBorder="1" applyAlignment="1">
      <alignment wrapText="1"/>
    </xf>
    <xf numFmtId="0" fontId="17" fillId="3" borderId="0" xfId="5" applyFont="1" applyFill="1" applyBorder="1" applyAlignment="1">
      <alignment wrapText="1"/>
    </xf>
    <xf numFmtId="0" fontId="0" fillId="0" borderId="78" xfId="0" applyBorder="1" applyAlignment="1">
      <alignment horizontal="left" vertical="center"/>
    </xf>
    <xf numFmtId="0" fontId="0" fillId="0" borderId="79" xfId="0" applyBorder="1" applyAlignment="1">
      <alignment horizontal="left" vertical="center"/>
    </xf>
    <xf numFmtId="0" fontId="0" fillId="0" borderId="80" xfId="0" applyBorder="1" applyAlignment="1">
      <alignment horizontal="left" vertical="center"/>
    </xf>
    <xf numFmtId="0" fontId="0" fillId="0" borderId="81" xfId="0" applyBorder="1" applyAlignment="1">
      <alignment horizontal="left" vertical="center"/>
    </xf>
    <xf numFmtId="0" fontId="3" fillId="0" borderId="75" xfId="0" applyFont="1" applyBorder="1"/>
    <xf numFmtId="0" fontId="3" fillId="0" borderId="76" xfId="0" applyFont="1" applyBorder="1"/>
    <xf numFmtId="0" fontId="78" fillId="0" borderId="433" xfId="0" applyFont="1" applyBorder="1" applyAlignment="1">
      <alignment horizontal="center" vertical="center" wrapText="1"/>
    </xf>
    <xf numFmtId="0" fontId="145" fillId="0" borderId="0" xfId="0" applyFont="1" applyAlignment="1">
      <alignment horizontal="center" vertical="center" wrapText="1"/>
    </xf>
    <xf numFmtId="0" fontId="145" fillId="0" borderId="433" xfId="0" applyFont="1" applyBorder="1" applyAlignment="1">
      <alignment horizontal="center" vertical="center" wrapText="1"/>
    </xf>
    <xf numFmtId="0" fontId="156" fillId="0" borderId="878" xfId="0" applyFont="1" applyBorder="1" applyAlignment="1">
      <alignment horizontal="center" vertical="center" wrapText="1"/>
    </xf>
    <xf numFmtId="0" fontId="156" fillId="0" borderId="875" xfId="0" applyFont="1" applyBorder="1" applyAlignment="1">
      <alignment horizontal="center" vertical="center" wrapText="1"/>
    </xf>
    <xf numFmtId="0" fontId="0" fillId="0" borderId="346" xfId="0" applyBorder="1" applyAlignment="1">
      <alignment vertical="center" wrapText="1"/>
    </xf>
    <xf numFmtId="0" fontId="0" fillId="0" borderId="0" xfId="0" applyBorder="1" applyAlignment="1">
      <alignment wrapText="1"/>
    </xf>
    <xf numFmtId="0" fontId="17" fillId="3" borderId="440" xfId="5" applyFont="1" applyFill="1" applyBorder="1" applyAlignment="1">
      <alignment horizontal="left" vertical="center" wrapText="1"/>
    </xf>
    <xf numFmtId="0" fontId="17" fillId="3" borderId="0" xfId="5" applyFont="1" applyFill="1" applyBorder="1" applyAlignment="1">
      <alignment horizontal="left" vertical="center" wrapText="1"/>
    </xf>
    <xf numFmtId="0" fontId="13" fillId="0" borderId="449" xfId="0" applyFont="1" applyBorder="1" applyAlignment="1">
      <alignment horizontal="center" vertical="top" wrapText="1"/>
    </xf>
    <xf numFmtId="0" fontId="13" fillId="0" borderId="444" xfId="0" applyFont="1" applyBorder="1" applyAlignment="1">
      <alignment horizontal="center" vertical="top" wrapText="1"/>
    </xf>
    <xf numFmtId="0" fontId="13" fillId="0" borderId="445" xfId="0" applyFont="1" applyBorder="1" applyAlignment="1">
      <alignment horizontal="center" vertical="top" wrapText="1"/>
    </xf>
    <xf numFmtId="0" fontId="13" fillId="0" borderId="79" xfId="0" applyFont="1" applyBorder="1" applyAlignment="1">
      <alignment horizontal="center" vertical="center"/>
    </xf>
    <xf numFmtId="49" fontId="0" fillId="0" borderId="440" xfId="0" applyNumberFormat="1" applyFont="1" applyBorder="1" applyAlignment="1">
      <alignment horizontal="left" vertical="top" wrapText="1"/>
    </xf>
    <xf numFmtId="49" fontId="0" fillId="0" borderId="0" xfId="0" applyNumberFormat="1" applyFont="1" applyBorder="1" applyAlignment="1">
      <alignment horizontal="left" vertical="top" wrapText="1"/>
    </xf>
    <xf numFmtId="0" fontId="0" fillId="0" borderId="440" xfId="0" applyFont="1" applyBorder="1" applyAlignment="1">
      <alignment horizontal="left" vertical="top" wrapText="1"/>
    </xf>
    <xf numFmtId="0" fontId="0" fillId="0" borderId="0" xfId="0" applyFont="1" applyBorder="1" applyAlignment="1">
      <alignment horizontal="left" vertical="top" wrapText="1"/>
    </xf>
    <xf numFmtId="0" fontId="3" fillId="0" borderId="442" xfId="0" applyFont="1" applyBorder="1" applyAlignment="1">
      <alignment horizontal="center" vertical="top" wrapText="1"/>
    </xf>
    <xf numFmtId="0" fontId="3" fillId="0" borderId="76" xfId="0" applyFont="1" applyBorder="1" applyAlignment="1">
      <alignment horizontal="center" vertical="top" wrapText="1"/>
    </xf>
    <xf numFmtId="0" fontId="3" fillId="0" borderId="443" xfId="0" applyFont="1" applyBorder="1" applyAlignment="1">
      <alignment horizontal="center" vertical="top" wrapText="1"/>
    </xf>
    <xf numFmtId="0" fontId="3" fillId="0" borderId="389" xfId="0" applyFont="1" applyBorder="1" applyAlignment="1">
      <alignment horizontal="center" vertical="top" wrapText="1"/>
    </xf>
    <xf numFmtId="0" fontId="3" fillId="0" borderId="79" xfId="0" applyFont="1" applyBorder="1" applyAlignment="1">
      <alignment horizontal="center" vertical="top" wrapText="1"/>
    </xf>
    <xf numFmtId="0" fontId="3" fillId="0" borderId="422" xfId="0" applyFont="1" applyBorder="1" applyAlignment="1">
      <alignment horizontal="center" vertical="top" wrapText="1"/>
    </xf>
    <xf numFmtId="0" fontId="95" fillId="8" borderId="62" xfId="13" applyFont="1" applyProtection="1">
      <alignment horizontal="left" vertical="center" wrapText="1"/>
      <protection locked="0"/>
    </xf>
    <xf numFmtId="0" fontId="17" fillId="34" borderId="174" xfId="5" applyFill="1" applyBorder="1" applyAlignment="1" applyProtection="1">
      <alignment horizontal="center" vertical="center" wrapText="1"/>
      <protection locked="0"/>
    </xf>
    <xf numFmtId="0" fontId="17" fillId="34" borderId="451" xfId="5" applyFill="1" applyBorder="1" applyAlignment="1" applyProtection="1">
      <alignment horizontal="center" vertical="center" wrapText="1"/>
      <protection locked="0"/>
    </xf>
    <xf numFmtId="0" fontId="23" fillId="3" borderId="12" xfId="0" applyFont="1" applyFill="1" applyBorder="1" applyAlignment="1">
      <alignment horizontal="left" vertical="center" wrapText="1" indent="3"/>
    </xf>
    <xf numFmtId="0" fontId="23" fillId="3" borderId="0" xfId="0" applyFont="1" applyFill="1" applyBorder="1" applyAlignment="1">
      <alignment horizontal="left" vertical="center" wrapText="1" indent="3"/>
    </xf>
    <xf numFmtId="0" fontId="23" fillId="3" borderId="12" xfId="0" applyFont="1" applyFill="1" applyBorder="1" applyAlignment="1">
      <alignment horizontal="left" vertical="center" wrapText="1" indent="2"/>
    </xf>
    <xf numFmtId="0" fontId="23" fillId="3" borderId="0" xfId="0" applyFont="1" applyFill="1" applyBorder="1" applyAlignment="1">
      <alignment horizontal="left" vertical="center" wrapText="1" indent="2"/>
    </xf>
    <xf numFmtId="0" fontId="23" fillId="3" borderId="104" xfId="0" applyFont="1" applyFill="1" applyBorder="1" applyAlignment="1">
      <alignment horizontal="left" vertical="top" wrapText="1" indent="1"/>
    </xf>
    <xf numFmtId="0" fontId="23" fillId="3" borderId="8" xfId="0" applyFont="1" applyFill="1" applyBorder="1" applyAlignment="1">
      <alignment horizontal="left" vertical="top" wrapText="1" indent="1"/>
    </xf>
    <xf numFmtId="0" fontId="0" fillId="0" borderId="0" xfId="0" applyFont="1" applyBorder="1" applyAlignment="1" applyProtection="1">
      <alignment horizontal="left" vertical="top" wrapText="1"/>
      <protection locked="0"/>
    </xf>
    <xf numFmtId="0" fontId="23" fillId="3" borderId="12" xfId="0" applyFont="1" applyFill="1" applyBorder="1" applyAlignment="1">
      <alignment horizontal="left" vertical="center" wrapText="1"/>
    </xf>
    <xf numFmtId="0" fontId="23" fillId="3" borderId="0" xfId="0" applyFont="1" applyFill="1" applyBorder="1" applyAlignment="1">
      <alignment horizontal="left" vertical="center" wrapText="1"/>
    </xf>
    <xf numFmtId="0" fontId="23" fillId="3" borderId="12" xfId="0" applyFont="1" applyFill="1" applyBorder="1" applyAlignment="1">
      <alignment horizontal="left" vertical="center" wrapText="1" indent="1"/>
    </xf>
    <xf numFmtId="0" fontId="23" fillId="3" borderId="0" xfId="0" applyFont="1" applyFill="1" applyBorder="1" applyAlignment="1">
      <alignment horizontal="left" vertical="center" wrapText="1" indent="1"/>
    </xf>
    <xf numFmtId="49" fontId="79" fillId="17" borderId="327" xfId="0" applyNumberFormat="1" applyFont="1" applyFill="1" applyBorder="1" applyAlignment="1">
      <alignment horizontal="center" vertical="center" wrapText="1"/>
    </xf>
    <xf numFmtId="49" fontId="79" fillId="17" borderId="329" xfId="0" applyNumberFormat="1" applyFont="1" applyFill="1" applyBorder="1" applyAlignment="1">
      <alignment horizontal="center" vertical="center" wrapText="1"/>
    </xf>
    <xf numFmtId="49" fontId="79" fillId="17" borderId="166" xfId="0" applyNumberFormat="1" applyFont="1" applyFill="1" applyBorder="1" applyAlignment="1">
      <alignment horizontal="center" vertical="center" wrapText="1"/>
    </xf>
    <xf numFmtId="49" fontId="79" fillId="17" borderId="328" xfId="0" applyNumberFormat="1" applyFont="1" applyFill="1" applyBorder="1" applyAlignment="1">
      <alignment horizontal="center" vertical="center" wrapText="1"/>
    </xf>
    <xf numFmtId="0" fontId="80" fillId="0" borderId="331" xfId="0" applyFont="1" applyBorder="1" applyAlignment="1">
      <alignment horizontal="center" vertical="center"/>
    </xf>
    <xf numFmtId="0" fontId="80" fillId="0" borderId="169" xfId="0" applyFont="1" applyBorder="1" applyAlignment="1">
      <alignment horizontal="center" vertical="center"/>
    </xf>
    <xf numFmtId="0" fontId="80" fillId="0" borderId="332" xfId="0" applyFont="1" applyBorder="1" applyAlignment="1">
      <alignment horizontal="center" vertical="center"/>
    </xf>
    <xf numFmtId="0" fontId="17" fillId="3" borderId="12" xfId="5" applyFont="1" applyFill="1" applyBorder="1" applyAlignment="1">
      <alignment horizontal="left" vertical="center" wrapText="1"/>
    </xf>
    <xf numFmtId="167" fontId="23" fillId="3" borderId="12" xfId="0" applyNumberFormat="1" applyFont="1" applyFill="1" applyBorder="1" applyAlignment="1">
      <alignment horizontal="left" vertical="center" wrapText="1" indent="1"/>
    </xf>
    <xf numFmtId="167" fontId="23" fillId="3" borderId="0" xfId="0" applyNumberFormat="1" applyFont="1" applyFill="1" applyBorder="1" applyAlignment="1">
      <alignment horizontal="left" vertical="center" wrapText="1" indent="1"/>
    </xf>
    <xf numFmtId="0" fontId="17" fillId="3" borderId="12" xfId="5" applyFont="1" applyFill="1" applyBorder="1" applyAlignment="1" applyProtection="1">
      <alignment horizontal="left" wrapText="1" indent="2"/>
      <protection locked="0"/>
    </xf>
    <xf numFmtId="0" fontId="17" fillId="3" borderId="0" xfId="5" applyFont="1" applyFill="1" applyBorder="1" applyAlignment="1" applyProtection="1">
      <alignment horizontal="left" wrapText="1" indent="2"/>
      <protection locked="0"/>
    </xf>
    <xf numFmtId="167" fontId="23" fillId="3" borderId="12" xfId="0" applyNumberFormat="1" applyFont="1" applyFill="1" applyBorder="1" applyAlignment="1">
      <alignment horizontal="left" wrapText="1" indent="1"/>
    </xf>
    <xf numFmtId="167" fontId="23" fillId="3" borderId="0" xfId="0" applyNumberFormat="1" applyFont="1" applyFill="1" applyBorder="1" applyAlignment="1">
      <alignment horizontal="left" wrapText="1" indent="1"/>
    </xf>
    <xf numFmtId="0" fontId="3" fillId="0" borderId="12" xfId="0" applyFont="1" applyBorder="1" applyAlignment="1">
      <alignment horizontal="center" vertical="center" wrapText="1"/>
    </xf>
    <xf numFmtId="0" fontId="3" fillId="0" borderId="0" xfId="0" applyFont="1" applyBorder="1" applyAlignment="1">
      <alignment horizontal="center" vertical="center" wrapText="1"/>
    </xf>
    <xf numFmtId="0" fontId="3" fillId="0" borderId="13" xfId="0" applyFont="1" applyBorder="1" applyAlignment="1">
      <alignment horizontal="center" vertical="center" wrapText="1"/>
    </xf>
    <xf numFmtId="0" fontId="23" fillId="3" borderId="104" xfId="0" applyFont="1" applyFill="1" applyBorder="1" applyAlignment="1">
      <alignment horizontal="left" vertical="top" wrapText="1"/>
    </xf>
    <xf numFmtId="0" fontId="23" fillId="3" borderId="8" xfId="0" applyFont="1" applyFill="1" applyBorder="1" applyAlignment="1">
      <alignment horizontal="left" vertical="top" wrapText="1"/>
    </xf>
    <xf numFmtId="0" fontId="0" fillId="3" borderId="12" xfId="0" applyFont="1" applyFill="1" applyBorder="1" applyAlignment="1">
      <alignment horizontal="left" vertical="top" wrapText="1"/>
    </xf>
    <xf numFmtId="0" fontId="0" fillId="3" borderId="0" xfId="0" applyFont="1" applyFill="1" applyBorder="1" applyAlignment="1">
      <alignment horizontal="left" vertical="top" wrapText="1"/>
    </xf>
    <xf numFmtId="0" fontId="23" fillId="3" borderId="12" xfId="0" applyFont="1" applyFill="1" applyBorder="1" applyAlignment="1">
      <alignment horizontal="left" vertical="top" wrapText="1" indent="1"/>
    </xf>
    <xf numFmtId="0" fontId="23" fillId="3" borderId="0" xfId="0" applyFont="1" applyFill="1" applyBorder="1" applyAlignment="1">
      <alignment horizontal="left" vertical="top" wrapText="1" indent="1"/>
    </xf>
    <xf numFmtId="0" fontId="23" fillId="3" borderId="12" xfId="0" applyFont="1" applyFill="1" applyBorder="1" applyAlignment="1">
      <alignment horizontal="left" vertical="top" wrapText="1"/>
    </xf>
    <xf numFmtId="0" fontId="23" fillId="3" borderId="0" xfId="0" applyFont="1" applyFill="1" applyBorder="1" applyAlignment="1">
      <alignment horizontal="left" vertical="top" wrapText="1"/>
    </xf>
    <xf numFmtId="0" fontId="13" fillId="3" borderId="12" xfId="0" applyFont="1" applyFill="1" applyBorder="1" applyAlignment="1">
      <alignment horizontal="left" vertical="top" wrapText="1"/>
    </xf>
    <xf numFmtId="0" fontId="13" fillId="3" borderId="0" xfId="0" applyFont="1" applyFill="1" applyBorder="1" applyAlignment="1">
      <alignment horizontal="left" vertical="top" wrapText="1"/>
    </xf>
    <xf numFmtId="0" fontId="156" fillId="0" borderId="0" xfId="0" applyFont="1" applyAlignment="1" applyProtection="1">
      <alignment horizontal="left" vertical="center" wrapText="1"/>
    </xf>
    <xf numFmtId="0" fontId="0" fillId="0" borderId="0" xfId="0" applyAlignment="1" applyProtection="1">
      <alignment wrapText="1"/>
    </xf>
    <xf numFmtId="0" fontId="0" fillId="0" borderId="13" xfId="0" applyBorder="1" applyAlignment="1" applyProtection="1">
      <alignment wrapText="1"/>
    </xf>
    <xf numFmtId="0" fontId="20" fillId="3" borderId="831" xfId="0" applyFont="1" applyFill="1" applyBorder="1" applyAlignment="1">
      <alignment horizontal="center" vertical="center" wrapText="1"/>
    </xf>
    <xf numFmtId="0" fontId="20" fillId="3" borderId="8" xfId="0" applyFont="1" applyFill="1" applyBorder="1" applyAlignment="1">
      <alignment horizontal="center" vertical="center" wrapText="1"/>
    </xf>
    <xf numFmtId="0" fontId="0" fillId="3" borderId="12" xfId="0" applyFont="1" applyFill="1" applyBorder="1"/>
    <xf numFmtId="0" fontId="0" fillId="3" borderId="0" xfId="0" applyFont="1" applyFill="1" applyBorder="1"/>
    <xf numFmtId="0" fontId="23" fillId="3" borderId="12" xfId="0" applyFont="1" applyFill="1" applyBorder="1" applyAlignment="1">
      <alignment vertical="center" wrapText="1"/>
    </xf>
    <xf numFmtId="0" fontId="23" fillId="3" borderId="0" xfId="0" applyFont="1" applyFill="1" applyBorder="1" applyAlignment="1">
      <alignment vertical="center" wrapText="1"/>
    </xf>
    <xf numFmtId="0" fontId="23" fillId="3" borderId="12" xfId="0" applyFont="1" applyFill="1" applyBorder="1" applyAlignment="1">
      <alignment horizontal="left" vertical="top" wrapText="1" indent="2"/>
    </xf>
    <xf numFmtId="0" fontId="23" fillId="3" borderId="0" xfId="0" applyFont="1" applyFill="1" applyBorder="1" applyAlignment="1">
      <alignment horizontal="left" vertical="top" wrapText="1" indent="2"/>
    </xf>
    <xf numFmtId="0" fontId="0" fillId="0" borderId="513" xfId="0" applyFont="1" applyBorder="1" applyAlignment="1">
      <alignment horizontal="left" vertical="top" wrapText="1"/>
    </xf>
    <xf numFmtId="0" fontId="0" fillId="0" borderId="27" xfId="0" applyFont="1" applyBorder="1" applyAlignment="1">
      <alignment horizontal="left" vertical="top" wrapText="1"/>
    </xf>
    <xf numFmtId="0" fontId="0" fillId="0" borderId="175" xfId="0" applyFont="1" applyBorder="1" applyAlignment="1">
      <alignment horizontal="left" vertical="top" wrapText="1"/>
    </xf>
    <xf numFmtId="0" fontId="78" fillId="0" borderId="433" xfId="0" applyFont="1" applyBorder="1" applyAlignment="1">
      <alignment horizontal="center" wrapText="1"/>
    </xf>
    <xf numFmtId="0" fontId="78" fillId="0" borderId="433" xfId="0" applyFont="1" applyBorder="1" applyAlignment="1">
      <alignment horizontal="center"/>
    </xf>
    <xf numFmtId="0" fontId="78" fillId="0" borderId="0" xfId="0" applyFont="1" applyBorder="1" applyAlignment="1">
      <alignment horizontal="center"/>
    </xf>
    <xf numFmtId="0" fontId="2" fillId="36" borderId="75" xfId="0" applyFont="1" applyFill="1" applyBorder="1" applyAlignment="1">
      <alignment wrapText="1"/>
    </xf>
    <xf numFmtId="0" fontId="2" fillId="36" borderId="76" xfId="0" applyFont="1" applyFill="1" applyBorder="1" applyAlignment="1">
      <alignment wrapText="1"/>
    </xf>
    <xf numFmtId="0" fontId="2" fillId="36" borderId="77" xfId="0" applyFont="1" applyFill="1" applyBorder="1" applyAlignment="1">
      <alignment wrapText="1"/>
    </xf>
    <xf numFmtId="0" fontId="0" fillId="0" borderId="78" xfId="0" applyFont="1" applyBorder="1" applyAlignment="1">
      <alignment horizontal="left" vertical="top" wrapText="1"/>
    </xf>
    <xf numFmtId="0" fontId="0" fillId="0" borderId="401" xfId="0" applyFont="1" applyBorder="1" applyAlignment="1">
      <alignment horizontal="left" vertical="top" wrapText="1"/>
    </xf>
    <xf numFmtId="0" fontId="0" fillId="0" borderId="505" xfId="0" applyFont="1" applyBorder="1" applyAlignment="1">
      <alignment horizontal="left" vertical="top" wrapText="1"/>
    </xf>
    <xf numFmtId="0" fontId="0" fillId="0" borderId="503" xfId="0" applyFont="1" applyBorder="1" applyAlignment="1">
      <alignment horizontal="left" vertical="top" wrapText="1"/>
    </xf>
    <xf numFmtId="0" fontId="0" fillId="0" borderId="504" xfId="0" applyFont="1" applyBorder="1" applyAlignment="1">
      <alignment horizontal="left" vertical="top" wrapText="1"/>
    </xf>
    <xf numFmtId="0" fontId="0" fillId="37" borderId="505" xfId="0" applyFont="1" applyFill="1" applyBorder="1" applyAlignment="1">
      <alignment horizontal="left" vertical="top" wrapText="1"/>
    </xf>
    <xf numFmtId="0" fontId="0" fillId="37" borderId="504" xfId="0" applyFont="1" applyFill="1" applyBorder="1" applyAlignment="1">
      <alignment horizontal="left" vertical="top" wrapText="1"/>
    </xf>
    <xf numFmtId="0" fontId="2" fillId="36" borderId="506" xfId="0" applyFont="1" applyFill="1" applyBorder="1" applyAlignment="1">
      <alignment horizontal="left" vertical="top" wrapText="1"/>
    </xf>
    <xf numFmtId="0" fontId="2" fillId="36" borderId="346" xfId="0" applyFont="1" applyFill="1" applyBorder="1" applyAlignment="1">
      <alignment horizontal="left" vertical="top" wrapText="1"/>
    </xf>
    <xf numFmtId="0" fontId="2" fillId="36" borderId="507" xfId="0" applyFont="1" applyFill="1" applyBorder="1" applyAlignment="1">
      <alignment horizontal="left" vertical="top" wrapText="1"/>
    </xf>
    <xf numFmtId="0" fontId="0" fillId="0" borderId="510" xfId="0" applyFont="1" applyBorder="1" applyAlignment="1">
      <alignment horizontal="left" vertical="top" wrapText="1"/>
    </xf>
    <xf numFmtId="0" fontId="0" fillId="0" borderId="511" xfId="0" applyFont="1" applyBorder="1" applyAlignment="1">
      <alignment horizontal="left" vertical="top" wrapText="1"/>
    </xf>
    <xf numFmtId="0" fontId="0" fillId="0" borderId="512" xfId="0" applyFont="1" applyBorder="1" applyAlignment="1">
      <alignment horizontal="left" vertical="top" wrapText="1"/>
    </xf>
    <xf numFmtId="0" fontId="0" fillId="0" borderId="174" xfId="0" applyFont="1" applyBorder="1" applyAlignment="1">
      <alignment horizontal="left" vertical="top" wrapText="1"/>
    </xf>
    <xf numFmtId="0" fontId="0" fillId="0" borderId="500" xfId="0" applyFont="1" applyBorder="1" applyAlignment="1">
      <alignment horizontal="left" vertical="top" wrapText="1"/>
    </xf>
    <xf numFmtId="0" fontId="0" fillId="0" borderId="428" xfId="0" applyFont="1" applyBorder="1" applyAlignment="1">
      <alignment horizontal="left" vertical="top" wrapText="1"/>
    </xf>
    <xf numFmtId="0" fontId="0" fillId="0" borderId="429" xfId="0" applyFont="1" applyBorder="1" applyAlignment="1">
      <alignment horizontal="left" vertical="top" wrapText="1"/>
    </xf>
    <xf numFmtId="0" fontId="0" fillId="0" borderId="501" xfId="0" applyFont="1" applyBorder="1" applyAlignment="1">
      <alignment horizontal="left" vertical="top" wrapText="1"/>
    </xf>
    <xf numFmtId="0" fontId="0" fillId="0" borderId="514" xfId="0" applyFont="1" applyBorder="1" applyAlignment="1">
      <alignment horizontal="left" vertical="top" wrapText="1"/>
    </xf>
    <xf numFmtId="0" fontId="0" fillId="0" borderId="430" xfId="0" applyFont="1" applyBorder="1" applyAlignment="1">
      <alignment horizontal="left" vertical="top" wrapText="1"/>
    </xf>
    <xf numFmtId="0" fontId="0" fillId="37" borderId="510" xfId="0" applyFont="1" applyFill="1" applyBorder="1" applyAlignment="1">
      <alignment horizontal="left" vertical="top" wrapText="1"/>
    </xf>
    <xf numFmtId="0" fontId="0" fillId="37" borderId="511" xfId="0" applyFont="1" applyFill="1" applyBorder="1" applyAlignment="1">
      <alignment horizontal="left" vertical="top" wrapText="1"/>
    </xf>
    <xf numFmtId="0" fontId="0" fillId="37" borderId="512" xfId="0" applyFont="1" applyFill="1" applyBorder="1" applyAlignment="1">
      <alignment horizontal="left" vertical="top" wrapText="1"/>
    </xf>
    <xf numFmtId="0" fontId="0" fillId="0" borderId="256" xfId="0" applyFont="1" applyBorder="1" applyAlignment="1">
      <alignment horizontal="left" vertical="top" wrapText="1"/>
    </xf>
    <xf numFmtId="0" fontId="0" fillId="0" borderId="426" xfId="0" applyFont="1" applyBorder="1" applyAlignment="1">
      <alignment horizontal="left" vertical="top" wrapText="1"/>
    </xf>
    <xf numFmtId="0" fontId="0" fillId="0" borderId="502" xfId="0" applyFont="1" applyBorder="1" applyAlignment="1">
      <alignment horizontal="left" vertical="top" wrapText="1"/>
    </xf>
    <xf numFmtId="0" fontId="0" fillId="37" borderId="256" xfId="0" applyFont="1" applyFill="1" applyBorder="1" applyAlignment="1">
      <alignment horizontal="left" vertical="top" wrapText="1"/>
    </xf>
    <xf numFmtId="0" fontId="0" fillId="37" borderId="426" xfId="0" applyFont="1" applyFill="1" applyBorder="1" applyAlignment="1">
      <alignment horizontal="left" vertical="top" wrapText="1"/>
    </xf>
    <xf numFmtId="0" fontId="0" fillId="37" borderId="502" xfId="0" applyFont="1" applyFill="1" applyBorder="1" applyAlignment="1">
      <alignment horizontal="left" vertical="top" wrapText="1"/>
    </xf>
    <xf numFmtId="0" fontId="0" fillId="37" borderId="428" xfId="0" applyFont="1" applyFill="1" applyBorder="1" applyAlignment="1">
      <alignment horizontal="left" vertical="top" wrapText="1"/>
    </xf>
    <xf numFmtId="0" fontId="0" fillId="37" borderId="429" xfId="0" applyFont="1" applyFill="1" applyBorder="1" applyAlignment="1">
      <alignment horizontal="left" vertical="top" wrapText="1"/>
    </xf>
    <xf numFmtId="0" fontId="0" fillId="37" borderId="501" xfId="0" applyFont="1" applyFill="1" applyBorder="1" applyAlignment="1">
      <alignment horizontal="left" vertical="top" wrapText="1"/>
    </xf>
    <xf numFmtId="0" fontId="0" fillId="37" borderId="503" xfId="0" applyFont="1" applyFill="1" applyBorder="1" applyAlignment="1">
      <alignment horizontal="left" vertical="top" wrapText="1"/>
    </xf>
    <xf numFmtId="0" fontId="0" fillId="37" borderId="174" xfId="0" applyFont="1" applyFill="1" applyBorder="1" applyAlignment="1">
      <alignment horizontal="left" vertical="top" wrapText="1"/>
    </xf>
    <xf numFmtId="0" fontId="0" fillId="37" borderId="27" xfId="0" applyFont="1" applyFill="1" applyBorder="1" applyAlignment="1">
      <alignment horizontal="left" vertical="top" wrapText="1"/>
    </xf>
    <xf numFmtId="0" fontId="0" fillId="37" borderId="500" xfId="0" applyFont="1" applyFill="1" applyBorder="1" applyAlignment="1">
      <alignment horizontal="left" vertical="top" wrapText="1"/>
    </xf>
    <xf numFmtId="0" fontId="0" fillId="0" borderId="224" xfId="0" applyFont="1" applyBorder="1" applyAlignment="1">
      <alignment horizontal="left" vertical="top" wrapText="1"/>
    </xf>
    <xf numFmtId="0" fontId="0" fillId="0" borderId="26" xfId="0" applyFont="1" applyBorder="1" applyAlignment="1">
      <alignment horizontal="left" vertical="top" wrapText="1"/>
    </xf>
    <xf numFmtId="0" fontId="0" fillId="0" borderId="508" xfId="0" applyFont="1" applyBorder="1" applyAlignment="1">
      <alignment horizontal="left" vertical="top" wrapText="1"/>
    </xf>
    <xf numFmtId="0" fontId="0" fillId="0" borderId="488" xfId="0" applyFont="1" applyBorder="1" applyAlignment="1">
      <alignment horizontal="left" vertical="top" wrapText="1"/>
    </xf>
    <xf numFmtId="0" fontId="17" fillId="34" borderId="63" xfId="5" applyFill="1" applyBorder="1" applyAlignment="1" applyProtection="1">
      <alignment horizontal="center" vertical="center" wrapText="1"/>
      <protection locked="0"/>
    </xf>
    <xf numFmtId="0" fontId="17" fillId="34" borderId="65" xfId="5" applyFill="1" applyBorder="1" applyAlignment="1" applyProtection="1">
      <alignment horizontal="center" vertical="center" wrapText="1"/>
      <protection locked="0"/>
    </xf>
    <xf numFmtId="0" fontId="17" fillId="7" borderId="63" xfId="5" applyFill="1" applyBorder="1" applyAlignment="1" applyProtection="1">
      <alignment horizontal="center" vertical="center" wrapText="1"/>
      <protection locked="0"/>
    </xf>
    <xf numFmtId="0" fontId="17" fillId="7" borderId="65" xfId="5" applyFill="1" applyBorder="1" applyAlignment="1" applyProtection="1">
      <alignment horizontal="center" vertical="center" wrapText="1"/>
      <protection locked="0"/>
    </xf>
    <xf numFmtId="0" fontId="17" fillId="7" borderId="63" xfId="5" applyFill="1" applyBorder="1" applyAlignment="1" applyProtection="1">
      <alignment horizontal="center" vertical="center"/>
      <protection locked="0"/>
    </xf>
    <xf numFmtId="0" fontId="17" fillId="7" borderId="65" xfId="5" applyFill="1" applyBorder="1" applyAlignment="1" applyProtection="1">
      <alignment horizontal="center" vertical="center"/>
      <protection locked="0"/>
    </xf>
    <xf numFmtId="0" fontId="0" fillId="0" borderId="104" xfId="0" applyFont="1" applyBorder="1"/>
    <xf numFmtId="0" fontId="0" fillId="0" borderId="8" xfId="0" applyFont="1" applyBorder="1"/>
    <xf numFmtId="0" fontId="0" fillId="0" borderId="106" xfId="0" applyFont="1" applyBorder="1"/>
    <xf numFmtId="0" fontId="0" fillId="0" borderId="12" xfId="0" applyFont="1" applyBorder="1" applyAlignment="1">
      <alignment vertical="top" wrapText="1"/>
    </xf>
    <xf numFmtId="0" fontId="0" fillId="0" borderId="0" xfId="0" applyFont="1" applyBorder="1" applyAlignment="1">
      <alignment vertical="top" wrapText="1"/>
    </xf>
    <xf numFmtId="0" fontId="0" fillId="0" borderId="13" xfId="0" applyFont="1" applyBorder="1" applyAlignment="1">
      <alignment vertical="top" wrapText="1"/>
    </xf>
    <xf numFmtId="0" fontId="0" fillId="0" borderId="12" xfId="0" applyFont="1" applyBorder="1" applyAlignment="1">
      <alignment horizontal="left" vertical="top" wrapText="1" indent="1"/>
    </xf>
    <xf numFmtId="0" fontId="0" fillId="0" borderId="0" xfId="0" applyFont="1" applyBorder="1" applyAlignment="1">
      <alignment horizontal="left" vertical="top" wrapText="1" indent="1"/>
    </xf>
    <xf numFmtId="0" fontId="0" fillId="0" borderId="13" xfId="0" applyFont="1" applyBorder="1" applyAlignment="1">
      <alignment horizontal="left" vertical="top" wrapText="1" indent="1"/>
    </xf>
    <xf numFmtId="0" fontId="0" fillId="0" borderId="12" xfId="0" applyFont="1" applyBorder="1" applyAlignment="1">
      <alignment horizontal="left" vertical="top" wrapText="1" indent="2"/>
    </xf>
    <xf numFmtId="0" fontId="0" fillId="0" borderId="0" xfId="0" applyFont="1" applyBorder="1" applyAlignment="1">
      <alignment horizontal="left" vertical="top" wrapText="1" indent="2"/>
    </xf>
    <xf numFmtId="0" fontId="0" fillId="0" borderId="13" xfId="0" applyFont="1" applyBorder="1" applyAlignment="1">
      <alignment horizontal="left" vertical="top" wrapText="1" indent="2"/>
    </xf>
    <xf numFmtId="0" fontId="0" fillId="0" borderId="12" xfId="0" applyFont="1" applyBorder="1" applyAlignment="1">
      <alignment horizontal="left" vertical="top" wrapText="1" indent="3"/>
    </xf>
    <xf numFmtId="0" fontId="0" fillId="0" borderId="0" xfId="0" applyFont="1" applyBorder="1" applyAlignment="1">
      <alignment horizontal="left" vertical="top" wrapText="1" indent="3"/>
    </xf>
    <xf numFmtId="0" fontId="0" fillId="0" borderId="13" xfId="0" applyFont="1" applyBorder="1" applyAlignment="1">
      <alignment horizontal="left" vertical="top" wrapText="1" indent="3"/>
    </xf>
    <xf numFmtId="0" fontId="30" fillId="0" borderId="342" xfId="0" applyFont="1" applyBorder="1" applyAlignment="1">
      <alignment vertical="top" wrapText="1"/>
    </xf>
    <xf numFmtId="0" fontId="30" fillId="0" borderId="343" xfId="0" applyFont="1" applyBorder="1" applyAlignment="1">
      <alignment vertical="top" wrapText="1"/>
    </xf>
    <xf numFmtId="9" fontId="23" fillId="0" borderId="154" xfId="0" applyNumberFormat="1" applyFont="1" applyBorder="1" applyAlignment="1">
      <alignment horizontal="center" vertical="center" wrapText="1"/>
    </xf>
    <xf numFmtId="0" fontId="23" fillId="0" borderId="79" xfId="0" applyFont="1" applyBorder="1" applyAlignment="1">
      <alignment horizontal="center" vertical="center" wrapText="1"/>
    </xf>
    <xf numFmtId="2" fontId="23" fillId="0" borderId="79" xfId="0" applyNumberFormat="1" applyFont="1" applyBorder="1" applyAlignment="1">
      <alignment horizontal="center" vertical="center" wrapText="1"/>
    </xf>
    <xf numFmtId="2" fontId="23" fillId="0" borderId="155" xfId="0" applyNumberFormat="1" applyFont="1" applyBorder="1" applyAlignment="1">
      <alignment horizontal="center" vertical="center" wrapText="1"/>
    </xf>
    <xf numFmtId="0" fontId="23" fillId="0" borderId="154" xfId="0" applyFont="1" applyBorder="1" applyAlignment="1">
      <alignment horizontal="center" vertical="center" wrapText="1"/>
    </xf>
    <xf numFmtId="0" fontId="23" fillId="0" borderId="168" xfId="0" applyFont="1" applyBorder="1" applyAlignment="1">
      <alignment horizontal="center" vertical="center" wrapText="1"/>
    </xf>
    <xf numFmtId="0" fontId="23" fillId="0" borderId="169" xfId="0" applyFont="1" applyBorder="1" applyAlignment="1">
      <alignment horizontal="center" vertical="center" wrapText="1"/>
    </xf>
    <xf numFmtId="2" fontId="23" fillId="0" borderId="169" xfId="0" applyNumberFormat="1" applyFont="1" applyBorder="1" applyAlignment="1">
      <alignment horizontal="center" vertical="center" wrapText="1"/>
    </xf>
    <xf numFmtId="2" fontId="23" fillId="0" borderId="170" xfId="0" applyNumberFormat="1" applyFont="1" applyBorder="1" applyAlignment="1">
      <alignment horizontal="center" vertical="center" wrapText="1"/>
    </xf>
    <xf numFmtId="0" fontId="5" fillId="0" borderId="0" xfId="0" applyFont="1" applyFill="1" applyBorder="1" applyAlignment="1">
      <alignment horizontal="center" vertical="top" wrapText="1"/>
    </xf>
    <xf numFmtId="0" fontId="2" fillId="17" borderId="165" xfId="0" applyFont="1" applyFill="1" applyBorder="1" applyAlignment="1">
      <alignment horizontal="center" vertical="top" wrapText="1"/>
    </xf>
    <xf numFmtId="0" fontId="2" fillId="17" borderId="166" xfId="0" applyFont="1" applyFill="1" applyBorder="1" applyAlignment="1">
      <alignment horizontal="center" vertical="top" wrapText="1"/>
    </xf>
    <xf numFmtId="0" fontId="2" fillId="17" borderId="167" xfId="0" applyFont="1" applyFill="1" applyBorder="1" applyAlignment="1">
      <alignment horizontal="center" vertical="top" wrapText="1"/>
    </xf>
    <xf numFmtId="0" fontId="0" fillId="0" borderId="156" xfId="0" applyFont="1" applyBorder="1" applyAlignment="1">
      <alignment vertical="top" wrapText="1"/>
    </xf>
    <xf numFmtId="0" fontId="0" fillId="0" borderId="157" xfId="0" applyFont="1" applyBorder="1" applyAlignment="1">
      <alignment vertical="top" wrapText="1"/>
    </xf>
    <xf numFmtId="0" fontId="0" fillId="0" borderId="158" xfId="0" applyFont="1" applyBorder="1" applyAlignment="1">
      <alignment vertical="top" wrapText="1"/>
    </xf>
    <xf numFmtId="0" fontId="0" fillId="0" borderId="12" xfId="0" applyBorder="1" applyAlignment="1">
      <alignment horizontal="left" vertical="top" wrapText="1" indent="2"/>
    </xf>
    <xf numFmtId="0" fontId="2" fillId="17" borderId="150" xfId="0" applyFont="1" applyFill="1" applyBorder="1" applyAlignment="1">
      <alignment horizontal="center" vertical="top" wrapText="1"/>
    </xf>
    <xf numFmtId="0" fontId="2" fillId="17" borderId="151" xfId="0" applyFont="1" applyFill="1" applyBorder="1" applyAlignment="1">
      <alignment horizontal="center" vertical="top" wrapText="1"/>
    </xf>
    <xf numFmtId="0" fontId="2" fillId="17" borderId="152" xfId="0" applyFont="1" applyFill="1" applyBorder="1" applyAlignment="1">
      <alignment horizontal="center" vertical="top" wrapText="1"/>
    </xf>
    <xf numFmtId="0" fontId="38" fillId="0" borderId="0" xfId="0" applyFont="1" applyBorder="1" applyAlignment="1">
      <alignment vertical="top" wrapText="1"/>
    </xf>
    <xf numFmtId="0" fontId="38" fillId="0" borderId="341" xfId="0" applyFont="1" applyBorder="1" applyAlignment="1">
      <alignment vertical="top" wrapText="1"/>
    </xf>
    <xf numFmtId="0" fontId="0" fillId="0" borderId="153" xfId="0" applyFont="1" applyBorder="1" applyAlignment="1">
      <alignment vertical="top" wrapText="1"/>
    </xf>
    <xf numFmtId="0" fontId="0" fillId="0" borderId="341" xfId="0" applyFont="1" applyBorder="1" applyAlignment="1">
      <alignment vertical="top" wrapText="1"/>
    </xf>
    <xf numFmtId="0" fontId="3" fillId="0" borderId="0" xfId="0" applyFont="1" applyBorder="1" applyAlignment="1">
      <alignment horizontal="center" wrapText="1"/>
    </xf>
    <xf numFmtId="0" fontId="2" fillId="17" borderId="166" xfId="0" applyFont="1" applyFill="1" applyBorder="1" applyAlignment="1">
      <alignment horizontal="center" vertical="center" wrapText="1"/>
    </xf>
    <xf numFmtId="0" fontId="2" fillId="17" borderId="167" xfId="0" applyFont="1" applyFill="1" applyBorder="1" applyAlignment="1">
      <alignment horizontal="center" vertical="center" wrapText="1"/>
    </xf>
    <xf numFmtId="0" fontId="0" fillId="0" borderId="12" xfId="0" applyBorder="1" applyAlignment="1">
      <alignment horizontal="left" vertical="top" wrapText="1" indent="3"/>
    </xf>
    <xf numFmtId="0" fontId="30" fillId="0" borderId="338" xfId="0" applyFont="1" applyBorder="1"/>
    <xf numFmtId="0" fontId="30" fillId="0" borderId="339" xfId="0" applyFont="1" applyBorder="1"/>
    <xf numFmtId="0" fontId="30" fillId="0" borderId="340" xfId="0" applyFont="1" applyBorder="1"/>
    <xf numFmtId="0" fontId="0" fillId="0" borderId="121" xfId="0" applyFont="1" applyBorder="1" applyAlignment="1" applyProtection="1">
      <alignment horizontal="left" vertical="top" wrapText="1"/>
      <protection locked="0"/>
    </xf>
    <xf numFmtId="0" fontId="0" fillId="0" borderId="61" xfId="0" applyFont="1" applyBorder="1" applyAlignment="1" applyProtection="1">
      <alignment horizontal="left" vertical="top" wrapText="1"/>
      <protection locked="0"/>
    </xf>
    <xf numFmtId="0" fontId="0" fillId="0" borderId="122" xfId="0" applyFont="1" applyBorder="1" applyAlignment="1" applyProtection="1">
      <alignment horizontal="left" vertical="top" wrapText="1"/>
      <protection locked="0"/>
    </xf>
    <xf numFmtId="0" fontId="3" fillId="0" borderId="12" xfId="0" applyFont="1" applyBorder="1" applyAlignment="1">
      <alignment vertical="top" wrapText="1"/>
    </xf>
    <xf numFmtId="0" fontId="3" fillId="0" borderId="0" xfId="0" applyFont="1" applyBorder="1" applyAlignment="1">
      <alignment vertical="top" wrapText="1"/>
    </xf>
    <xf numFmtId="0" fontId="3" fillId="0" borderId="13" xfId="0" applyFont="1" applyBorder="1" applyAlignment="1">
      <alignment vertical="top" wrapText="1"/>
    </xf>
    <xf numFmtId="0" fontId="30" fillId="0" borderId="336" xfId="0" applyFont="1" applyBorder="1"/>
    <xf numFmtId="0" fontId="30" fillId="0" borderId="236" xfId="0" applyFont="1" applyBorder="1"/>
    <xf numFmtId="0" fontId="30" fillId="0" borderId="337" xfId="0" applyFont="1" applyBorder="1"/>
    <xf numFmtId="0" fontId="3" fillId="0" borderId="12" xfId="0" applyFont="1" applyBorder="1" applyAlignment="1">
      <alignment horizontal="left" vertical="top" wrapText="1"/>
    </xf>
    <xf numFmtId="0" fontId="3" fillId="0" borderId="0" xfId="0" applyFont="1" applyBorder="1" applyAlignment="1">
      <alignment horizontal="left" vertical="top" wrapText="1"/>
    </xf>
    <xf numFmtId="0" fontId="3" fillId="0" borderId="13" xfId="0" applyFont="1" applyBorder="1" applyAlignment="1">
      <alignment horizontal="left" vertical="top" wrapText="1"/>
    </xf>
    <xf numFmtId="0" fontId="0" fillId="0" borderId="0" xfId="0" applyFont="1" applyBorder="1"/>
    <xf numFmtId="0" fontId="0" fillId="0" borderId="13" xfId="0" applyFont="1" applyBorder="1"/>
    <xf numFmtId="0" fontId="8" fillId="17" borderId="166" xfId="0" applyFont="1" applyFill="1" applyBorder="1" applyAlignment="1">
      <alignment horizontal="center" vertical="center"/>
    </xf>
    <xf numFmtId="0" fontId="8" fillId="17" borderId="328" xfId="0" applyFont="1" applyFill="1" applyBorder="1" applyAlignment="1">
      <alignment horizontal="center" vertical="center"/>
    </xf>
    <xf numFmtId="0" fontId="8" fillId="17" borderId="79" xfId="0" applyFont="1" applyFill="1" applyBorder="1" applyAlignment="1">
      <alignment horizontal="center" vertical="center"/>
    </xf>
    <xf numFmtId="0" fontId="8" fillId="17" borderId="330" xfId="0" applyFont="1" applyFill="1" applyBorder="1" applyAlignment="1">
      <alignment horizontal="center" vertical="center"/>
    </xf>
    <xf numFmtId="0" fontId="30" fillId="0" borderId="334" xfId="0" applyFont="1" applyBorder="1"/>
    <xf numFmtId="0" fontId="30" fillId="0" borderId="228" xfId="0" applyFont="1" applyBorder="1"/>
    <xf numFmtId="0" fontId="30" fillId="0" borderId="335" xfId="0" applyFont="1" applyBorder="1"/>
    <xf numFmtId="0" fontId="3" fillId="0" borderId="8" xfId="0" applyFont="1" applyBorder="1" applyAlignment="1">
      <alignment horizontal="center" vertical="center" wrapText="1"/>
    </xf>
    <xf numFmtId="0" fontId="23" fillId="0" borderId="8" xfId="0" applyFont="1" applyBorder="1" applyAlignment="1">
      <alignment horizontal="center" vertical="center" wrapText="1"/>
    </xf>
    <xf numFmtId="0" fontId="71" fillId="0" borderId="0" xfId="0" applyFont="1" applyAlignment="1">
      <alignment horizontal="left" vertical="center"/>
    </xf>
  </cellXfs>
  <cellStyles count="68">
    <cellStyle name="20% - Accent1 2" xfId="25" xr:uid="{00000000-0005-0000-0000-000000000000}"/>
    <cellStyle name="20% - Accent2 2" xfId="26" xr:uid="{00000000-0005-0000-0000-000001000000}"/>
    <cellStyle name="20% - Accent3 2" xfId="27" xr:uid="{00000000-0005-0000-0000-000002000000}"/>
    <cellStyle name="20% - Accent4 2" xfId="28" xr:uid="{00000000-0005-0000-0000-000003000000}"/>
    <cellStyle name="20% - Accent5 2" xfId="29" xr:uid="{00000000-0005-0000-0000-000004000000}"/>
    <cellStyle name="20% - Accent6 2" xfId="30" xr:uid="{00000000-0005-0000-0000-000005000000}"/>
    <cellStyle name="40% - Accent1 2" xfId="31" xr:uid="{00000000-0005-0000-0000-000006000000}"/>
    <cellStyle name="40% - Accent2 2" xfId="32" xr:uid="{00000000-0005-0000-0000-000007000000}"/>
    <cellStyle name="40% - Accent3" xfId="3" builtinId="39"/>
    <cellStyle name="40% - Accent3 2" xfId="33" xr:uid="{00000000-0005-0000-0000-000009000000}"/>
    <cellStyle name="40% - Accent4 2" xfId="34" xr:uid="{00000000-0005-0000-0000-00000A000000}"/>
    <cellStyle name="40% - Accent5 2" xfId="35" xr:uid="{00000000-0005-0000-0000-00000B000000}"/>
    <cellStyle name="40% - Accent6 2" xfId="36" xr:uid="{00000000-0005-0000-0000-00000C000000}"/>
    <cellStyle name="60% - Accent1 2" xfId="37" xr:uid="{00000000-0005-0000-0000-00000D000000}"/>
    <cellStyle name="60% - Accent2 2" xfId="38" xr:uid="{00000000-0005-0000-0000-00000E000000}"/>
    <cellStyle name="60% - Accent3 2" xfId="39" xr:uid="{00000000-0005-0000-0000-00000F000000}"/>
    <cellStyle name="60% - Accent4 2" xfId="40" xr:uid="{00000000-0005-0000-0000-000010000000}"/>
    <cellStyle name="60% - Accent5 2" xfId="41" xr:uid="{00000000-0005-0000-0000-000011000000}"/>
    <cellStyle name="60% - Accent6 2" xfId="42" xr:uid="{00000000-0005-0000-0000-000012000000}"/>
    <cellStyle name="Accent1 2" xfId="43" xr:uid="{00000000-0005-0000-0000-000013000000}"/>
    <cellStyle name="Accent2 2" xfId="44" xr:uid="{00000000-0005-0000-0000-000014000000}"/>
    <cellStyle name="Accent3" xfId="17" builtinId="37"/>
    <cellStyle name="Accent3 2" xfId="45" xr:uid="{00000000-0005-0000-0000-000016000000}"/>
    <cellStyle name="Accent4 2" xfId="46" xr:uid="{00000000-0005-0000-0000-000017000000}"/>
    <cellStyle name="Accent5 2" xfId="47" xr:uid="{00000000-0005-0000-0000-000018000000}"/>
    <cellStyle name="Accent6 2" xfId="48" xr:uid="{00000000-0005-0000-0000-000019000000}"/>
    <cellStyle name="Bad 2" xfId="49" xr:uid="{00000000-0005-0000-0000-00001A000000}"/>
    <cellStyle name="Builders Challenge" xfId="14" xr:uid="{00000000-0005-0000-0000-00001B000000}"/>
    <cellStyle name="Calculation 2" xfId="50" xr:uid="{00000000-0005-0000-0000-00001C000000}"/>
    <cellStyle name="Check Cell 2" xfId="51" xr:uid="{00000000-0005-0000-0000-00001D000000}"/>
    <cellStyle name="Climate Zone" xfId="20" xr:uid="{00000000-0005-0000-0000-00001E000000}"/>
    <cellStyle name="Column Header" xfId="6" xr:uid="{00000000-0005-0000-0000-00001F000000}"/>
    <cellStyle name="Comma 2" xfId="21" xr:uid="{00000000-0005-0000-0000-000020000000}"/>
    <cellStyle name="Comments" xfId="12" xr:uid="{00000000-0005-0000-0000-000021000000}"/>
    <cellStyle name="Comments:" xfId="11" xr:uid="{00000000-0005-0000-0000-000022000000}"/>
    <cellStyle name="Divider" xfId="18" xr:uid="{00000000-0005-0000-0000-000023000000}"/>
    <cellStyle name="Error" xfId="19" xr:uid="{00000000-0005-0000-0000-000024000000}"/>
    <cellStyle name="Explanatory Text 2" xfId="52" xr:uid="{00000000-0005-0000-0000-000025000000}"/>
    <cellStyle name="Good" xfId="2" builtinId="26" customBuiltin="1"/>
    <cellStyle name="Good 2" xfId="53" xr:uid="{00000000-0005-0000-0000-000027000000}"/>
    <cellStyle name="Heading 1 2" xfId="54" xr:uid="{00000000-0005-0000-0000-000028000000}"/>
    <cellStyle name="Heading 2 2" xfId="55" xr:uid="{00000000-0005-0000-0000-000029000000}"/>
    <cellStyle name="Heading 3 2" xfId="56" xr:uid="{00000000-0005-0000-0000-00002A000000}"/>
    <cellStyle name="Heading 4 2" xfId="57" xr:uid="{00000000-0005-0000-0000-00002B000000}"/>
    <cellStyle name="Hyperlink" xfId="5" builtinId="8"/>
    <cellStyle name="Hyperlink 2" xfId="58" xr:uid="{00000000-0005-0000-0000-00002D000000}"/>
    <cellStyle name="Input 2" xfId="59" xr:uid="{00000000-0005-0000-0000-00002E000000}"/>
    <cellStyle name="Linked Cell 2" xfId="60" xr:uid="{00000000-0005-0000-0000-00002F000000}"/>
    <cellStyle name="Main Title" xfId="13" xr:uid="{00000000-0005-0000-0000-000030000000}"/>
    <cellStyle name="Mandatory" xfId="16" xr:uid="{00000000-0005-0000-0000-000031000000}"/>
    <cellStyle name="Measure" xfId="9" xr:uid="{00000000-0005-0000-0000-000032000000}"/>
    <cellStyle name="Neutral 2" xfId="61" xr:uid="{00000000-0005-0000-0000-000033000000}"/>
    <cellStyle name="No Note" xfId="8" xr:uid="{00000000-0005-0000-0000-000034000000}"/>
    <cellStyle name="Normal" xfId="0" builtinId="0"/>
    <cellStyle name="Normal 2" xfId="4" xr:uid="{00000000-0005-0000-0000-000036000000}"/>
    <cellStyle name="Normal 3" xfId="24" xr:uid="{00000000-0005-0000-0000-000037000000}"/>
    <cellStyle name="Note 2" xfId="62" xr:uid="{00000000-0005-0000-0000-000038000000}"/>
    <cellStyle name="Notes" xfId="23" xr:uid="{00000000-0005-0000-0000-000039000000}"/>
    <cellStyle name="Output 2" xfId="63" xr:uid="{00000000-0005-0000-0000-00003A000000}"/>
    <cellStyle name="Per cent" xfId="1" builtinId="5"/>
    <cellStyle name="Percent 2" xfId="22" xr:uid="{00000000-0005-0000-0000-00003C000000}"/>
    <cellStyle name="Style 1" xfId="64" xr:uid="{00000000-0005-0000-0000-00003D000000}"/>
    <cellStyle name="Subtitle" xfId="7" xr:uid="{00000000-0005-0000-0000-00003E000000}"/>
    <cellStyle name="SUM" xfId="15" xr:uid="{00000000-0005-0000-0000-00003F000000}"/>
    <cellStyle name="Title 2" xfId="65" xr:uid="{00000000-0005-0000-0000-000040000000}"/>
    <cellStyle name="Total 2" xfId="66" xr:uid="{00000000-0005-0000-0000-000041000000}"/>
    <cellStyle name="Warning Text 2" xfId="67" xr:uid="{00000000-0005-0000-0000-000042000000}"/>
    <cellStyle name="Warnings" xfId="10" xr:uid="{00000000-0005-0000-0000-000043000000}"/>
  </cellStyles>
  <dxfs count="2273">
    <dxf>
      <fill>
        <patternFill>
          <bgColor rgb="FFFF0000"/>
        </patternFill>
      </fill>
    </dxf>
    <dxf>
      <fill>
        <patternFill>
          <bgColor rgb="FFFF00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FFFF00"/>
        </patternFill>
      </fill>
    </dxf>
    <dxf>
      <font>
        <color theme="0"/>
      </font>
    </dxf>
    <dxf>
      <border>
        <left/>
        <right/>
        <top/>
        <bottom/>
        <vertical/>
        <horizontal/>
      </border>
    </dxf>
    <dxf>
      <fill>
        <patternFill>
          <bgColor theme="0"/>
        </patternFill>
      </fill>
    </dxf>
    <dxf>
      <fill>
        <patternFill>
          <bgColor rgb="FFFFFF00"/>
        </patternFill>
      </fill>
    </dxf>
    <dxf>
      <font>
        <color theme="0"/>
      </font>
    </dxf>
    <dxf>
      <border>
        <left/>
        <right/>
        <top/>
        <bottom/>
        <vertical/>
        <horizontal/>
      </border>
    </dxf>
    <dxf>
      <fill>
        <patternFill>
          <bgColor theme="0"/>
        </patternFill>
      </fill>
    </dxf>
    <dxf>
      <border>
        <left/>
        <right/>
        <top/>
        <bottom/>
        <vertical/>
        <horizontal/>
      </border>
    </dxf>
    <dxf>
      <font>
        <color theme="0"/>
      </font>
      <border>
        <vertical/>
        <horizontal/>
      </border>
    </dxf>
    <dxf>
      <fill>
        <patternFill>
          <bgColor theme="0"/>
        </patternFill>
      </fill>
    </dxf>
    <dxf>
      <border>
        <left/>
        <right/>
        <top/>
        <bottom/>
        <vertical/>
        <horizontal/>
      </border>
    </dxf>
    <dxf>
      <font>
        <color theme="0"/>
      </font>
      <border>
        <vertical/>
        <horizontal/>
      </border>
    </dxf>
    <dxf>
      <fill>
        <patternFill>
          <bgColor theme="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theme="0"/>
      </font>
    </dxf>
    <dxf>
      <border>
        <left/>
        <right/>
        <top/>
        <bottom/>
        <vertical/>
        <horizontal/>
      </border>
    </dxf>
    <dxf>
      <fill>
        <patternFill>
          <bgColor theme="0"/>
        </patternFill>
      </fill>
    </dxf>
    <dxf>
      <fill>
        <patternFill>
          <bgColor rgb="FFFFFF00"/>
        </patternFill>
      </fill>
    </dxf>
    <dxf>
      <border>
        <left/>
        <right/>
        <top/>
        <bottom/>
        <vertical/>
        <horizontal/>
      </border>
    </dxf>
    <dxf>
      <font>
        <color theme="0"/>
      </font>
      <border>
        <vertical/>
        <horizontal/>
      </border>
    </dxf>
    <dxf>
      <fill>
        <patternFill>
          <bgColor theme="0"/>
        </patternFill>
      </fill>
    </dxf>
    <dxf>
      <border>
        <left/>
        <right/>
        <top/>
        <bottom/>
        <vertical/>
        <horizontal/>
      </border>
    </dxf>
    <dxf>
      <font>
        <color theme="0"/>
      </font>
      <border>
        <vertical/>
        <horizontal/>
      </border>
    </dxf>
    <dxf>
      <fill>
        <patternFill>
          <bgColor theme="0"/>
        </patternFill>
      </fill>
    </dxf>
    <dxf>
      <font>
        <color theme="0"/>
      </font>
    </dxf>
    <dxf>
      <font>
        <color rgb="FF9C0006"/>
      </font>
      <fill>
        <patternFill>
          <bgColor rgb="FFFFC7CE"/>
        </patternFill>
      </fill>
    </dxf>
    <dxf>
      <fill>
        <patternFill patternType="solid">
          <bgColor theme="0"/>
        </patternFill>
      </fill>
    </dxf>
    <dxf>
      <font>
        <color theme="0"/>
      </font>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border>
        <left/>
        <right/>
        <top/>
        <bottom/>
        <vertical/>
        <horizontal/>
      </border>
    </dxf>
    <dxf>
      <font>
        <color theme="0"/>
      </font>
      <border>
        <vertical/>
        <horizontal/>
      </border>
    </dxf>
    <dxf>
      <fill>
        <patternFill>
          <bgColor theme="0"/>
        </patternFill>
      </fill>
    </dxf>
    <dxf>
      <border>
        <left/>
        <right/>
        <top/>
        <bottom/>
        <vertical/>
        <horizontal/>
      </border>
    </dxf>
    <dxf>
      <font>
        <color theme="0"/>
      </font>
      <border>
        <vertical/>
        <horizontal/>
      </border>
    </dxf>
    <dxf>
      <fill>
        <patternFill>
          <bgColor theme="0"/>
        </patternFill>
      </fill>
    </dxf>
    <dxf>
      <fill>
        <patternFill>
          <bgColor rgb="FFFFFF00"/>
        </patternFill>
      </fill>
    </dxf>
    <dxf>
      <font>
        <color rgb="FFFF0000"/>
      </font>
      <fill>
        <patternFill patternType="none">
          <bgColor auto="1"/>
        </patternFill>
      </fill>
    </dxf>
    <dxf>
      <fill>
        <patternFill>
          <bgColor rgb="FFFFFF00"/>
        </patternFill>
      </fill>
    </dxf>
    <dxf>
      <fill>
        <patternFill>
          <bgColor rgb="FFFFFF00"/>
        </patternFill>
      </fill>
    </dxf>
    <dxf>
      <fill>
        <patternFill>
          <bgColor rgb="FFFFFF00"/>
        </patternFill>
      </fill>
    </dxf>
    <dxf>
      <font>
        <color theme="0"/>
      </font>
    </dxf>
    <dxf>
      <fill>
        <patternFill>
          <bgColor rgb="FFFFFF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rgb="FFFF0000"/>
        </patternFill>
      </fill>
    </dxf>
    <dxf>
      <fill>
        <patternFill>
          <bgColor rgb="FFFF0000"/>
        </patternFill>
      </fill>
    </dxf>
    <dxf>
      <fill>
        <patternFill>
          <bgColor rgb="FFFFFF00"/>
        </patternFill>
      </fill>
    </dxf>
    <dxf>
      <fill>
        <patternFill>
          <bgColor rgb="FFFF0000"/>
        </patternFill>
      </fill>
    </dxf>
    <dxf>
      <font>
        <color rgb="FFFF0000"/>
      </font>
      <fill>
        <patternFill patternType="none">
          <bgColor auto="1"/>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patternType="none">
          <bgColor auto="1"/>
        </patternFill>
      </fill>
    </dxf>
    <dxf>
      <fill>
        <patternFill>
          <bgColor rgb="FFFFFF00"/>
        </patternFill>
      </fill>
    </dxf>
    <dxf>
      <fill>
        <patternFill patternType="none">
          <bgColor auto="1"/>
        </patternFill>
      </fill>
    </dxf>
    <dxf>
      <fill>
        <patternFill>
          <bgColor rgb="FFFFFF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color rgb="FFFFFF00"/>
      </font>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FF00"/>
        </patternFill>
      </fill>
    </dxf>
    <dxf>
      <fill>
        <patternFill patternType="none">
          <bgColor auto="1"/>
        </patternFill>
      </fill>
    </dxf>
    <dxf>
      <fill>
        <patternFill>
          <bgColor rgb="FFFFFF00"/>
        </patternFill>
      </fill>
    </dxf>
    <dxf>
      <fill>
        <patternFill patternType="none">
          <bgColor auto="1"/>
        </patternFill>
      </fill>
    </dxf>
    <dxf>
      <fill>
        <patternFill>
          <bgColor rgb="FFFFFF00"/>
        </patternFill>
      </fill>
    </dxf>
    <dxf>
      <fill>
        <patternFill>
          <bgColor rgb="FFFFFF00"/>
        </patternFill>
      </fill>
    </dxf>
    <dxf>
      <fill>
        <patternFill patternType="none">
          <bgColor auto="1"/>
        </patternFill>
      </fill>
    </dxf>
    <dxf>
      <fill>
        <patternFill>
          <bgColor rgb="FFFFFF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3" tint="0.79998168889431442"/>
        </patternFill>
      </fill>
    </dxf>
    <dxf>
      <font>
        <b/>
        <i val="0"/>
        <color rgb="FFFFFF00"/>
      </font>
      <fill>
        <patternFill>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color rgb="FFFFFF00"/>
      </font>
      <fill>
        <patternFill>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patternType="solid">
          <bgColor rgb="FFFF00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3"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ont>
        <strike val="0"/>
        <color rgb="FFFF0000"/>
      </font>
    </dxf>
    <dxf>
      <fill>
        <patternFill>
          <bgColor rgb="FFFFFF00"/>
        </patternFill>
      </fill>
    </dxf>
    <dxf>
      <fill>
        <patternFill patternType="none">
          <bgColor auto="1"/>
        </patternFill>
      </fill>
    </dxf>
    <dxf>
      <fill>
        <patternFill>
          <bgColor rgb="FFFFFF00"/>
        </patternFill>
      </fill>
    </dxf>
    <dxf>
      <fill>
        <patternFill patternType="none">
          <bgColor auto="1"/>
        </patternFill>
      </fill>
    </dxf>
    <dxf>
      <fill>
        <patternFill>
          <bgColor rgb="FFFFFF00"/>
        </patternFill>
      </fill>
    </dxf>
    <dxf>
      <fill>
        <patternFill patternType="none">
          <bgColor auto="1"/>
        </patternFill>
      </fill>
    </dxf>
    <dxf>
      <fill>
        <patternFill>
          <bgColor rgb="FFFFFF00"/>
        </patternFill>
      </fill>
    </dxf>
    <dxf>
      <fill>
        <patternFill>
          <bgColor rgb="FFFFFF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patternType="solid">
          <bgColor theme="0" tint="-0.24994659260841701"/>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FF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theme="0" tint="-0.24994659260841701"/>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FF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7030A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b/>
        <i val="0"/>
        <strike val="0"/>
        <color rgb="FFFFFF00"/>
      </font>
      <fill>
        <patternFill patternType="solid">
          <bgColor rgb="FFFF0000"/>
        </patternFill>
      </fill>
    </dxf>
    <dxf>
      <font>
        <b/>
        <i val="0"/>
        <strike val="0"/>
        <color rgb="FFFFFF00"/>
      </font>
      <fill>
        <patternFill>
          <bgColor rgb="FFFF0000"/>
        </patternFill>
      </fill>
    </dxf>
    <dxf>
      <fill>
        <patternFill>
          <bgColor rgb="FFFFFF00"/>
        </patternFill>
      </fill>
    </dxf>
    <dxf>
      <font>
        <b/>
        <i val="0"/>
        <strike val="0"/>
        <color rgb="FFFFFF00"/>
      </font>
      <fill>
        <patternFill>
          <bgColor rgb="FFFF0000"/>
        </patternFill>
      </fill>
    </dxf>
    <dxf>
      <font>
        <b/>
        <i val="0"/>
        <strike val="0"/>
        <color rgb="FFFFFF00"/>
      </font>
      <fill>
        <patternFill>
          <bgColor rgb="FFFF00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patternType="none">
          <bgColor auto="1"/>
        </patternFill>
      </fill>
    </dxf>
    <dxf>
      <fill>
        <patternFill patternType="none">
          <bgColor auto="1"/>
        </patternFill>
      </fill>
    </dxf>
    <dxf>
      <fill>
        <patternFill>
          <bgColor rgb="FFFFFF00"/>
        </patternFill>
      </fill>
    </dxf>
    <dxf>
      <fill>
        <patternFill>
          <bgColor rgb="FFFFFF00"/>
        </patternFill>
      </fill>
    </dxf>
    <dxf>
      <font>
        <b/>
        <i val="0"/>
        <strike val="0"/>
        <color rgb="FFFFFF00"/>
      </font>
      <fill>
        <patternFill patternType="solid">
          <bgColor rgb="FFFF0000"/>
        </patternFill>
      </fill>
    </dxf>
    <dxf>
      <font>
        <b/>
        <i val="0"/>
        <color auto="1"/>
      </font>
      <fill>
        <patternFill>
          <bgColor rgb="FFFF0000"/>
        </patternFill>
      </fill>
    </dxf>
    <dxf>
      <font>
        <b/>
        <i val="0"/>
        <strike val="0"/>
        <color auto="1"/>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auto="1"/>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strike val="0"/>
        <color rgb="FFFFFF00"/>
      </font>
      <fill>
        <patternFill patternType="solid">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color rgb="FFFFFF00"/>
      </font>
      <fill>
        <patternFill>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strike val="0"/>
        <color rgb="FFFFFF00"/>
      </font>
      <fill>
        <patternFill patternType="solid">
          <bgColor rgb="FFFF0000"/>
        </patternFill>
      </fill>
    </dxf>
    <dxf>
      <font>
        <b/>
        <i val="0"/>
        <color rgb="FFFFFF00"/>
      </font>
      <fill>
        <patternFill>
          <bgColor rgb="FFFF0000"/>
        </patternFill>
      </fill>
    </dxf>
    <dxf>
      <font>
        <b/>
        <i val="0"/>
        <strike val="0"/>
        <color rgb="FFFFFF00"/>
      </font>
      <fill>
        <patternFill patternType="solid">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strike val="0"/>
        <color theme="1"/>
      </font>
      <fill>
        <patternFill patternType="solid">
          <bgColor rgb="FFFFFF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strike val="0"/>
        <color rgb="FFFFFF00"/>
      </font>
      <fill>
        <patternFill patternType="solid">
          <bgColor rgb="FFFF0000"/>
        </patternFill>
      </fill>
    </dxf>
    <dxf>
      <font>
        <b/>
        <i val="0"/>
        <color rgb="FFFFFF00"/>
      </font>
      <fill>
        <patternFill>
          <bgColor rgb="FFFF0000"/>
        </patternFill>
      </fill>
    </dxf>
    <dxf>
      <font>
        <b/>
        <i val="0"/>
        <color rgb="FFFFFF00"/>
      </font>
      <fill>
        <patternFill>
          <bgColor rgb="FFFF0000"/>
        </patternFill>
      </fill>
    </dxf>
    <dxf>
      <font>
        <b/>
        <i val="0"/>
        <strike val="0"/>
        <color theme="1"/>
      </font>
      <fill>
        <patternFill patternType="solid">
          <bgColor rgb="FFFFFF00"/>
        </patternFill>
      </fill>
    </dxf>
    <dxf>
      <font>
        <b/>
        <i val="0"/>
        <strike val="0"/>
        <color theme="1"/>
      </font>
      <fill>
        <patternFill patternType="solid">
          <bgColor rgb="FFFFFF00"/>
        </patternFill>
      </fill>
    </dxf>
    <dxf>
      <font>
        <b/>
        <i val="0"/>
        <strike val="0"/>
        <color theme="1"/>
      </font>
      <fill>
        <patternFill patternType="solid">
          <bgColor rgb="FFFFFF00"/>
        </patternFill>
      </fill>
    </dxf>
    <dxf>
      <font>
        <b/>
        <i val="0"/>
        <strike val="0"/>
        <color theme="1"/>
      </font>
      <fill>
        <patternFill patternType="solid">
          <bgColor rgb="FFFFFF00"/>
        </patternFill>
      </fill>
    </dxf>
    <dxf>
      <font>
        <b/>
        <i val="0"/>
        <strike val="0"/>
        <color theme="1"/>
      </font>
      <fill>
        <patternFill patternType="solid">
          <bgColor rgb="FFFFFF00"/>
        </patternFill>
      </fill>
    </dxf>
    <dxf>
      <fill>
        <patternFill patternType="solid">
          <bgColor rgb="FFFFFF00"/>
        </patternFill>
      </fill>
    </dxf>
    <dxf>
      <font>
        <b/>
        <i val="0"/>
        <strike val="0"/>
        <color rgb="FFFFFF00"/>
      </font>
      <fill>
        <patternFill patternType="solid">
          <bgColor rgb="FFFF0000"/>
        </patternFill>
      </fill>
    </dxf>
    <dxf>
      <fill>
        <patternFill patternType="solid">
          <bgColor rgb="FFFFFF00"/>
        </patternFill>
      </fill>
    </dxf>
    <dxf>
      <fill>
        <patternFill patternType="solid">
          <bgColor rgb="FFFFFF00"/>
        </patternFill>
      </fill>
    </dxf>
    <dxf>
      <font>
        <b/>
        <i val="0"/>
        <strike val="0"/>
        <color theme="1"/>
      </font>
      <fill>
        <patternFill patternType="solid">
          <bgColor rgb="FFFFFF00"/>
        </patternFill>
      </fill>
    </dxf>
    <dxf>
      <fill>
        <patternFill>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rgb="FFFFFF00"/>
        </patternFill>
      </fill>
    </dxf>
    <dxf>
      <fill>
        <patternFill patternType="solid">
          <bgColor rgb="FFFFFF00"/>
        </patternFill>
      </fill>
    </dxf>
    <dxf>
      <fill>
        <patternFill patternType="solid">
          <bgColor rgb="FFFFFF00"/>
        </patternFill>
      </fill>
    </dxf>
    <dxf>
      <font>
        <b/>
        <i val="0"/>
        <strike val="0"/>
        <color rgb="FFFFFF00"/>
      </font>
      <fill>
        <patternFill patternType="solid">
          <bgColor rgb="FFFF0000"/>
        </patternFill>
      </fill>
    </dxf>
    <dxf>
      <fill>
        <patternFill>
          <bgColor rgb="FFFFFF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color rgb="FFFFFF00"/>
      </font>
      <fill>
        <patternFill>
          <bgColor rgb="FFFF0000"/>
        </patternFill>
      </fill>
    </dxf>
    <dxf>
      <font>
        <b/>
        <i val="0"/>
        <strike val="0"/>
        <color theme="1"/>
      </font>
      <fill>
        <patternFill patternType="solid">
          <bgColor rgb="FFFFFF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theme="1"/>
      </font>
      <fill>
        <patternFill patternType="solid">
          <bgColor rgb="FFFFFF00"/>
        </patternFill>
      </fill>
    </dxf>
    <dxf>
      <font>
        <b/>
        <i val="0"/>
        <strike val="0"/>
        <color theme="1"/>
      </font>
      <fill>
        <patternFill patternType="solid">
          <bgColor rgb="FFFFFF00"/>
        </patternFill>
      </fill>
    </dxf>
    <dxf>
      <font>
        <b/>
        <i val="0"/>
        <strike val="0"/>
        <color rgb="FFFFFF00"/>
      </font>
      <fill>
        <patternFill patternType="solid">
          <bgColor rgb="FFFF0000"/>
        </patternFill>
      </fill>
    </dxf>
    <dxf>
      <font>
        <b/>
        <i val="0"/>
        <strike val="0"/>
        <color theme="1"/>
      </font>
      <fill>
        <patternFill patternType="solid">
          <bgColor rgb="FFFFFF00"/>
        </patternFill>
      </fill>
    </dxf>
    <dxf>
      <font>
        <b/>
        <i val="0"/>
        <strike val="0"/>
        <color rgb="FFFFFF00"/>
      </font>
      <fill>
        <patternFill patternType="solid">
          <bgColor rgb="FFFF0000"/>
        </patternFill>
      </fill>
    </dxf>
    <dxf>
      <font>
        <b/>
        <i val="0"/>
        <strike val="0"/>
        <color theme="1"/>
      </font>
      <fill>
        <patternFill patternType="solid">
          <bgColor rgb="FFFFFF00"/>
        </patternFill>
      </fill>
    </dxf>
    <dxf>
      <font>
        <b/>
        <i val="0"/>
        <strike val="0"/>
        <color rgb="FFFFFF00"/>
      </font>
      <fill>
        <patternFill patternType="solid">
          <bgColor rgb="FFFF0000"/>
        </patternFill>
      </fill>
    </dxf>
    <dxf>
      <font>
        <b/>
        <i val="0"/>
        <strike val="0"/>
        <color theme="1"/>
      </font>
      <fill>
        <patternFill patternType="solid">
          <bgColor rgb="FFFFFF00"/>
        </patternFill>
      </fill>
    </dxf>
    <dxf>
      <font>
        <b/>
        <i val="0"/>
        <strike val="0"/>
        <color rgb="FFFFFF00"/>
      </font>
      <fill>
        <patternFill patternType="solid">
          <bgColor rgb="FFFF0000"/>
        </patternFill>
      </fill>
    </dxf>
    <dxf>
      <font>
        <b/>
        <i val="0"/>
        <strike val="0"/>
        <color theme="1"/>
      </font>
      <fill>
        <patternFill patternType="solid">
          <bgColor rgb="FFFFFF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ill>
        <patternFill>
          <bgColor rgb="FFFFFF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ill>
        <patternFill patternType="solid">
          <bgColor rgb="FFFFFF00"/>
        </patternFill>
      </fill>
    </dxf>
    <dxf>
      <fill>
        <patternFill patternType="solid">
          <bgColor rgb="FFFF0000"/>
        </patternFill>
      </fill>
    </dxf>
    <dxf>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bgColor rgb="FFFF0000"/>
        </patternFill>
      </fill>
    </dxf>
    <dxf>
      <fill>
        <patternFill patternType="lightTrellis">
          <fgColor theme="1"/>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ill>
        <patternFill patternType="solid">
          <bgColor rgb="FFFFFF00"/>
        </patternFill>
      </fill>
    </dxf>
    <dxf>
      <fill>
        <patternFill patternType="none">
          <bgColor auto="1"/>
        </patternFill>
      </fill>
    </dxf>
    <dxf>
      <font>
        <b val="0"/>
        <i val="0"/>
      </font>
      <fill>
        <patternFill patternType="none">
          <bgColor auto="1"/>
        </patternFill>
      </fill>
    </dxf>
    <dxf>
      <font>
        <b val="0"/>
        <i val="0"/>
      </font>
      <fill>
        <patternFill patternType="none">
          <bgColor auto="1"/>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strike val="0"/>
        <color rgb="FFFFFF00"/>
      </font>
      <fill>
        <patternFill patternType="solid">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0000"/>
      </font>
      <border>
        <left/>
        <right/>
        <top/>
        <bottom/>
      </border>
    </dxf>
    <dxf>
      <font>
        <b/>
        <i val="0"/>
        <color rgb="FFFFFF00"/>
      </font>
      <fill>
        <patternFill>
          <bgColor rgb="FFFF0000"/>
        </patternFill>
      </fill>
    </dxf>
    <dxf>
      <font>
        <b/>
        <i val="0"/>
        <color rgb="FFFFFF00"/>
      </font>
      <fill>
        <patternFill>
          <bgColor rgb="FFFF0000"/>
        </patternFill>
      </fill>
    </dxf>
    <dxf>
      <fill>
        <patternFill patternType="none">
          <bgColor auto="1"/>
        </patternFill>
      </fill>
    </dxf>
    <dxf>
      <font>
        <b/>
        <i val="0"/>
        <color rgb="FFFFFF00"/>
      </font>
      <fill>
        <patternFill>
          <bgColor rgb="FFFF0000"/>
        </patternFill>
      </fill>
    </dxf>
    <dxf>
      <fill>
        <patternFill patternType="none">
          <bgColor auto="1"/>
        </patternFill>
      </fill>
    </dxf>
    <dxf>
      <font>
        <b/>
        <i val="0"/>
        <color rgb="FFFFFF00"/>
      </font>
      <fill>
        <patternFill>
          <bgColor rgb="FFFF0000"/>
        </patternFill>
      </fill>
    </dxf>
    <dxf>
      <fill>
        <patternFill patternType="none">
          <bgColor auto="1"/>
        </patternFill>
      </fill>
    </dxf>
    <dxf>
      <font>
        <b/>
        <i val="0"/>
        <color rgb="FFFFFF00"/>
      </font>
      <fill>
        <patternFill>
          <bgColor rgb="FFFF0000"/>
        </patternFill>
      </fill>
    </dxf>
    <dxf>
      <fill>
        <patternFill patternType="none">
          <bgColor auto="1"/>
        </patternFill>
      </fill>
    </dxf>
    <dxf>
      <font>
        <b/>
        <i val="0"/>
        <color rgb="FFFFFF00"/>
      </font>
      <fill>
        <patternFill>
          <bgColor rgb="FFFF0000"/>
        </patternFill>
      </fill>
    </dxf>
    <dxf>
      <fill>
        <patternFill patternType="none">
          <bgColor auto="1"/>
        </patternFill>
      </fill>
    </dxf>
    <dxf>
      <font>
        <b/>
        <i val="0"/>
        <color rgb="FFFFFF00"/>
      </font>
      <fill>
        <patternFill>
          <bgColor rgb="FFFF0000"/>
        </patternFill>
      </fill>
    </dxf>
    <dxf>
      <fill>
        <patternFill patternType="none">
          <bgColor auto="1"/>
        </patternFill>
      </fill>
    </dxf>
    <dxf>
      <font>
        <b/>
        <i val="0"/>
        <color rgb="FFFFFF00"/>
      </font>
      <fill>
        <patternFill>
          <bgColor rgb="FFFF0000"/>
        </patternFill>
      </fill>
    </dxf>
    <dxf>
      <fill>
        <patternFill patternType="none">
          <bgColor auto="1"/>
        </patternFill>
      </fill>
    </dxf>
    <dxf>
      <font>
        <b/>
        <i val="0"/>
        <color rgb="FFFFFF00"/>
      </font>
      <fill>
        <patternFill>
          <bgColor rgb="FFFF0000"/>
        </patternFill>
      </fill>
    </dxf>
    <dxf>
      <fill>
        <patternFill patternType="none">
          <bgColor auto="1"/>
        </patternFill>
      </fill>
    </dxf>
    <dxf>
      <font>
        <b/>
        <i val="0"/>
        <color rgb="FFFFFF00"/>
      </font>
      <fill>
        <patternFill>
          <bgColor rgb="FFFF0000"/>
        </patternFill>
      </fill>
    </dxf>
    <dxf>
      <fill>
        <patternFill>
          <bgColor rgb="FFFFFF00"/>
        </patternFill>
      </fill>
    </dxf>
    <dxf>
      <fill>
        <patternFill patternType="none">
          <bgColor auto="1"/>
        </patternFill>
      </fill>
    </dxf>
    <dxf>
      <font>
        <b/>
        <i val="0"/>
        <color rgb="FFFFFF00"/>
      </font>
      <fill>
        <patternFill>
          <bgColor rgb="FFFF0000"/>
        </patternFill>
      </fill>
    </dxf>
    <dxf>
      <fill>
        <patternFill>
          <bgColor rgb="FFFFFF00"/>
        </patternFill>
      </fill>
    </dxf>
    <dxf>
      <fill>
        <patternFill patternType="none">
          <bgColor auto="1"/>
        </patternFill>
      </fill>
    </dxf>
    <dxf>
      <font>
        <b/>
        <i val="0"/>
        <color rgb="FFFFFF00"/>
      </font>
      <fill>
        <patternFill>
          <bgColor rgb="FFFF0000"/>
        </patternFill>
      </fill>
    </dxf>
    <dxf>
      <fill>
        <patternFill>
          <bgColor rgb="FFFFFF00"/>
        </patternFill>
      </fill>
    </dxf>
    <dxf>
      <font>
        <b/>
        <i val="0"/>
        <color rgb="FFFFFF00"/>
      </font>
      <fill>
        <patternFill>
          <bgColor rgb="FFFF0000"/>
        </patternFill>
      </fill>
    </dxf>
    <dxf>
      <font>
        <b/>
        <i val="0"/>
        <color rgb="FFFFFF00"/>
      </font>
      <fill>
        <patternFill>
          <bgColor rgb="FFFF0000"/>
        </patternFill>
      </fill>
    </dxf>
    <dxf>
      <fill>
        <patternFill patternType="none">
          <bgColor auto="1"/>
        </patternFill>
      </fill>
    </dxf>
    <dxf>
      <fill>
        <patternFill patternType="solid">
          <bgColor rgb="FFFFFF00"/>
        </patternFill>
      </fill>
    </dxf>
    <dxf>
      <fill>
        <patternFill patternType="solid">
          <bgColor rgb="FFFFFF00"/>
        </patternFill>
      </fill>
    </dxf>
    <dxf>
      <font>
        <b/>
        <i val="0"/>
        <strike val="0"/>
        <color theme="1"/>
      </font>
      <fill>
        <patternFill patternType="solid">
          <fgColor auto="1"/>
          <bgColor rgb="FFFFFF00"/>
        </patternFill>
      </fill>
    </dxf>
    <dxf>
      <font>
        <b/>
        <i val="0"/>
        <strike val="0"/>
        <color theme="1"/>
      </font>
      <fill>
        <patternFill patternType="solid">
          <bgColor rgb="FFFFFF00"/>
        </patternFill>
      </fill>
    </dxf>
    <dxf>
      <fill>
        <patternFill patternType="solid">
          <bgColor rgb="FFFFFF00"/>
        </patternFill>
      </fill>
    </dxf>
    <dxf>
      <fill>
        <patternFill>
          <bgColor theme="0"/>
        </patternFill>
      </fill>
    </dxf>
    <dxf>
      <fill>
        <patternFill patternType="solid">
          <bgColor theme="0"/>
        </patternFill>
      </fill>
    </dxf>
    <dxf>
      <font>
        <b/>
        <i/>
        <strike val="0"/>
        <color rgb="FF002060"/>
      </font>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strike val="0"/>
        <color theme="1"/>
      </font>
      <fill>
        <patternFill patternType="solid">
          <bgColor rgb="FFFFFF00"/>
        </patternFill>
      </fill>
    </dxf>
    <dxf>
      <font>
        <b/>
        <i val="0"/>
        <color rgb="FFFFFF00"/>
      </font>
      <fill>
        <patternFill>
          <bgColor rgb="FFFF0000"/>
        </patternFill>
      </fill>
    </dxf>
    <dxf>
      <font>
        <b/>
        <i val="0"/>
        <strike val="0"/>
        <color rgb="FFFFFF00"/>
      </font>
      <fill>
        <patternFill patternType="solid">
          <bgColor rgb="FFFF0000"/>
        </patternFill>
      </fill>
    </dxf>
    <dxf>
      <font>
        <b/>
        <i val="0"/>
        <strike val="0"/>
        <color theme="1"/>
      </font>
      <fill>
        <patternFill patternType="solid">
          <bgColor rgb="FFFFFF00"/>
        </patternFill>
      </fill>
    </dxf>
    <dxf>
      <font>
        <b/>
        <i val="0"/>
        <color rgb="FFFFFF00"/>
      </font>
      <fill>
        <patternFill>
          <bgColor rgb="FFFF0000"/>
        </patternFill>
      </fill>
    </dxf>
    <dxf>
      <font>
        <b/>
        <i val="0"/>
        <strike val="0"/>
        <color rgb="FFFFFF00"/>
      </font>
      <fill>
        <patternFill patternType="solid">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color theme="0"/>
      </font>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color rgb="FFFFFF00"/>
      </font>
      <fill>
        <patternFill>
          <bgColor rgb="FFFF0000"/>
        </patternFill>
      </fill>
    </dxf>
    <dxf>
      <fill>
        <patternFill>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color rgb="FFFFFF00"/>
      </font>
      <fill>
        <patternFill>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strike val="0"/>
        <color rgb="FFFFFF00"/>
      </font>
      <fill>
        <patternFill patternType="solid">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color rgb="FFFFFF00"/>
      </font>
      <fill>
        <patternFill>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color rgb="FFFFFF00"/>
      </font>
      <fill>
        <patternFill>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color rgb="FFFFFF00"/>
      </font>
      <fill>
        <patternFill>
          <bgColor rgb="FFFF0000"/>
        </patternFill>
      </fill>
    </dxf>
    <dxf>
      <font>
        <b/>
        <i val="0"/>
        <strike val="0"/>
        <color rgb="FFFFFF00"/>
      </font>
      <fill>
        <patternFill patternType="solid">
          <bgColor rgb="FFFF0000"/>
        </patternFill>
      </fill>
    </dxf>
    <dxf>
      <font>
        <b/>
        <i val="0"/>
        <color rgb="FFFFFF00"/>
      </font>
      <fill>
        <patternFill>
          <bgColor rgb="FFFF0000"/>
        </patternFill>
      </fill>
    </dxf>
    <dxf>
      <font>
        <b/>
        <i val="0"/>
        <strike val="0"/>
        <color rgb="FFFFFF00"/>
      </font>
      <fill>
        <patternFill patternType="solid">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strike val="0"/>
        <color rgb="FFFFFF00"/>
      </font>
      <fill>
        <patternFill patternType="solid">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strike val="0"/>
        <color theme="1"/>
      </font>
      <fill>
        <patternFill patternType="solid">
          <bgColor rgb="FFFFFF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strike val="0"/>
        <color rgb="FFFFFF00"/>
      </font>
      <fill>
        <patternFill patternType="solid">
          <bgColor rgb="FFFF0000"/>
        </patternFill>
      </fill>
    </dxf>
    <dxf>
      <font>
        <b/>
        <i val="0"/>
        <color rgb="FFFFFF00"/>
      </font>
      <fill>
        <patternFill>
          <bgColor rgb="FFFF0000"/>
        </patternFill>
      </fill>
    </dxf>
    <dxf>
      <font>
        <b/>
        <i val="0"/>
        <color rgb="FFFFFF00"/>
      </font>
      <fill>
        <patternFill>
          <bgColor rgb="FFFF0000"/>
        </patternFill>
      </fill>
    </dxf>
    <dxf>
      <font>
        <b/>
        <i val="0"/>
        <strike val="0"/>
        <color theme="1"/>
      </font>
      <fill>
        <patternFill patternType="solid">
          <bgColor rgb="FFFFFF00"/>
        </patternFill>
      </fill>
    </dxf>
    <dxf>
      <font>
        <b/>
        <i val="0"/>
        <strike val="0"/>
        <color theme="1"/>
      </font>
      <fill>
        <patternFill patternType="solid">
          <bgColor rgb="FFFFFF00"/>
        </patternFill>
      </fill>
    </dxf>
    <dxf>
      <font>
        <b/>
        <i val="0"/>
        <strike val="0"/>
        <color theme="1"/>
      </font>
      <fill>
        <patternFill patternType="solid">
          <bgColor rgb="FFFFFF00"/>
        </patternFill>
      </fill>
    </dxf>
    <dxf>
      <font>
        <b/>
        <i val="0"/>
        <strike val="0"/>
        <color theme="1"/>
      </font>
      <fill>
        <patternFill patternType="solid">
          <bgColor rgb="FFFFFF00"/>
        </patternFill>
      </fill>
    </dxf>
    <dxf>
      <font>
        <b/>
        <i val="0"/>
        <strike val="0"/>
        <color theme="1"/>
      </font>
      <fill>
        <patternFill patternType="solid">
          <bgColor rgb="FFFFFF00"/>
        </patternFill>
      </fill>
    </dxf>
    <dxf>
      <fill>
        <patternFill patternType="solid">
          <bgColor rgb="FFFFFF00"/>
        </patternFill>
      </fill>
    </dxf>
    <dxf>
      <font>
        <b/>
        <i val="0"/>
        <strike val="0"/>
        <color rgb="FFFFFF00"/>
      </font>
      <fill>
        <patternFill patternType="solid">
          <bgColor rgb="FFFF0000"/>
        </patternFill>
      </fill>
    </dxf>
    <dxf>
      <fill>
        <patternFill patternType="solid">
          <bgColor rgb="FFFFFF00"/>
        </patternFill>
      </fill>
    </dxf>
    <dxf>
      <fill>
        <patternFill patternType="solid">
          <bgColor rgb="FFFFFF00"/>
        </patternFill>
      </fill>
    </dxf>
    <dxf>
      <font>
        <b/>
        <i val="0"/>
        <strike val="0"/>
        <color theme="1"/>
      </font>
      <fill>
        <patternFill patternType="solid">
          <bgColor rgb="FFFFFF00"/>
        </patternFill>
      </fill>
    </dxf>
    <dxf>
      <font>
        <b/>
        <i val="0"/>
        <strike val="0"/>
        <color theme="1"/>
      </font>
      <fill>
        <patternFill patternType="solid">
          <bgColor rgb="FFFFFF00"/>
        </patternFill>
      </fill>
    </dxf>
    <dxf>
      <font>
        <b/>
        <i val="0"/>
        <strike val="0"/>
        <color theme="1"/>
      </font>
      <fill>
        <patternFill patternType="solid">
          <bgColor rgb="FFFFFF00"/>
        </patternFill>
      </fill>
    </dxf>
    <dxf>
      <font>
        <b/>
        <i val="0"/>
        <strike val="0"/>
        <color theme="1"/>
      </font>
      <fill>
        <patternFill patternType="solid">
          <bgColor rgb="FFFFFF00"/>
        </patternFill>
      </fill>
    </dxf>
    <dxf>
      <fill>
        <patternFill>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rgb="FFFF0000"/>
        </patternFill>
      </fill>
    </dxf>
    <dxf>
      <fill>
        <patternFill patternType="solid">
          <bgColor rgb="FFFFFF00"/>
        </patternFill>
      </fill>
    </dxf>
    <dxf>
      <fill>
        <patternFill>
          <bgColor rgb="FFFF0000"/>
        </patternFill>
      </fill>
    </dxf>
    <dxf>
      <fill>
        <patternFill patternType="solid">
          <bgColor rgb="FFFFFF00"/>
        </patternFill>
      </fill>
    </dxf>
    <dxf>
      <fill>
        <patternFill>
          <bgColor rgb="FFFF0000"/>
        </patternFill>
      </fill>
    </dxf>
    <dxf>
      <fill>
        <patternFill>
          <bgColor rgb="FFFFFF00"/>
        </patternFill>
      </fill>
    </dxf>
    <dxf>
      <fill>
        <patternFill>
          <bgColor rgb="FFFF0000"/>
        </patternFill>
      </fill>
    </dxf>
    <dxf>
      <fill>
        <patternFill patternType="none">
          <bgColor auto="1"/>
        </patternFill>
      </fill>
    </dxf>
    <dxf>
      <fill>
        <patternFill patternType="solid">
          <bgColor rgb="FFFFFF00"/>
        </patternFill>
      </fill>
    </dxf>
    <dxf>
      <fill>
        <patternFill patternType="solid">
          <bgColor rgb="FFFFFF00"/>
        </patternFill>
      </fill>
    </dxf>
    <dxf>
      <font>
        <b/>
        <i val="0"/>
        <strike val="0"/>
        <color rgb="FFFFFF00"/>
      </font>
      <fill>
        <patternFill patternType="solid">
          <bgColor rgb="FFFF0000"/>
        </patternFill>
      </fill>
    </dxf>
    <dxf>
      <fill>
        <patternFill>
          <bgColor rgb="FFFFFF00"/>
        </patternFill>
      </fill>
    </dxf>
    <dxf>
      <font>
        <b/>
        <i val="0"/>
        <strike val="0"/>
        <color rgb="FFFFFF00"/>
      </font>
      <fill>
        <patternFill>
          <bgColor rgb="FFFF0000"/>
        </patternFill>
      </fill>
    </dxf>
    <dxf>
      <font>
        <b/>
        <i val="0"/>
        <strike val="0"/>
        <color rgb="FFFFFF00"/>
      </font>
      <fill>
        <patternFill>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color rgb="FFFFFF00"/>
      </font>
      <fill>
        <patternFill>
          <bgColor rgb="FFFF0000"/>
        </patternFill>
      </fill>
    </dxf>
    <dxf>
      <font>
        <b/>
        <i val="0"/>
        <strike val="0"/>
        <color theme="1"/>
      </font>
      <fill>
        <patternFill patternType="solid">
          <bgColor rgb="FFFFFF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theme="1"/>
      </font>
      <fill>
        <patternFill patternType="solid">
          <bgColor rgb="FFFFFF00"/>
        </patternFill>
      </fill>
    </dxf>
    <dxf>
      <font>
        <b/>
        <i val="0"/>
        <strike val="0"/>
        <color rgb="FFFFFF00"/>
      </font>
      <fill>
        <patternFill patternType="solid">
          <bgColor rgb="FFFF0000"/>
        </patternFill>
      </fill>
    </dxf>
    <dxf>
      <font>
        <b/>
        <i val="0"/>
        <strike val="0"/>
        <color theme="1"/>
      </font>
      <fill>
        <patternFill patternType="solid">
          <bgColor rgb="FFFFFF00"/>
        </patternFill>
      </fill>
    </dxf>
    <dxf>
      <font>
        <b/>
        <i val="0"/>
        <strike val="0"/>
        <color rgb="FFFFFF00"/>
      </font>
      <fill>
        <patternFill patternType="solid">
          <bgColor rgb="FFFF0000"/>
        </patternFill>
      </fill>
    </dxf>
    <dxf>
      <font>
        <b/>
        <i val="0"/>
        <strike val="0"/>
        <color theme="1"/>
      </font>
      <fill>
        <patternFill patternType="solid">
          <bgColor rgb="FFFFFF00"/>
        </patternFill>
      </fill>
    </dxf>
    <dxf>
      <font>
        <b/>
        <i val="0"/>
        <strike val="0"/>
        <color rgb="FFFFFF00"/>
      </font>
      <fill>
        <patternFill patternType="solid">
          <bgColor rgb="FFFF0000"/>
        </patternFill>
      </fill>
    </dxf>
    <dxf>
      <font>
        <b/>
        <i val="0"/>
        <strike val="0"/>
        <color theme="1"/>
      </font>
      <fill>
        <patternFill patternType="solid">
          <bgColor rgb="FFFFFF00"/>
        </patternFill>
      </fill>
    </dxf>
    <dxf>
      <font>
        <b/>
        <i val="0"/>
        <strike val="0"/>
        <color rgb="FFFFFF00"/>
      </font>
      <fill>
        <patternFill patternType="solid">
          <bgColor rgb="FFFF0000"/>
        </patternFill>
      </fill>
    </dxf>
    <dxf>
      <font>
        <b/>
        <i val="0"/>
        <strike val="0"/>
        <color theme="1"/>
      </font>
      <fill>
        <patternFill patternType="solid">
          <bgColor rgb="FFFFFF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ill>
        <patternFill>
          <bgColor rgb="FFFFFF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ill>
        <patternFill patternType="solid">
          <bgColor rgb="FFFF0000"/>
        </patternFill>
      </fill>
    </dxf>
    <dxf>
      <font>
        <b/>
        <i val="0"/>
        <strike val="0"/>
        <color rgb="FFFFFF00"/>
      </font>
      <fill>
        <patternFill patternType="solid">
          <bgColor rgb="FFFF0000"/>
        </patternFill>
      </fill>
    </dxf>
    <dxf>
      <font>
        <b/>
        <i val="0"/>
        <color rgb="FFFFFF00"/>
      </font>
      <fill>
        <patternFill>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ill>
        <patternFill patternType="solid">
          <bgColor rgb="FFFFFF00"/>
        </patternFill>
      </fill>
    </dxf>
    <dxf>
      <fill>
        <patternFill patternType="solid">
          <bgColor rgb="FFFF0000"/>
        </patternFill>
      </fill>
    </dxf>
    <dxf>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bgColor rgb="FFFF0000"/>
        </patternFill>
      </fill>
    </dxf>
    <dxf>
      <fill>
        <patternFill patternType="lightTrellis">
          <fgColor theme="1"/>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bgColor rgb="FFFF0000"/>
        </patternFill>
      </fill>
    </dxf>
    <dxf>
      <font>
        <b/>
        <i val="0"/>
        <strike val="0"/>
        <color rgb="FFFFFF00"/>
      </font>
      <fill>
        <patternFill patternType="solid">
          <bgColor rgb="FFFF0000"/>
        </patternFill>
      </fill>
    </dxf>
    <dxf>
      <font>
        <b/>
        <i val="0"/>
        <strike val="0"/>
        <color rgb="FFFFFF00"/>
      </font>
      <fill>
        <patternFill>
          <bgColor rgb="FFFF0000"/>
        </patternFill>
      </fill>
    </dxf>
    <dxf>
      <font>
        <b/>
        <i val="0"/>
        <strike val="0"/>
        <color rgb="FFFFFF00"/>
      </font>
      <fill>
        <patternFill patternType="solid">
          <bgColor rgb="FFFF0000"/>
        </patternFill>
      </fill>
    </dxf>
    <dxf>
      <font>
        <b/>
        <i val="0"/>
        <color rgb="FFFFFF00"/>
      </font>
      <fill>
        <patternFill>
          <bgColor rgb="FFFF0000"/>
        </patternFill>
      </fill>
    </dxf>
    <dxf>
      <fill>
        <patternFill patternType="solid">
          <bgColor rgb="FFFFFF00"/>
        </patternFill>
      </fill>
    </dxf>
    <dxf>
      <fill>
        <patternFill patternType="none">
          <bgColor auto="1"/>
        </patternFill>
      </fill>
    </dxf>
    <dxf>
      <font>
        <b val="0"/>
        <i val="0"/>
      </font>
      <fill>
        <patternFill patternType="none">
          <bgColor auto="1"/>
        </patternFill>
      </fill>
    </dxf>
    <dxf>
      <font>
        <b val="0"/>
        <i val="0"/>
      </font>
      <fill>
        <patternFill patternType="none">
          <bgColor auto="1"/>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strike val="0"/>
        <color rgb="FFFFFF00"/>
      </font>
      <fill>
        <patternFill patternType="solid">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color rgb="FFFFFF00"/>
      </font>
      <fill>
        <patternFill>
          <bgColor rgb="FFFF0000"/>
        </patternFill>
      </fill>
    </dxf>
    <dxf>
      <font>
        <b/>
        <i val="0"/>
        <color rgb="FFFFFF00"/>
      </font>
      <fill>
        <patternFill>
          <bgColor rgb="FFFF0000"/>
        </patternFill>
      </fill>
    </dxf>
    <dxf>
      <font>
        <b/>
        <i val="0"/>
        <color rgb="FFFF0000"/>
      </font>
      <border>
        <left/>
        <right/>
        <top/>
        <bottom/>
      </border>
    </dxf>
    <dxf>
      <font>
        <b/>
        <i val="0"/>
        <color rgb="FFFFFF00"/>
      </font>
      <fill>
        <patternFill>
          <bgColor rgb="FFFF0000"/>
        </patternFill>
      </fill>
    </dxf>
    <dxf>
      <font>
        <b/>
        <i val="0"/>
        <color rgb="FFFFFF00"/>
      </font>
      <fill>
        <patternFill>
          <bgColor rgb="FFFF0000"/>
        </patternFill>
      </fill>
    </dxf>
    <dxf>
      <fill>
        <patternFill patternType="none">
          <bgColor auto="1"/>
        </patternFill>
      </fill>
    </dxf>
    <dxf>
      <font>
        <b/>
        <i val="0"/>
        <color rgb="FFFFFF00"/>
      </font>
      <fill>
        <patternFill>
          <bgColor rgb="FFFF0000"/>
        </patternFill>
      </fill>
    </dxf>
    <dxf>
      <fill>
        <patternFill patternType="none">
          <bgColor auto="1"/>
        </patternFill>
      </fill>
    </dxf>
    <dxf>
      <font>
        <b/>
        <i val="0"/>
        <color rgb="FFFFFF00"/>
      </font>
      <fill>
        <patternFill>
          <bgColor rgb="FFFF0000"/>
        </patternFill>
      </fill>
    </dxf>
    <dxf>
      <fill>
        <patternFill patternType="none">
          <bgColor auto="1"/>
        </patternFill>
      </fill>
    </dxf>
    <dxf>
      <font>
        <b/>
        <i val="0"/>
        <color rgb="FFFFFF00"/>
      </font>
      <fill>
        <patternFill>
          <bgColor rgb="FFFF0000"/>
        </patternFill>
      </fill>
    </dxf>
    <dxf>
      <fill>
        <patternFill patternType="none">
          <bgColor auto="1"/>
        </patternFill>
      </fill>
    </dxf>
    <dxf>
      <font>
        <b/>
        <i val="0"/>
        <color rgb="FFFFFF00"/>
      </font>
      <fill>
        <patternFill>
          <bgColor rgb="FFFF0000"/>
        </patternFill>
      </fill>
    </dxf>
    <dxf>
      <fill>
        <patternFill patternType="none">
          <bgColor auto="1"/>
        </patternFill>
      </fill>
    </dxf>
    <dxf>
      <font>
        <b/>
        <i val="0"/>
        <color rgb="FFFFFF00"/>
      </font>
      <fill>
        <patternFill>
          <bgColor rgb="FFFF0000"/>
        </patternFill>
      </fill>
    </dxf>
    <dxf>
      <fill>
        <patternFill patternType="none">
          <bgColor auto="1"/>
        </patternFill>
      </fill>
    </dxf>
    <dxf>
      <font>
        <b/>
        <i val="0"/>
        <color rgb="FFFFFF00"/>
      </font>
      <fill>
        <patternFill>
          <bgColor rgb="FFFF0000"/>
        </patternFill>
      </fill>
    </dxf>
    <dxf>
      <fill>
        <patternFill patternType="none">
          <bgColor auto="1"/>
        </patternFill>
      </fill>
    </dxf>
    <dxf>
      <font>
        <b/>
        <i val="0"/>
        <color rgb="FFFFFF00"/>
      </font>
      <fill>
        <patternFill>
          <bgColor rgb="FFFF0000"/>
        </patternFill>
      </fill>
    </dxf>
    <dxf>
      <fill>
        <patternFill patternType="none">
          <bgColor auto="1"/>
        </patternFill>
      </fill>
    </dxf>
    <dxf>
      <font>
        <b/>
        <i val="0"/>
        <color rgb="FFFFFF00"/>
      </font>
      <fill>
        <patternFill>
          <bgColor rgb="FFFF0000"/>
        </patternFill>
      </fill>
    </dxf>
    <dxf>
      <fill>
        <patternFill>
          <bgColor rgb="FFFFFF00"/>
        </patternFill>
      </fill>
    </dxf>
    <dxf>
      <fill>
        <patternFill patternType="none">
          <bgColor auto="1"/>
        </patternFill>
      </fill>
    </dxf>
    <dxf>
      <font>
        <b/>
        <i val="0"/>
        <color rgb="FFFFFF00"/>
      </font>
      <fill>
        <patternFill>
          <bgColor rgb="FFFF0000"/>
        </patternFill>
      </fill>
    </dxf>
    <dxf>
      <fill>
        <patternFill>
          <bgColor rgb="FFFFFF00"/>
        </patternFill>
      </fill>
    </dxf>
    <dxf>
      <fill>
        <patternFill patternType="none">
          <bgColor auto="1"/>
        </patternFill>
      </fill>
    </dxf>
    <dxf>
      <font>
        <b/>
        <i val="0"/>
        <color rgb="FFFFFF00"/>
      </font>
      <fill>
        <patternFill>
          <bgColor rgb="FFFF0000"/>
        </patternFill>
      </fill>
    </dxf>
    <dxf>
      <fill>
        <patternFill>
          <bgColor rgb="FFFFFF00"/>
        </patternFill>
      </fill>
    </dxf>
    <dxf>
      <font>
        <b/>
        <i val="0"/>
        <color rgb="FFFFFF00"/>
      </font>
      <fill>
        <patternFill>
          <bgColor rgb="FFFF0000"/>
        </patternFill>
      </fill>
    </dxf>
    <dxf>
      <font>
        <b/>
        <i val="0"/>
        <color rgb="FFFFFF00"/>
      </font>
      <fill>
        <patternFill>
          <bgColor rgb="FFFF0000"/>
        </patternFill>
      </fill>
    </dxf>
    <dxf>
      <fill>
        <patternFill patternType="none">
          <bgColor auto="1"/>
        </patternFill>
      </fill>
    </dxf>
    <dxf>
      <fill>
        <patternFill patternType="solid">
          <bgColor rgb="FFFFFF00"/>
        </patternFill>
      </fill>
    </dxf>
    <dxf>
      <fill>
        <patternFill patternType="solid">
          <bgColor rgb="FFFFFF00"/>
        </patternFill>
      </fill>
    </dxf>
    <dxf>
      <font>
        <b/>
        <i val="0"/>
        <color rgb="FFFFFF00"/>
      </font>
      <fill>
        <patternFill>
          <bgColor rgb="FFFF0000"/>
        </patternFill>
      </fill>
    </dxf>
    <dxf>
      <font>
        <b/>
        <i val="0"/>
        <strike val="0"/>
        <color theme="1"/>
      </font>
      <fill>
        <patternFill patternType="solid">
          <bgColor rgb="FFFFFF00"/>
        </patternFill>
      </fill>
    </dxf>
    <dxf>
      <font>
        <b/>
        <i val="0"/>
        <strike val="0"/>
        <color theme="1"/>
      </font>
      <fill>
        <patternFill patternType="solid">
          <bgColor rgb="FFFFFF00"/>
        </patternFill>
      </fill>
    </dxf>
    <dxf>
      <font>
        <b/>
        <i val="0"/>
        <strike val="0"/>
        <color theme="1"/>
      </font>
      <fill>
        <patternFill patternType="solid">
          <fgColor auto="1"/>
          <bgColor rgb="FFFFFF00"/>
        </patternFill>
      </fill>
    </dxf>
    <dxf>
      <font>
        <b/>
        <i val="0"/>
        <strike val="0"/>
        <color theme="1"/>
      </font>
      <fill>
        <patternFill patternType="solid">
          <bgColor rgb="FFFFFF00"/>
        </patternFill>
      </fill>
    </dxf>
    <dxf>
      <font>
        <b/>
        <i val="0"/>
        <strike val="0"/>
      </font>
      <fill>
        <patternFill patternType="solid">
          <bgColor rgb="FFFFFF00"/>
        </patternFill>
      </fill>
    </dxf>
    <dxf>
      <fill>
        <patternFill patternType="solid">
          <bgColor rgb="FFFFFF00"/>
        </patternFill>
      </fill>
    </dxf>
    <dxf>
      <fill>
        <patternFill>
          <bgColor theme="0"/>
        </patternFill>
      </fill>
    </dxf>
    <dxf>
      <fill>
        <patternFill patternType="solid">
          <bgColor theme="0"/>
        </patternFill>
      </fill>
    </dxf>
    <dxf>
      <font>
        <b/>
        <i/>
        <strike val="0"/>
        <color rgb="FF002060"/>
      </font>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strike val="0"/>
        <color theme="1"/>
      </font>
      <fill>
        <patternFill patternType="solid">
          <bgColor rgb="FFFFFF00"/>
        </patternFill>
      </fill>
    </dxf>
    <dxf>
      <font>
        <b/>
        <i val="0"/>
        <color rgb="FFFFFF00"/>
      </font>
      <fill>
        <patternFill>
          <bgColor rgb="FFFF0000"/>
        </patternFill>
      </fill>
    </dxf>
    <dxf>
      <font>
        <b/>
        <i val="0"/>
        <strike val="0"/>
        <color rgb="FFFFFF00"/>
      </font>
      <fill>
        <patternFill patternType="solid">
          <bgColor rgb="FFFF0000"/>
        </patternFill>
      </fill>
    </dxf>
    <dxf>
      <font>
        <b/>
        <i val="0"/>
        <strike val="0"/>
        <color theme="1"/>
      </font>
      <fill>
        <patternFill patternType="solid">
          <bgColor rgb="FFFFFF00"/>
        </patternFill>
      </fill>
    </dxf>
    <dxf>
      <font>
        <b/>
        <i val="0"/>
        <color rgb="FFFFFF00"/>
      </font>
      <fill>
        <patternFill>
          <bgColor rgb="FFFF0000"/>
        </patternFill>
      </fill>
    </dxf>
    <dxf>
      <font>
        <b/>
        <i val="0"/>
        <strike val="0"/>
        <color rgb="FFFFFF00"/>
      </font>
      <fill>
        <patternFill patternType="solid">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ill>
        <patternFill patternType="lightTrellis">
          <bgColor theme="4" tint="0.79998168889431442"/>
        </patternFill>
      </fill>
    </dxf>
    <dxf>
      <font>
        <b/>
        <i val="0"/>
        <color rgb="FFFFFF00"/>
      </font>
      <fill>
        <patternFill>
          <bgColor rgb="FFFF0000"/>
        </patternFill>
      </fill>
    </dxf>
    <dxf>
      <fill>
        <patternFill patternType="lightTrellis">
          <bgColor theme="4" tint="0.79998168889431442"/>
        </patternFill>
      </fill>
    </dxf>
    <dxf>
      <font>
        <b/>
        <i val="0"/>
        <color rgb="FFFFFF00"/>
      </font>
      <fill>
        <patternFill>
          <bgColor rgb="FFFF0000"/>
        </patternFill>
      </fill>
    </dxf>
    <dxf>
      <font>
        <strike val="0"/>
        <color theme="1"/>
      </font>
      <fill>
        <patternFill patternType="solid">
          <bgColor theme="6"/>
        </patternFill>
      </fill>
    </dxf>
    <dxf>
      <font>
        <strike val="0"/>
        <color theme="1"/>
      </font>
      <fill>
        <patternFill patternType="solid">
          <bgColor theme="6"/>
        </patternFill>
      </fill>
    </dxf>
    <dxf>
      <font>
        <strike val="0"/>
        <color theme="1"/>
      </font>
      <fill>
        <patternFill patternType="solid">
          <bgColor theme="6"/>
        </patternFill>
      </fill>
    </dxf>
    <dxf>
      <font>
        <strike val="0"/>
        <color theme="1"/>
      </font>
      <fill>
        <patternFill patternType="solid">
          <bgColor theme="6"/>
        </patternFill>
      </fill>
    </dxf>
    <dxf>
      <font>
        <strike val="0"/>
        <color theme="1"/>
      </font>
      <fill>
        <patternFill patternType="solid">
          <bgColor theme="6"/>
        </patternFill>
      </fill>
    </dxf>
    <dxf>
      <font>
        <strike val="0"/>
        <color theme="1"/>
      </font>
      <fill>
        <patternFill patternType="solid">
          <bgColor theme="6"/>
        </patternFill>
      </fill>
    </dxf>
    <dxf>
      <font>
        <strike val="0"/>
        <color theme="1"/>
      </font>
      <fill>
        <patternFill patternType="solid">
          <bgColor theme="6"/>
        </patternFill>
      </fill>
    </dxf>
    <dxf>
      <font>
        <strike val="0"/>
        <color theme="1"/>
      </font>
      <fill>
        <patternFill patternType="solid">
          <bgColor theme="6"/>
        </patternFill>
      </fill>
    </dxf>
    <dxf>
      <font>
        <strike val="0"/>
        <color theme="1"/>
      </font>
      <fill>
        <patternFill patternType="solid">
          <bgColor theme="6"/>
        </patternFill>
      </fill>
    </dxf>
    <dxf>
      <font>
        <strike val="0"/>
        <color theme="1"/>
      </font>
      <fill>
        <patternFill patternType="solid">
          <bgColor theme="6"/>
        </patternFill>
      </fill>
    </dxf>
    <dxf>
      <font>
        <strike val="0"/>
        <color theme="1"/>
      </font>
      <fill>
        <patternFill patternType="solid">
          <bgColor theme="6"/>
        </patternFill>
      </fill>
    </dxf>
    <dxf>
      <font>
        <strike val="0"/>
        <color theme="1"/>
      </font>
      <fill>
        <patternFill patternType="solid">
          <bgColor theme="6"/>
        </patternFill>
      </fill>
    </dxf>
    <dxf>
      <font>
        <strike val="0"/>
        <color theme="1"/>
      </font>
      <fill>
        <patternFill patternType="solid">
          <bgColor theme="6"/>
        </patternFill>
      </fill>
    </dxf>
    <dxf>
      <font>
        <strike val="0"/>
        <color theme="1"/>
      </font>
      <fill>
        <patternFill patternType="solid">
          <bgColor theme="6"/>
        </patternFill>
      </fill>
    </dxf>
    <dxf>
      <font>
        <strike val="0"/>
        <color theme="1"/>
      </font>
      <fill>
        <patternFill patternType="solid">
          <bgColor theme="6"/>
        </patternFill>
      </fill>
    </dxf>
    <dxf>
      <font>
        <strike val="0"/>
        <color theme="1"/>
      </font>
      <fill>
        <patternFill patternType="solid">
          <bgColor theme="6"/>
        </patternFill>
      </fill>
    </dxf>
    <dxf>
      <font>
        <strike val="0"/>
        <color theme="1"/>
      </font>
      <fill>
        <patternFill patternType="solid">
          <bgColor theme="6"/>
        </patternFill>
      </fill>
    </dxf>
    <dxf>
      <font>
        <strike val="0"/>
        <color theme="1"/>
      </font>
      <fill>
        <patternFill patternType="solid">
          <bgColor theme="6"/>
        </patternFill>
      </fill>
    </dxf>
    <dxf>
      <font>
        <strike val="0"/>
        <color theme="1"/>
      </font>
      <fill>
        <patternFill patternType="solid">
          <bgColor theme="6"/>
        </patternFill>
      </fill>
    </dxf>
    <dxf>
      <font>
        <b val="0"/>
        <i val="0"/>
        <strike val="0"/>
        <color theme="1"/>
      </font>
      <fill>
        <patternFill patternType="solid">
          <bgColor theme="6"/>
        </patternFill>
      </fill>
    </dxf>
    <dxf>
      <font>
        <b val="0"/>
        <i val="0"/>
        <strike val="0"/>
        <color theme="1"/>
      </font>
      <fill>
        <patternFill patternType="solid">
          <bgColor theme="6"/>
        </patternFill>
      </fill>
    </dxf>
    <dxf>
      <font>
        <b val="0"/>
        <i val="0"/>
        <strike val="0"/>
        <color theme="1"/>
      </font>
      <fill>
        <patternFill patternType="solid">
          <bgColor theme="6"/>
        </patternFill>
      </fill>
    </dxf>
    <dxf>
      <font>
        <b val="0"/>
        <i val="0"/>
        <strike val="0"/>
        <color theme="1"/>
      </font>
      <fill>
        <patternFill patternType="solid">
          <bgColor theme="6"/>
        </patternFill>
      </fill>
    </dxf>
    <dxf>
      <font>
        <b val="0"/>
        <i val="0"/>
        <strike val="0"/>
        <color theme="1"/>
      </font>
      <fill>
        <patternFill patternType="solid">
          <bgColor theme="6"/>
        </patternFill>
      </fill>
    </dxf>
    <dxf>
      <font>
        <b val="0"/>
        <i val="0"/>
        <strike val="0"/>
        <color theme="1"/>
      </font>
      <fill>
        <patternFill patternType="solid">
          <bgColor theme="6"/>
        </patternFill>
      </fill>
    </dxf>
    <dxf>
      <font>
        <b val="0"/>
        <i val="0"/>
        <strike val="0"/>
        <color theme="1"/>
      </font>
      <fill>
        <patternFill patternType="solid">
          <bgColor theme="6"/>
        </patternFill>
      </fill>
    </dxf>
    <dxf>
      <font>
        <b val="0"/>
        <i val="0"/>
        <strike val="0"/>
        <color theme="1"/>
      </font>
      <fill>
        <patternFill patternType="solid">
          <bgColor theme="6"/>
        </patternFill>
      </fill>
    </dxf>
    <dxf>
      <font>
        <color theme="1"/>
      </font>
      <fill>
        <patternFill patternType="solid">
          <bgColor theme="6"/>
        </patternFill>
      </fill>
    </dxf>
    <dxf>
      <fill>
        <patternFill patternType="lightTrellis">
          <bgColor theme="4" tint="0.79998168889431442"/>
        </patternFill>
      </fill>
    </dxf>
    <dxf>
      <font>
        <b/>
        <i val="0"/>
        <color rgb="FFFFFF00"/>
      </font>
      <fill>
        <patternFill>
          <bgColor rgb="FFFF0000"/>
        </patternFill>
      </fill>
    </dxf>
    <dxf>
      <fill>
        <patternFill>
          <bgColor theme="4" tint="0.79998168889431442"/>
        </patternFill>
      </fill>
    </dxf>
    <dxf>
      <font>
        <strike val="0"/>
        <color theme="1"/>
      </font>
      <fill>
        <patternFill patternType="solid">
          <bgColor theme="6"/>
        </patternFill>
      </fill>
    </dxf>
    <dxf>
      <font>
        <strike val="0"/>
        <color theme="1"/>
      </font>
      <fill>
        <patternFill patternType="solid">
          <bgColor theme="6"/>
        </patternFill>
      </fill>
    </dxf>
    <dxf>
      <font>
        <strike val="0"/>
        <color theme="1"/>
      </font>
      <fill>
        <patternFill patternType="solid">
          <bgColor theme="6"/>
        </patternFill>
      </fill>
    </dxf>
    <dxf>
      <font>
        <strike val="0"/>
        <color theme="1"/>
      </font>
      <fill>
        <patternFill patternType="solid">
          <bgColor theme="6"/>
        </patternFill>
      </fill>
    </dxf>
    <dxf>
      <font>
        <strike val="0"/>
        <color theme="1"/>
      </font>
      <fill>
        <patternFill patternType="solid">
          <bgColor theme="6"/>
        </patternFill>
      </fill>
    </dxf>
    <dxf>
      <font>
        <strike val="0"/>
        <color theme="1"/>
      </font>
      <fill>
        <patternFill patternType="solid">
          <bgColor theme="6"/>
        </patternFill>
      </fill>
    </dxf>
    <dxf>
      <font>
        <strike val="0"/>
        <color theme="1"/>
      </font>
      <fill>
        <patternFill patternType="solid">
          <bgColor theme="6"/>
        </patternFill>
      </fill>
    </dxf>
    <dxf>
      <font>
        <strike val="0"/>
        <color theme="1"/>
      </font>
      <fill>
        <patternFill patternType="solid">
          <bgColor theme="6"/>
        </patternFill>
      </fill>
    </dxf>
    <dxf>
      <font>
        <strike val="0"/>
        <color theme="1"/>
      </font>
      <fill>
        <patternFill patternType="solid">
          <bgColor theme="6"/>
        </patternFill>
      </fill>
    </dxf>
    <dxf>
      <font>
        <strike val="0"/>
        <color theme="1"/>
      </font>
      <fill>
        <patternFill patternType="solid">
          <bgColor theme="6"/>
        </patternFill>
      </fill>
    </dxf>
    <dxf>
      <font>
        <strike val="0"/>
        <color theme="1"/>
      </font>
      <fill>
        <patternFill patternType="solid">
          <bgColor theme="6"/>
        </patternFill>
      </fill>
    </dxf>
    <dxf>
      <font>
        <strike val="0"/>
        <color theme="1"/>
      </font>
      <fill>
        <patternFill patternType="solid">
          <bgColor theme="6"/>
        </patternFill>
      </fill>
    </dxf>
    <dxf>
      <font>
        <strike val="0"/>
        <color theme="1"/>
      </font>
      <fill>
        <patternFill patternType="solid">
          <bgColor theme="6"/>
        </patternFill>
      </fill>
    </dxf>
    <dxf>
      <font>
        <strike val="0"/>
        <color theme="1"/>
      </font>
      <fill>
        <patternFill patternType="solid">
          <bgColor theme="6"/>
        </patternFill>
      </fill>
    </dxf>
    <dxf>
      <font>
        <strike val="0"/>
        <color theme="1"/>
      </font>
      <fill>
        <patternFill patternType="solid">
          <bgColor theme="6"/>
        </patternFill>
      </fill>
    </dxf>
    <dxf>
      <font>
        <strike val="0"/>
        <color theme="1"/>
      </font>
      <fill>
        <patternFill patternType="solid">
          <bgColor theme="6"/>
        </patternFill>
      </fill>
    </dxf>
    <dxf>
      <font>
        <strike val="0"/>
        <color theme="1"/>
      </font>
      <fill>
        <patternFill patternType="solid">
          <bgColor theme="6"/>
        </patternFill>
      </fill>
    </dxf>
    <dxf>
      <font>
        <strike val="0"/>
        <color theme="1"/>
      </font>
      <fill>
        <patternFill patternType="solid">
          <bgColor theme="6"/>
        </patternFill>
      </fill>
    </dxf>
    <dxf>
      <font>
        <strike val="0"/>
        <color theme="1"/>
      </font>
      <fill>
        <patternFill patternType="solid">
          <bgColor theme="6"/>
        </patternFill>
      </fill>
    </dxf>
    <dxf>
      <font>
        <strike val="0"/>
        <color theme="1"/>
      </font>
      <fill>
        <patternFill patternType="solid">
          <bgColor theme="6"/>
        </patternFill>
      </fill>
    </dxf>
    <dxf>
      <fill>
        <patternFill patternType="lightTrellis">
          <fgColor auto="1"/>
          <bgColor theme="4" tint="0.79998168889431442"/>
        </patternFill>
      </fill>
    </dxf>
    <dxf>
      <fill>
        <patternFill>
          <bgColor theme="4" tint="0.79998168889431442"/>
        </patternFill>
      </fill>
    </dxf>
    <dxf>
      <font>
        <b/>
        <i val="0"/>
        <color rgb="FFFFFF00"/>
      </font>
      <fill>
        <patternFill>
          <bgColor rgb="FFFF0000"/>
        </patternFill>
      </fill>
    </dxf>
    <dxf>
      <fill>
        <patternFill patternType="lightTrellis">
          <fgColor auto="1"/>
          <bgColor theme="4" tint="0.79998168889431442"/>
        </patternFill>
      </fill>
    </dxf>
    <dxf>
      <fill>
        <patternFill>
          <bgColor theme="4" tint="0.79998168889431442"/>
        </patternFill>
      </fill>
    </dxf>
    <dxf>
      <font>
        <b/>
        <i val="0"/>
        <color rgb="FFFFFF00"/>
      </font>
      <fill>
        <patternFill>
          <bgColor rgb="FFFF0000"/>
        </patternFill>
      </fill>
    </dxf>
    <dxf>
      <fill>
        <patternFill>
          <bgColor rgb="FFFFFF00"/>
        </patternFill>
      </fill>
    </dxf>
    <dxf>
      <fill>
        <patternFill>
          <bgColor rgb="FFFFFF00"/>
        </patternFill>
      </fill>
    </dxf>
    <dxf>
      <fill>
        <patternFill patternType="lightDown">
          <fgColor rgb="FF92D050"/>
        </patternFill>
      </fill>
    </dxf>
    <dxf>
      <fill>
        <patternFill patternType="lightDown">
          <fgColor rgb="FFFF0000"/>
          <bgColor theme="0"/>
        </patternFill>
      </fill>
    </dxf>
    <dxf>
      <fill>
        <patternFill patternType="lightTrellis">
          <fgColor rgb="FF808080"/>
        </patternFill>
      </fill>
    </dxf>
    <dxf>
      <fill>
        <patternFill patternType="lightDown">
          <fgColor rgb="FF92D050"/>
          <bgColor theme="0"/>
        </patternFill>
      </fill>
    </dxf>
    <dxf>
      <fill>
        <patternFill patternType="lightDown">
          <fgColor rgb="FFFF0000"/>
        </patternFill>
      </fill>
    </dxf>
    <dxf>
      <fill>
        <patternFill patternType="lightTrellis">
          <fgColor rgb="FF808080"/>
        </patternFill>
      </fill>
    </dxf>
    <dxf>
      <fill>
        <patternFill patternType="lightTrellis">
          <bgColor theme="4" tint="0.79998168889431442"/>
        </patternFill>
      </fill>
    </dxf>
    <dxf>
      <font>
        <b/>
        <i val="0"/>
        <color rgb="FFFFFF00"/>
      </font>
      <fill>
        <patternFill>
          <bgColor rgb="FFFF0000"/>
        </patternFill>
      </fill>
    </dxf>
    <dxf>
      <fill>
        <patternFill>
          <bgColor theme="4" tint="0.79998168889431442"/>
        </patternFill>
      </fill>
    </dxf>
    <dxf>
      <fill>
        <patternFill patternType="lightTrellis">
          <bgColor theme="4" tint="0.79998168889431442"/>
        </patternFill>
      </fill>
    </dxf>
    <dxf>
      <font>
        <b/>
        <i val="0"/>
        <color rgb="FFFFFF00"/>
      </font>
      <fill>
        <patternFill>
          <bgColor rgb="FFFF0000"/>
        </patternFill>
      </fill>
    </dxf>
    <dxf>
      <fill>
        <patternFill>
          <bgColor theme="4" tint="0.79998168889431442"/>
        </patternFill>
      </fill>
    </dxf>
    <dxf>
      <fill>
        <patternFill patternType="lightTrellis">
          <bgColor theme="4" tint="0.79998168889431442"/>
        </patternFill>
      </fill>
    </dxf>
    <dxf>
      <font>
        <b/>
        <i val="0"/>
        <color rgb="FFFFFF00"/>
      </font>
      <fill>
        <patternFill>
          <bgColor rgb="FFFF0000"/>
        </patternFill>
      </fill>
    </dxf>
    <dxf>
      <fill>
        <patternFill>
          <bgColor theme="4" tint="0.79998168889431442"/>
        </patternFill>
      </fill>
    </dxf>
    <dxf>
      <fill>
        <patternFill patternType="lightTrellis">
          <bgColor theme="4" tint="0.79998168889431442"/>
        </patternFill>
      </fill>
    </dxf>
    <dxf>
      <font>
        <b/>
        <i val="0"/>
        <color rgb="FFFFFF00"/>
      </font>
      <fill>
        <patternFill>
          <bgColor rgb="FFFF0000"/>
        </patternFill>
      </fill>
    </dxf>
    <dxf>
      <fill>
        <patternFill>
          <bgColor theme="4" tint="0.79998168889431442"/>
        </patternFill>
      </fill>
    </dxf>
    <dxf>
      <fill>
        <patternFill patternType="lightTrellis">
          <bgColor theme="4" tint="0.79998168889431442"/>
        </patternFill>
      </fill>
    </dxf>
    <dxf>
      <font>
        <b/>
        <i val="0"/>
        <color rgb="FFFFFF00"/>
      </font>
      <fill>
        <patternFill>
          <bgColor rgb="FFFF0000"/>
        </patternFill>
      </fill>
    </dxf>
    <dxf>
      <fill>
        <patternFill>
          <bgColor theme="4" tint="0.79998168889431442"/>
        </patternFill>
      </fill>
    </dxf>
    <dxf>
      <fill>
        <patternFill patternType="lightTrellis">
          <bgColor theme="4" tint="0.79998168889431442"/>
        </patternFill>
      </fill>
    </dxf>
    <dxf>
      <font>
        <b/>
        <i val="0"/>
        <color rgb="FFFFFF00"/>
      </font>
      <fill>
        <patternFill>
          <bgColor rgb="FFFF0000"/>
        </patternFill>
      </fill>
    </dxf>
    <dxf>
      <fill>
        <patternFill>
          <bgColor theme="4" tint="0.79998168889431442"/>
        </patternFill>
      </fill>
    </dxf>
    <dxf>
      <fill>
        <patternFill patternType="lightTrellis">
          <bgColor theme="4" tint="0.79998168889431442"/>
        </patternFill>
      </fill>
    </dxf>
    <dxf>
      <font>
        <b/>
        <i val="0"/>
        <color rgb="FFFFFF00"/>
      </font>
      <fill>
        <patternFill>
          <bgColor rgb="FFFF0000"/>
        </patternFill>
      </fill>
    </dxf>
    <dxf>
      <fill>
        <patternFill>
          <bgColor theme="4" tint="0.79998168889431442"/>
        </patternFill>
      </fill>
    </dxf>
    <dxf>
      <fill>
        <patternFill patternType="lightTrellis">
          <bgColor theme="4" tint="0.79998168889431442"/>
        </patternFill>
      </fill>
    </dxf>
    <dxf>
      <font>
        <b/>
        <i val="0"/>
        <color rgb="FFFFFF00"/>
      </font>
      <fill>
        <patternFill>
          <bgColor rgb="FFFF0000"/>
        </patternFill>
      </fill>
    </dxf>
    <dxf>
      <fill>
        <patternFill>
          <bgColor theme="4" tint="0.79998168889431442"/>
        </patternFill>
      </fill>
    </dxf>
    <dxf>
      <fill>
        <patternFill patternType="lightTrellis">
          <bgColor theme="4" tint="0.79998168889431442"/>
        </patternFill>
      </fill>
    </dxf>
    <dxf>
      <font>
        <b/>
        <i val="0"/>
        <color rgb="FFFFFF00"/>
      </font>
      <fill>
        <patternFill>
          <bgColor rgb="FFFF0000"/>
        </patternFill>
      </fill>
    </dxf>
    <dxf>
      <fill>
        <patternFill>
          <bgColor theme="4" tint="0.79998168889431442"/>
        </patternFill>
      </fill>
    </dxf>
    <dxf>
      <fill>
        <patternFill patternType="lightTrellis">
          <bgColor theme="4" tint="0.79998168889431442"/>
        </patternFill>
      </fill>
    </dxf>
    <dxf>
      <font>
        <b/>
        <i val="0"/>
        <color rgb="FFFFFF00"/>
      </font>
      <fill>
        <patternFill>
          <bgColor rgb="FFFF0000"/>
        </patternFill>
      </fill>
    </dxf>
    <dxf>
      <fill>
        <patternFill>
          <bgColor theme="4" tint="0.79998168889431442"/>
        </patternFill>
      </fill>
    </dxf>
    <dxf>
      <fill>
        <patternFill patternType="lightTrellis">
          <bgColor theme="4" tint="0.79998168889431442"/>
        </patternFill>
      </fill>
    </dxf>
    <dxf>
      <font>
        <b/>
        <i val="0"/>
        <color rgb="FFFFFF00"/>
      </font>
      <fill>
        <patternFill>
          <bgColor rgb="FFFF0000"/>
        </patternFill>
      </fill>
    </dxf>
    <dxf>
      <fill>
        <patternFill>
          <bgColor theme="4" tint="0.79998168889431442"/>
        </patternFill>
      </fill>
    </dxf>
    <dxf>
      <fill>
        <patternFill patternType="lightTrellis">
          <bgColor theme="4" tint="0.79998168889431442"/>
        </patternFill>
      </fill>
    </dxf>
    <dxf>
      <font>
        <b/>
        <i val="0"/>
        <color rgb="FFFFFF00"/>
      </font>
      <fill>
        <patternFill>
          <bgColor rgb="FFFF0000"/>
        </patternFill>
      </fill>
    </dxf>
    <dxf>
      <fill>
        <patternFill>
          <bgColor theme="4" tint="0.79998168889431442"/>
        </patternFill>
      </fill>
    </dxf>
    <dxf>
      <fill>
        <patternFill patternType="lightTrellis">
          <bgColor theme="4" tint="0.79998168889431442"/>
        </patternFill>
      </fill>
    </dxf>
    <dxf>
      <font>
        <b/>
        <i val="0"/>
        <color rgb="FFFFFF00"/>
      </font>
      <fill>
        <patternFill>
          <bgColor rgb="FFFF0000"/>
        </patternFill>
      </fill>
    </dxf>
    <dxf>
      <fill>
        <patternFill>
          <bgColor theme="4" tint="0.79998168889431442"/>
        </patternFill>
      </fill>
    </dxf>
    <dxf>
      <fill>
        <patternFill patternType="lightTrellis">
          <bgColor theme="4" tint="0.79998168889431442"/>
        </patternFill>
      </fill>
    </dxf>
    <dxf>
      <font>
        <b/>
        <i val="0"/>
        <color rgb="FFFFFF00"/>
      </font>
      <fill>
        <patternFill>
          <bgColor rgb="FFFF0000"/>
        </patternFill>
      </fill>
    </dxf>
    <dxf>
      <fill>
        <patternFill>
          <bgColor theme="4" tint="0.79998168889431442"/>
        </patternFill>
      </fill>
    </dxf>
    <dxf>
      <fill>
        <patternFill patternType="lightTrellis">
          <bgColor theme="4" tint="0.79998168889431442"/>
        </patternFill>
      </fill>
    </dxf>
    <dxf>
      <fill>
        <patternFill>
          <bgColor theme="4" tint="0.79998168889431442"/>
        </patternFill>
      </fill>
    </dxf>
    <dxf>
      <font>
        <b/>
        <i val="0"/>
        <color rgb="FFFFFF00"/>
      </font>
      <fill>
        <patternFill>
          <bgColor rgb="FFFF0000"/>
        </patternFill>
      </fill>
    </dxf>
    <dxf>
      <fill>
        <patternFill patternType="lightTrellis">
          <bgColor theme="4" tint="0.79998168889431442"/>
        </patternFill>
      </fill>
    </dxf>
    <dxf>
      <font>
        <b/>
        <i val="0"/>
        <color rgb="FFFFFF00"/>
      </font>
      <fill>
        <patternFill>
          <bgColor rgb="FFFF0000"/>
        </patternFill>
      </fill>
    </dxf>
    <dxf>
      <fill>
        <patternFill>
          <bgColor theme="4" tint="0.79998168889431442"/>
        </patternFill>
      </fill>
    </dxf>
    <dxf>
      <fill>
        <patternFill patternType="lightTrellis">
          <bgColor theme="4" tint="0.79998168889431442"/>
        </patternFill>
      </fill>
    </dxf>
    <dxf>
      <font>
        <b/>
        <i val="0"/>
        <color rgb="FFFFFF00"/>
      </font>
      <fill>
        <patternFill>
          <bgColor rgb="FFFF0000"/>
        </patternFill>
      </fill>
    </dxf>
    <dxf>
      <fill>
        <patternFill>
          <bgColor theme="4" tint="0.79998168889431442"/>
        </patternFill>
      </fill>
    </dxf>
    <dxf>
      <fill>
        <patternFill patternType="lightTrellis">
          <bgColor theme="4" tint="0.79998168889431442"/>
        </patternFill>
      </fill>
    </dxf>
    <dxf>
      <font>
        <b/>
        <i val="0"/>
        <color rgb="FFFFFF00"/>
      </font>
      <fill>
        <patternFill>
          <bgColor rgb="FFFF0000"/>
        </patternFill>
      </fill>
    </dxf>
    <dxf>
      <fill>
        <patternFill>
          <bgColor theme="4" tint="0.79998168889431442"/>
        </patternFill>
      </fill>
    </dxf>
    <dxf>
      <fill>
        <patternFill patternType="lightTrellis">
          <bgColor theme="4" tint="0.79998168889431442"/>
        </patternFill>
      </fill>
    </dxf>
    <dxf>
      <font>
        <b/>
        <i val="0"/>
        <color rgb="FFFFFF00"/>
      </font>
      <fill>
        <patternFill>
          <bgColor rgb="FFFF0000"/>
        </patternFill>
      </fill>
    </dxf>
    <dxf>
      <fill>
        <patternFill>
          <bgColor theme="4" tint="0.79998168889431442"/>
        </patternFill>
      </fill>
    </dxf>
    <dxf>
      <font>
        <b/>
        <i val="0"/>
        <color rgb="FFFFFF00"/>
      </font>
      <fill>
        <patternFill>
          <bgColor rgb="FFFF0000"/>
        </patternFill>
      </fill>
    </dxf>
    <dxf>
      <fill>
        <patternFill patternType="lightTrellis">
          <bgColor theme="4" tint="0.79998168889431442"/>
        </patternFill>
      </fill>
    </dxf>
    <dxf>
      <fill>
        <patternFill>
          <bgColor theme="4" tint="0.79998168889431442"/>
        </patternFill>
      </fill>
    </dxf>
    <dxf>
      <fill>
        <patternFill patternType="lightTrellis">
          <fgColor auto="1"/>
          <bgColor theme="4" tint="0.79998168889431442"/>
        </patternFill>
      </fill>
    </dxf>
    <dxf>
      <fill>
        <patternFill>
          <bgColor theme="4" tint="0.79998168889431442"/>
        </patternFill>
      </fill>
    </dxf>
    <dxf>
      <font>
        <b/>
        <i val="0"/>
        <color rgb="FFFFFF00"/>
      </font>
      <fill>
        <patternFill>
          <bgColor rgb="FFFF0000"/>
        </patternFill>
      </fill>
    </dxf>
    <dxf>
      <fill>
        <patternFill patternType="lightTrellis">
          <fgColor auto="1"/>
          <bgColor theme="4" tint="0.79998168889431442"/>
        </patternFill>
      </fill>
    </dxf>
    <dxf>
      <fill>
        <patternFill>
          <bgColor theme="4" tint="0.79998168889431442"/>
        </patternFill>
      </fill>
    </dxf>
    <dxf>
      <font>
        <b/>
        <i val="0"/>
        <color rgb="FFFFFF00"/>
      </font>
      <fill>
        <patternFill>
          <bgColor rgb="FFFF0000"/>
        </patternFill>
      </fill>
    </dxf>
    <dxf>
      <fill>
        <patternFill patternType="lightDown">
          <fgColor rgb="FF92D050"/>
          <bgColor theme="0"/>
        </patternFill>
      </fill>
    </dxf>
    <dxf>
      <fill>
        <patternFill patternType="lightDown">
          <fgColor rgb="FFFF0000"/>
        </patternFill>
      </fill>
    </dxf>
    <dxf>
      <fill>
        <patternFill patternType="lightTrellis">
          <fgColor rgb="FF808080"/>
        </patternFill>
      </fill>
    </dxf>
    <dxf>
      <fill>
        <patternFill patternType="lightDown">
          <fgColor rgb="FF92D050"/>
        </patternFill>
      </fill>
    </dxf>
    <dxf>
      <fill>
        <patternFill patternType="lightDown">
          <fgColor rgb="FFFF0000"/>
        </patternFill>
      </fill>
    </dxf>
    <dxf>
      <fill>
        <patternFill patternType="lightTrellis">
          <fgColor rgb="FF808080"/>
        </patternFill>
      </fill>
    </dxf>
    <dxf>
      <fill>
        <patternFill patternType="lightTrellis">
          <bgColor theme="4" tint="0.79998168889431442"/>
        </patternFill>
      </fill>
    </dxf>
    <dxf>
      <font>
        <b/>
        <i val="0"/>
        <color rgb="FFFFFF00"/>
      </font>
      <fill>
        <patternFill>
          <bgColor rgb="FFFF0000"/>
        </patternFill>
      </fill>
    </dxf>
    <dxf>
      <fill>
        <patternFill patternType="lightTrellis">
          <bgColor theme="4" tint="0.79998168889431442"/>
        </patternFill>
      </fill>
    </dxf>
    <dxf>
      <font>
        <b/>
        <i val="0"/>
        <color rgb="FFFFFF00"/>
      </font>
      <fill>
        <patternFill>
          <bgColor rgb="FFFF0000"/>
        </patternFill>
      </fill>
    </dxf>
    <dxf>
      <fill>
        <patternFill patternType="lightTrellis">
          <bgColor theme="4" tint="0.79998168889431442"/>
        </patternFill>
      </fill>
    </dxf>
    <dxf>
      <font>
        <b/>
        <i val="0"/>
        <color rgb="FFFFFF00"/>
      </font>
      <fill>
        <patternFill>
          <bgColor rgb="FFFF0000"/>
        </patternFill>
      </fill>
    </dxf>
    <dxf>
      <fill>
        <patternFill patternType="lightTrellis">
          <bgColor theme="4" tint="0.79998168889431442"/>
        </patternFill>
      </fill>
    </dxf>
    <dxf>
      <font>
        <b/>
        <i val="0"/>
        <color rgb="FFFFFF00"/>
      </font>
      <fill>
        <patternFill>
          <bgColor rgb="FFFF0000"/>
        </patternFill>
      </fill>
    </dxf>
    <dxf>
      <fill>
        <patternFill patternType="lightTrellis">
          <bgColor theme="4" tint="0.79998168889431442"/>
        </patternFill>
      </fill>
    </dxf>
    <dxf>
      <font>
        <b/>
        <i val="0"/>
        <color rgb="FFFFFF00"/>
      </font>
      <fill>
        <patternFill>
          <bgColor rgb="FFFF0000"/>
        </patternFill>
      </fill>
    </dxf>
    <dxf>
      <fill>
        <patternFill patternType="lightTrellis">
          <bgColor theme="4" tint="0.79998168889431442"/>
        </patternFill>
      </fill>
    </dxf>
    <dxf>
      <font>
        <b/>
        <i val="0"/>
        <color rgb="FFFFFF00"/>
      </font>
      <fill>
        <patternFill>
          <bgColor rgb="FFFF0000"/>
        </patternFill>
      </fill>
    </dxf>
    <dxf>
      <fill>
        <patternFill patternType="lightTrellis">
          <bgColor theme="4" tint="0.79998168889431442"/>
        </patternFill>
      </fill>
    </dxf>
    <dxf>
      <font>
        <b/>
        <i val="0"/>
        <color rgb="FFFFFF00"/>
      </font>
      <fill>
        <patternFill>
          <bgColor rgb="FFFF0000"/>
        </patternFill>
      </fill>
    </dxf>
    <dxf>
      <fill>
        <patternFill patternType="lightTrellis">
          <bgColor theme="4" tint="0.79998168889431442"/>
        </patternFill>
      </fill>
    </dxf>
    <dxf>
      <font>
        <b/>
        <i val="0"/>
        <color rgb="FFFFFF00"/>
      </font>
      <fill>
        <patternFill>
          <bgColor rgb="FFFF0000"/>
        </patternFill>
      </fill>
    </dxf>
    <dxf>
      <fill>
        <patternFill patternType="lightTrellis">
          <bgColor theme="4" tint="0.79998168889431442"/>
        </patternFill>
      </fill>
    </dxf>
    <dxf>
      <font>
        <b/>
        <i val="0"/>
        <color rgb="FFFFFF00"/>
      </font>
      <fill>
        <patternFill>
          <bgColor rgb="FFFF0000"/>
        </patternFill>
      </fill>
    </dxf>
    <dxf>
      <fill>
        <patternFill patternType="lightTrellis">
          <bgColor theme="4" tint="0.79998168889431442"/>
        </patternFill>
      </fill>
    </dxf>
    <dxf>
      <font>
        <b/>
        <i val="0"/>
        <color rgb="FFFFFF00"/>
      </font>
      <fill>
        <patternFill>
          <bgColor rgb="FFFF0000"/>
        </patternFill>
      </fill>
    </dxf>
    <dxf>
      <fill>
        <patternFill patternType="lightTrellis">
          <bgColor theme="4" tint="0.79998168889431442"/>
        </patternFill>
      </fill>
    </dxf>
    <dxf>
      <font>
        <b/>
        <i val="0"/>
        <color rgb="FFFFFF00"/>
      </font>
      <fill>
        <patternFill>
          <bgColor rgb="FFFF0000"/>
        </patternFill>
      </fill>
    </dxf>
    <dxf>
      <fill>
        <patternFill patternType="lightTrellis">
          <bgColor theme="4" tint="0.79998168889431442"/>
        </patternFill>
      </fill>
    </dxf>
    <dxf>
      <font>
        <b/>
        <i val="0"/>
        <color rgb="FFFFFF00"/>
      </font>
      <fill>
        <patternFill>
          <bgColor rgb="FFFF0000"/>
        </patternFill>
      </fill>
    </dxf>
    <dxf>
      <fill>
        <patternFill patternType="lightTrellis">
          <bgColor theme="4" tint="0.79998168889431442"/>
        </patternFill>
      </fill>
    </dxf>
    <dxf>
      <font>
        <b/>
        <i val="0"/>
        <color rgb="FFFFFF00"/>
      </font>
      <fill>
        <patternFill>
          <bgColor rgb="FFFF0000"/>
        </patternFill>
      </fill>
    </dxf>
    <dxf>
      <font>
        <b/>
        <i val="0"/>
        <color rgb="FFFFFF00"/>
      </font>
      <fill>
        <patternFill>
          <bgColor rgb="FFFF0000"/>
        </patternFill>
      </fill>
    </dxf>
    <dxf>
      <font>
        <b val="0"/>
        <i val="0"/>
        <color auto="1"/>
      </font>
      <fill>
        <patternFill patternType="lightTrellis">
          <bgColor theme="4" tint="0.79998168889431442"/>
        </patternFill>
      </fill>
    </dxf>
    <dxf>
      <fill>
        <patternFill patternType="lightTrellis">
          <bgColor theme="4" tint="0.79998168889431442"/>
        </patternFill>
      </fill>
    </dxf>
    <dxf>
      <font>
        <b/>
        <i val="0"/>
        <color rgb="FFFFFF00"/>
      </font>
      <fill>
        <patternFill>
          <bgColor rgb="FFFF0000"/>
        </patternFill>
      </fill>
    </dxf>
    <dxf>
      <font>
        <b/>
        <i val="0"/>
        <color rgb="FF0D776E"/>
      </font>
    </dxf>
    <dxf>
      <font>
        <b/>
        <i val="0"/>
        <color rgb="FFFF0000"/>
      </font>
    </dxf>
    <dxf>
      <font>
        <b/>
        <i val="0"/>
        <color rgb="FF0D776E"/>
      </font>
    </dxf>
    <dxf>
      <font>
        <b/>
        <i val="0"/>
        <color rgb="FFFF0000"/>
      </font>
    </dxf>
    <dxf>
      <font>
        <b/>
        <i val="0"/>
        <color rgb="FF0D776E"/>
      </font>
    </dxf>
    <dxf>
      <font>
        <b/>
        <i val="0"/>
        <color rgb="FFFF0000"/>
      </font>
    </dxf>
    <dxf>
      <font>
        <b/>
        <i val="0"/>
        <color rgb="FF0D776E"/>
      </font>
    </dxf>
    <dxf>
      <font>
        <b/>
        <i val="0"/>
        <color rgb="FFFF0000"/>
      </font>
    </dxf>
    <dxf>
      <fill>
        <patternFill patternType="lightTrellis">
          <bgColor theme="4" tint="0.79998168889431442"/>
        </patternFill>
      </fill>
    </dxf>
    <dxf>
      <font>
        <b/>
        <i val="0"/>
        <color rgb="FFFFFF00"/>
      </font>
      <fill>
        <patternFill>
          <bgColor rgb="FFFF0000"/>
        </patternFill>
      </fill>
    </dxf>
    <dxf>
      <fill>
        <patternFill>
          <bgColor theme="4" tint="0.79998168889431442"/>
        </patternFill>
      </fill>
    </dxf>
    <dxf>
      <fill>
        <patternFill patternType="lightTrellis">
          <bgColor theme="4" tint="0.79998168889431442"/>
        </patternFill>
      </fill>
    </dxf>
    <dxf>
      <font>
        <b/>
        <i val="0"/>
        <color rgb="FFFFFF00"/>
      </font>
      <fill>
        <patternFill>
          <bgColor rgb="FFFF0000"/>
        </patternFill>
      </fill>
    </dxf>
    <dxf>
      <fill>
        <patternFill>
          <bgColor theme="4" tint="0.79998168889431442"/>
        </patternFill>
      </fill>
    </dxf>
    <dxf>
      <fill>
        <patternFill patternType="lightTrellis">
          <bgColor theme="4" tint="0.79998168889431442"/>
        </patternFill>
      </fill>
    </dxf>
    <dxf>
      <font>
        <b/>
        <i val="0"/>
        <color rgb="FFFFFF00"/>
      </font>
      <fill>
        <patternFill>
          <bgColor rgb="FFFF0000"/>
        </patternFill>
      </fill>
    </dxf>
    <dxf>
      <fill>
        <patternFill>
          <bgColor theme="4" tint="0.79998168889431442"/>
        </patternFill>
      </fill>
    </dxf>
    <dxf>
      <fill>
        <patternFill patternType="lightTrellis">
          <fgColor auto="1"/>
          <bgColor theme="4" tint="0.79998168889431442"/>
        </patternFill>
      </fill>
    </dxf>
    <dxf>
      <font>
        <b/>
        <i val="0"/>
        <color rgb="FFFFFF00"/>
      </font>
      <fill>
        <patternFill>
          <bgColor rgb="FFFF0000"/>
        </patternFill>
      </fill>
    </dxf>
    <dxf>
      <fill>
        <patternFill patternType="lightTrellis">
          <fgColor auto="1"/>
          <bgColor theme="4" tint="0.79998168889431442"/>
        </patternFill>
      </fill>
    </dxf>
    <dxf>
      <fill>
        <patternFill>
          <bgColor theme="4" tint="0.79998168889431442"/>
        </patternFill>
      </fill>
    </dxf>
    <dxf>
      <font>
        <b/>
        <i val="0"/>
        <color rgb="FFFFFF00"/>
      </font>
      <fill>
        <patternFill>
          <bgColor rgb="FFFF0000"/>
        </patternFill>
      </fill>
    </dxf>
    <dxf>
      <fill>
        <patternFill patternType="lightTrellis">
          <fgColor auto="1"/>
          <bgColor theme="4" tint="0.79998168889431442"/>
        </patternFill>
      </fill>
    </dxf>
    <dxf>
      <fill>
        <patternFill>
          <bgColor theme="4" tint="0.79998168889431442"/>
        </patternFill>
      </fill>
    </dxf>
    <dxf>
      <font>
        <b/>
        <i val="0"/>
        <color rgb="FFFFFF00"/>
      </font>
      <fill>
        <patternFill>
          <bgColor rgb="FFFF0000"/>
        </patternFill>
      </fill>
    </dxf>
    <dxf>
      <font>
        <b val="0"/>
        <i val="0"/>
        <color theme="1"/>
      </font>
      <fill>
        <patternFill patternType="solid">
          <bgColor theme="0"/>
        </patternFill>
      </fill>
      <border>
        <vertical/>
        <horizontal/>
      </border>
    </dxf>
    <dxf>
      <fill>
        <patternFill>
          <bgColor rgb="FFFF0000"/>
        </patternFill>
      </fill>
    </dxf>
    <dxf>
      <fill>
        <patternFill>
          <bgColor rgb="FFFF0000"/>
        </patternFill>
      </fill>
    </dxf>
    <dxf>
      <fill>
        <patternFill>
          <bgColor rgb="FFFF0000"/>
        </patternFill>
      </fill>
    </dxf>
    <dxf>
      <font>
        <b/>
        <i val="0"/>
        <strike val="0"/>
        <color rgb="FFFFFF00"/>
      </font>
      <fill>
        <patternFill patternType="solid">
          <bgColor rgb="FFFF0000"/>
        </patternFill>
      </fill>
    </dxf>
    <dxf>
      <fill>
        <patternFill>
          <bgColor rgb="FFFF0000"/>
        </patternFill>
      </fill>
    </dxf>
    <dxf>
      <fill>
        <patternFill patternType="lightTrellis">
          <bgColor theme="4" tint="0.79998168889431442"/>
        </patternFill>
      </fill>
    </dxf>
    <dxf>
      <fill>
        <patternFill patternType="lightTrellis"/>
      </fill>
    </dxf>
    <dxf>
      <fill>
        <patternFill>
          <bgColor rgb="FFFF0000"/>
        </patternFill>
      </fill>
    </dxf>
    <dxf>
      <fill>
        <patternFill patternType="lightTrellis"/>
      </fill>
    </dxf>
    <dxf>
      <fill>
        <patternFill>
          <bgColor rgb="FFFF0000"/>
        </patternFill>
      </fill>
    </dxf>
    <dxf>
      <fill>
        <patternFill patternType="lightTrellis"/>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bgColor rgb="FFFF0000"/>
        </patternFill>
      </fill>
    </dxf>
    <dxf>
      <fill>
        <patternFill patternType="lightTrellis">
          <fgColor theme="1"/>
        </patternFill>
      </fill>
    </dxf>
    <dxf>
      <font>
        <b/>
        <i val="0"/>
        <strike val="0"/>
        <color rgb="FFFFFF00"/>
      </font>
      <fill>
        <patternFill patternType="solid">
          <bgColor rgb="FFFF0000"/>
        </patternFill>
      </fill>
    </dxf>
    <dxf>
      <fill>
        <patternFill patternType="lightTrellis"/>
      </fill>
    </dxf>
    <dxf>
      <font>
        <b/>
        <i val="0"/>
        <strike val="0"/>
        <color rgb="FFFFFF00"/>
      </font>
      <fill>
        <patternFill patternType="solid">
          <bgColor rgb="FFFF0000"/>
        </patternFill>
      </fill>
    </dxf>
    <dxf>
      <font>
        <b/>
        <i val="0"/>
        <strike val="0"/>
        <color rgb="FFFF0000"/>
      </font>
      <fill>
        <patternFill>
          <bgColor rgb="FFFFFF00"/>
        </patternFill>
      </fill>
    </dxf>
    <dxf>
      <font>
        <b/>
        <i val="0"/>
        <strike val="0"/>
        <color rgb="FFFFFF00"/>
      </font>
      <fill>
        <patternFill>
          <bgColor rgb="FFFF0000"/>
        </patternFill>
      </fill>
    </dxf>
    <dxf>
      <font>
        <b/>
        <i val="0"/>
        <strike val="0"/>
        <color rgb="FFFFFF00"/>
      </font>
      <fill>
        <patternFill>
          <bgColor rgb="FFFF0000"/>
        </patternFill>
      </fill>
    </dxf>
    <dxf>
      <fill>
        <patternFill patternType="lightTrellis"/>
      </fill>
    </dxf>
    <dxf>
      <fill>
        <patternFill>
          <bgColor rgb="FFFF0000"/>
        </patternFill>
      </fill>
    </dxf>
    <dxf>
      <fill>
        <patternFill>
          <bgColor rgb="FFFF0000"/>
        </patternFill>
      </fill>
    </dxf>
    <dxf>
      <font>
        <b/>
        <i val="0"/>
        <strike val="0"/>
        <color rgb="FFFFFF00"/>
      </font>
      <fill>
        <patternFill>
          <bgColor rgb="FFFF0000"/>
        </patternFill>
      </fill>
    </dxf>
    <dxf>
      <font>
        <b/>
        <i val="0"/>
        <strike val="0"/>
        <color rgb="FFFFFF00"/>
      </font>
      <fill>
        <patternFill>
          <bgColor rgb="FFFF0000"/>
        </patternFill>
      </fill>
    </dxf>
    <dxf>
      <font>
        <b/>
        <i val="0"/>
        <strike val="0"/>
        <color rgb="FFFFFF00"/>
      </font>
      <fill>
        <patternFill>
          <bgColor rgb="FFFF0000"/>
        </patternFill>
      </fill>
    </dxf>
    <dxf>
      <font>
        <b/>
        <i val="0"/>
        <strike val="0"/>
        <color rgb="FFFFFF00"/>
      </font>
      <fill>
        <patternFill>
          <bgColor rgb="FFFF0000"/>
        </patternFill>
      </fill>
    </dxf>
    <dxf>
      <fill>
        <patternFill patternType="lightTrellis"/>
      </fill>
    </dxf>
    <dxf>
      <font>
        <b/>
        <i val="0"/>
        <strike val="0"/>
        <color rgb="FFFFFF00"/>
      </font>
      <fill>
        <patternFill patternType="solid">
          <bgColor rgb="FFFF0000"/>
        </patternFill>
      </fill>
    </dxf>
    <dxf>
      <fill>
        <patternFill patternType="lightTrellis"/>
      </fill>
    </dxf>
    <dxf>
      <font>
        <b/>
        <i val="0"/>
        <strike val="0"/>
        <color rgb="FFFFFF00"/>
      </font>
      <fill>
        <patternFill patternType="solid">
          <bgColor rgb="FFFF0000"/>
        </patternFill>
      </fill>
    </dxf>
    <dxf>
      <fill>
        <patternFill patternType="lightTrellis"/>
      </fill>
    </dxf>
    <dxf>
      <font>
        <b/>
        <i val="0"/>
        <strike val="0"/>
        <color rgb="FFFFFF00"/>
      </font>
      <fill>
        <patternFill patternType="solid">
          <bgColor rgb="FFFF0000"/>
        </patternFill>
      </fill>
    </dxf>
    <dxf>
      <fill>
        <patternFill patternType="lightTrellis"/>
      </fill>
    </dxf>
    <dxf>
      <font>
        <b/>
        <i val="0"/>
        <strike val="0"/>
        <color rgb="FFFFFF00"/>
      </font>
      <fill>
        <patternFill patternType="solid">
          <bgColor rgb="FFFF0000"/>
        </patternFill>
      </fill>
    </dxf>
    <dxf>
      <font>
        <b val="0"/>
        <i val="0"/>
        <strike val="0"/>
        <color auto="1"/>
      </font>
      <fill>
        <patternFill patternType="lightTrellis"/>
      </fill>
    </dxf>
    <dxf>
      <font>
        <b/>
        <i val="0"/>
        <strike val="0"/>
        <color rgb="FFFFFF00"/>
      </font>
      <fill>
        <patternFill patternType="solid">
          <bgColor rgb="FFFF0000"/>
        </patternFill>
      </fill>
    </dxf>
    <dxf>
      <fill>
        <patternFill patternType="lightTrellis"/>
      </fill>
    </dxf>
    <dxf>
      <font>
        <b/>
        <i val="0"/>
        <strike val="0"/>
        <color rgb="FFFFFF00"/>
      </font>
      <fill>
        <patternFill patternType="solid">
          <bgColor rgb="FFFF0000"/>
        </patternFill>
      </fill>
    </dxf>
    <dxf>
      <fill>
        <patternFill patternType="lightTrellis"/>
      </fill>
    </dxf>
    <dxf>
      <font>
        <b/>
        <i val="0"/>
        <strike val="0"/>
        <color rgb="FFFFFF00"/>
      </font>
      <fill>
        <patternFill patternType="solid">
          <bgColor rgb="FFFF0000"/>
        </patternFill>
      </fill>
    </dxf>
    <dxf>
      <fill>
        <patternFill patternType="lightTrellis"/>
      </fill>
    </dxf>
    <dxf>
      <font>
        <b/>
        <i val="0"/>
        <strike val="0"/>
        <color rgb="FFFFFF00"/>
      </font>
      <fill>
        <patternFill patternType="solid">
          <bgColor rgb="FFFF0000"/>
        </patternFill>
      </fill>
    </dxf>
    <dxf>
      <fill>
        <patternFill patternType="lightTrellis"/>
      </fill>
    </dxf>
    <dxf>
      <font>
        <b/>
        <i val="0"/>
        <strike val="0"/>
        <color rgb="FFFFFF00"/>
      </font>
      <fill>
        <patternFill patternType="solid">
          <bgColor rgb="FFFF0000"/>
        </patternFill>
      </fill>
    </dxf>
    <dxf>
      <fill>
        <patternFill patternType="lightTrellis"/>
      </fill>
    </dxf>
    <dxf>
      <font>
        <b/>
        <i val="0"/>
        <strike val="0"/>
        <color rgb="FFFFFF00"/>
      </font>
      <fill>
        <patternFill patternType="solid">
          <bgColor rgb="FFFF0000"/>
        </patternFill>
      </fill>
    </dxf>
    <dxf>
      <fill>
        <patternFill patternType="lightTrellis"/>
      </fill>
    </dxf>
    <dxf>
      <font>
        <b/>
        <i val="0"/>
        <strike val="0"/>
        <color rgb="FFFFFF00"/>
      </font>
      <fill>
        <patternFill patternType="solid">
          <bgColor rgb="FFFF0000"/>
        </patternFill>
      </fill>
    </dxf>
    <dxf>
      <fill>
        <patternFill patternType="lightTrellis"/>
      </fill>
    </dxf>
    <dxf>
      <font>
        <b/>
        <i val="0"/>
        <strike val="0"/>
        <color rgb="FFFFFF00"/>
      </font>
      <fill>
        <patternFill patternType="solid">
          <bgColor rgb="FFFF0000"/>
        </patternFill>
      </fill>
    </dxf>
    <dxf>
      <fill>
        <patternFill patternType="lightTrellis"/>
      </fill>
    </dxf>
    <dxf>
      <font>
        <b/>
        <i val="0"/>
        <strike val="0"/>
        <color rgb="FFFFFF00"/>
      </font>
      <fill>
        <patternFill patternType="solid">
          <bgColor rgb="FFFF0000"/>
        </patternFill>
      </fill>
    </dxf>
    <dxf>
      <fill>
        <patternFill patternType="lightTrellis"/>
      </fill>
    </dxf>
    <dxf>
      <font>
        <b/>
        <i val="0"/>
        <strike val="0"/>
        <color rgb="FFFFFF00"/>
      </font>
      <fill>
        <patternFill patternType="solid">
          <bgColor rgb="FFFF0000"/>
        </patternFill>
      </fill>
    </dxf>
    <dxf>
      <font>
        <strike val="0"/>
      </font>
      <fill>
        <patternFill patternType="lightTrellis"/>
      </fill>
    </dxf>
    <dxf>
      <font>
        <b/>
        <i val="0"/>
        <strike val="0"/>
        <color rgb="FFFFFF00"/>
      </font>
      <fill>
        <patternFill patternType="solid">
          <bgColor rgb="FFFF0000"/>
        </patternFill>
      </fill>
    </dxf>
    <dxf>
      <fill>
        <patternFill patternType="lightTrellis"/>
      </fill>
    </dxf>
    <dxf>
      <font>
        <b/>
        <i val="0"/>
        <strike val="0"/>
        <color rgb="FFFFFF00"/>
      </font>
      <fill>
        <patternFill patternType="solid">
          <bgColor rgb="FFFF0000"/>
        </patternFill>
      </fill>
    </dxf>
    <dxf>
      <fill>
        <patternFill patternType="lightTrellis"/>
      </fill>
    </dxf>
    <dxf>
      <font>
        <b/>
        <i val="0"/>
        <strike val="0"/>
        <color rgb="FFFFFF00"/>
      </font>
      <fill>
        <patternFill patternType="solid">
          <bgColor rgb="FFFF0000"/>
        </patternFill>
      </fill>
    </dxf>
    <dxf>
      <font>
        <b val="0"/>
        <i val="0"/>
        <strike val="0"/>
        <color auto="1"/>
      </font>
      <fill>
        <patternFill patternType="lightTrellis">
          <bgColor theme="4" tint="0.79998168889431442"/>
        </patternFill>
      </fill>
    </dxf>
    <dxf>
      <font>
        <b/>
        <i val="0"/>
        <strike val="0"/>
        <color rgb="FFFFFF00"/>
      </font>
      <fill>
        <patternFill patternType="solid">
          <bgColor rgb="FFFF0000"/>
        </patternFill>
      </fill>
    </dxf>
    <dxf>
      <fill>
        <patternFill patternType="lightTrellis">
          <fgColor theme="1"/>
        </patternFill>
      </fill>
    </dxf>
    <dxf>
      <font>
        <b/>
        <i val="0"/>
        <strike val="0"/>
        <color rgb="FFFFFF00"/>
      </font>
      <fill>
        <patternFill patternType="solid">
          <bgColor rgb="FFFF0000"/>
        </patternFill>
      </fill>
    </dxf>
    <dxf>
      <fill>
        <patternFill patternType="lightTrellis">
          <fgColor theme="1"/>
        </patternFill>
      </fill>
    </dxf>
    <dxf>
      <font>
        <b/>
        <i val="0"/>
        <strike val="0"/>
        <color rgb="FFFFFF00"/>
      </font>
      <fill>
        <patternFill patternType="solid">
          <bgColor rgb="FFFF0000"/>
        </patternFill>
      </fill>
    </dxf>
    <dxf>
      <fill>
        <patternFill>
          <bgColor rgb="FFFFFF00"/>
        </patternFill>
      </fill>
      <border>
        <left style="thin">
          <color theme="4"/>
        </left>
        <right style="thin">
          <color theme="4"/>
        </right>
        <bottom style="thin">
          <color theme="4"/>
        </bottom>
        <vertical/>
        <horizontal/>
      </border>
    </dxf>
    <dxf>
      <font>
        <strike val="0"/>
        <color theme="1"/>
      </font>
      <fill>
        <patternFill>
          <bgColor theme="6"/>
        </patternFill>
      </fill>
      <border>
        <top style="thin">
          <color auto="1"/>
        </top>
      </border>
    </dxf>
    <dxf>
      <font>
        <strike val="0"/>
        <color theme="1"/>
      </font>
      <fill>
        <patternFill>
          <bgColor theme="6"/>
        </patternFill>
      </fill>
      <border>
        <bottom style="thin">
          <color auto="1"/>
        </bottom>
      </border>
    </dxf>
    <dxf>
      <font>
        <strike val="0"/>
        <color theme="1"/>
      </font>
      <fill>
        <patternFill>
          <bgColor rgb="FFFFFF00"/>
        </patternFill>
      </fill>
      <border>
        <left style="thin">
          <color theme="4"/>
        </left>
        <right style="thin">
          <color theme="4"/>
        </right>
        <top style="thin">
          <color theme="4"/>
        </top>
        <vertical/>
        <horizontal/>
      </border>
    </dxf>
    <dxf>
      <font>
        <strike val="0"/>
        <color theme="1"/>
      </font>
      <fill>
        <patternFill>
          <bgColor theme="6"/>
        </patternFill>
      </fill>
    </dxf>
    <dxf>
      <fill>
        <patternFill patternType="darkDown">
          <fgColor rgb="FFFFFF00"/>
        </patternFill>
      </fill>
      <border>
        <left style="thin">
          <color rgb="FFFFC000"/>
        </left>
        <right style="thin">
          <color rgb="FFFFC000"/>
        </right>
        <vertical/>
        <horizontal/>
      </border>
    </dxf>
    <dxf>
      <font>
        <b/>
        <i val="0"/>
        <color rgb="FFFFFF00"/>
      </font>
      <fill>
        <patternFill>
          <bgColor rgb="FFFF0000"/>
        </patternFill>
      </fill>
    </dxf>
    <dxf>
      <font>
        <b val="0"/>
        <i val="0"/>
        <strike val="0"/>
        <color theme="1"/>
      </font>
      <fill>
        <patternFill>
          <bgColor theme="6"/>
        </patternFill>
      </fill>
    </dxf>
    <dxf>
      <font>
        <strike val="0"/>
        <color theme="1"/>
      </font>
      <fill>
        <patternFill>
          <bgColor theme="6"/>
        </patternFill>
      </fill>
    </dxf>
    <dxf>
      <fill>
        <patternFill>
          <bgColor rgb="FFFFFF99"/>
        </patternFill>
      </fill>
    </dxf>
    <dxf>
      <fill>
        <patternFill patternType="mediumGray">
          <fgColor theme="4" tint="0.79998168889431442"/>
          <bgColor theme="4" tint="0.79989013336588644"/>
        </patternFill>
      </fill>
    </dxf>
    <dxf>
      <font>
        <b/>
        <i val="0"/>
        <color rgb="FFFFFF00"/>
      </font>
      <fill>
        <patternFill>
          <bgColor rgb="FFFF0000"/>
        </patternFill>
      </fill>
      <border>
        <left style="thin">
          <color rgb="FF0070C0"/>
        </left>
        <right style="thin">
          <color rgb="FF0070C0"/>
        </right>
        <top style="thin">
          <color rgb="FF0070C0"/>
        </top>
        <bottom style="thin">
          <color rgb="FF0070C0"/>
        </bottom>
        <vertical/>
        <horizontal/>
      </border>
    </dxf>
    <dxf>
      <fill>
        <patternFill>
          <bgColor rgb="FFFFFF00"/>
        </patternFill>
      </fill>
      <border>
        <left style="thin">
          <color rgb="FF0070C0"/>
        </left>
        <right style="thin">
          <color rgb="FF0070C0"/>
        </right>
        <top style="thin">
          <color rgb="FF0070C0"/>
        </top>
        <bottom style="thin">
          <color rgb="FF0070C0"/>
        </bottom>
        <vertical/>
        <horizontal/>
      </border>
    </dxf>
    <dxf>
      <fill>
        <patternFill patternType="lightTrellis"/>
      </fill>
    </dxf>
    <dxf>
      <font>
        <b/>
        <i val="0"/>
        <color rgb="FFFFFF00"/>
      </font>
      <fill>
        <patternFill>
          <bgColor rgb="FFFF0000"/>
        </patternFill>
      </fill>
      <border>
        <left style="thin">
          <color rgb="FF0070C0"/>
        </left>
        <right style="thin">
          <color rgb="FF0070C0"/>
        </right>
        <top style="thin">
          <color rgb="FF0070C0"/>
        </top>
        <bottom style="thin">
          <color rgb="FF0070C0"/>
        </bottom>
        <vertical/>
        <horizontal/>
      </border>
    </dxf>
    <dxf>
      <fill>
        <patternFill>
          <bgColor rgb="FFFFFF00"/>
        </patternFill>
      </fill>
      <border>
        <left style="thin">
          <color rgb="FF0070C0"/>
        </left>
        <right style="thin">
          <color rgb="FF0070C0"/>
        </right>
        <top style="thin">
          <color rgb="FF0070C0"/>
        </top>
        <bottom style="thin">
          <color rgb="FF0070C0"/>
        </bottom>
        <vertical/>
        <horizontal/>
      </border>
    </dxf>
    <dxf>
      <font>
        <b/>
        <i val="0"/>
        <color rgb="FFFFFF00"/>
      </font>
      <fill>
        <patternFill>
          <bgColor rgb="FFFF0000"/>
        </patternFill>
      </fill>
      <border>
        <left style="thin">
          <color rgb="FF0070C0"/>
        </left>
        <right style="thin">
          <color rgb="FF0070C0"/>
        </right>
        <top style="thin">
          <color rgb="FF0070C0"/>
        </top>
        <bottom style="thin">
          <color rgb="FF0070C0"/>
        </bottom>
        <vertical/>
        <horizontal/>
      </border>
    </dxf>
    <dxf>
      <fill>
        <patternFill>
          <bgColor rgb="FFFFFF00"/>
        </patternFill>
      </fill>
      <border>
        <left style="thin">
          <color rgb="FF0070C0"/>
        </left>
        <right style="thin">
          <color rgb="FF0070C0"/>
        </right>
        <top style="thin">
          <color rgb="FF0070C0"/>
        </top>
        <bottom style="thin">
          <color rgb="FF0070C0"/>
        </bottom>
        <vertical/>
        <horizontal/>
      </border>
    </dxf>
    <dxf>
      <font>
        <b/>
        <i val="0"/>
        <color rgb="FFFFFF00"/>
      </font>
      <fill>
        <patternFill>
          <bgColor rgb="FFFF0000"/>
        </patternFill>
      </fill>
      <border>
        <left style="thin">
          <color rgb="FF0070C0"/>
        </left>
        <right style="thin">
          <color rgb="FF0070C0"/>
        </right>
        <top style="thin">
          <color rgb="FF0070C0"/>
        </top>
        <bottom style="thin">
          <color rgb="FF0070C0"/>
        </bottom>
        <vertical/>
        <horizontal/>
      </border>
    </dxf>
    <dxf>
      <fill>
        <patternFill>
          <bgColor rgb="FFFFFF00"/>
        </patternFill>
      </fill>
      <border>
        <left style="thin">
          <color rgb="FF0070C0"/>
        </left>
        <right style="thin">
          <color rgb="FF0070C0"/>
        </right>
        <top style="thin">
          <color rgb="FF0070C0"/>
        </top>
        <bottom style="thin">
          <color rgb="FF0070C0"/>
        </bottom>
        <vertical/>
        <horizontal/>
      </border>
    </dxf>
    <dxf>
      <font>
        <b/>
        <i val="0"/>
        <color rgb="FFFFFF00"/>
      </font>
      <fill>
        <patternFill>
          <bgColor rgb="FFFF0000"/>
        </patternFill>
      </fill>
      <border>
        <left style="thin">
          <color rgb="FF0070C0"/>
        </left>
        <right style="thin">
          <color rgb="FF0070C0"/>
        </right>
        <top style="thin">
          <color rgb="FF0070C0"/>
        </top>
        <bottom style="thin">
          <color rgb="FF0070C0"/>
        </bottom>
        <vertical/>
        <horizontal/>
      </border>
    </dxf>
    <dxf>
      <fill>
        <patternFill>
          <bgColor rgb="FFFFFF00"/>
        </patternFill>
      </fill>
      <border>
        <left style="thin">
          <color rgb="FF0070C0"/>
        </left>
        <right style="thin">
          <color rgb="FF0070C0"/>
        </right>
        <top style="thin">
          <color rgb="FF0070C0"/>
        </top>
        <bottom style="thin">
          <color rgb="FF0070C0"/>
        </bottom>
        <vertical/>
        <horizontal/>
      </border>
    </dxf>
    <dxf>
      <font>
        <b/>
        <i val="0"/>
        <color rgb="FFFFFF00"/>
      </font>
      <fill>
        <patternFill>
          <bgColor rgb="FFFF0000"/>
        </patternFill>
      </fill>
      <border>
        <left style="thin">
          <color rgb="FF0070C0"/>
        </left>
        <right style="thin">
          <color rgb="FF0070C0"/>
        </right>
        <top style="thin">
          <color rgb="FF0070C0"/>
        </top>
        <bottom style="thin">
          <color rgb="FF0070C0"/>
        </bottom>
        <vertical/>
        <horizontal/>
      </border>
    </dxf>
    <dxf>
      <fill>
        <patternFill>
          <bgColor rgb="FFFFFF00"/>
        </patternFill>
      </fill>
      <border>
        <left style="thin">
          <color rgb="FF0070C0"/>
        </left>
        <right style="thin">
          <color rgb="FF0070C0"/>
        </right>
        <top style="thin">
          <color rgb="FF0070C0"/>
        </top>
        <bottom style="thin">
          <color rgb="FF0070C0"/>
        </bottom>
        <vertical/>
        <horizontal/>
      </border>
    </dxf>
    <dxf>
      <fill>
        <patternFill>
          <bgColor rgb="FFFFFF00"/>
        </patternFill>
      </fill>
      <border>
        <left style="thin">
          <color rgb="FF0070C0"/>
        </left>
        <right style="thin">
          <color rgb="FF0070C0"/>
        </right>
        <top style="thin">
          <color rgb="FF0070C0"/>
        </top>
        <bottom style="thin">
          <color rgb="FF0070C0"/>
        </bottom>
        <vertical/>
        <horizontal/>
      </border>
    </dxf>
    <dxf>
      <font>
        <strike val="0"/>
        <color theme="1"/>
      </font>
      <fill>
        <patternFill>
          <bgColor theme="6"/>
        </patternFill>
      </fill>
    </dxf>
    <dxf>
      <fill>
        <patternFill>
          <bgColor rgb="FFFFFF00"/>
        </patternFill>
      </fill>
    </dxf>
    <dxf>
      <fill>
        <patternFill>
          <bgColor rgb="FFFFFF00"/>
        </patternFill>
      </fill>
    </dxf>
    <dxf>
      <font>
        <b/>
        <i val="0"/>
        <color rgb="FF00B050"/>
      </font>
      <fill>
        <patternFill>
          <bgColor theme="0"/>
        </patternFill>
      </fill>
      <border>
        <left style="thin">
          <color rgb="FF00B050"/>
        </left>
        <right style="thin">
          <color rgb="FF00B050"/>
        </right>
        <top style="thin">
          <color rgb="FF00B050"/>
        </top>
        <bottom style="thin">
          <color rgb="FF00B050"/>
        </bottom>
      </border>
    </dxf>
    <dxf>
      <fill>
        <patternFill>
          <bgColor theme="4" tint="0.79998168889431442"/>
        </patternFill>
      </fill>
      <border>
        <left style="thin">
          <color theme="4"/>
        </left>
        <right style="thin">
          <color theme="4"/>
        </right>
        <top style="thin">
          <color theme="4"/>
        </top>
        <bottom style="thin">
          <color theme="4"/>
        </bottom>
        <vertical/>
        <horizontal/>
      </border>
    </dxf>
    <dxf>
      <font>
        <b val="0"/>
        <i val="0"/>
        <color theme="1"/>
      </font>
      <fill>
        <patternFill patternType="solid">
          <bgColor theme="0"/>
        </patternFill>
      </fill>
      <border>
        <vertical/>
        <horizontal/>
      </border>
    </dxf>
    <dxf>
      <fill>
        <patternFill patternType="lightTrellis">
          <bgColor theme="4" tint="0.79998168889431442"/>
        </patternFill>
      </fill>
    </dxf>
    <dxf>
      <font>
        <strike val="0"/>
      </font>
      <fill>
        <patternFill>
          <bgColor rgb="FFFFFF00"/>
        </patternFill>
      </fill>
      <border>
        <left style="thin">
          <color rgb="FF0070C0"/>
        </left>
        <right style="thin">
          <color rgb="FF0070C0"/>
        </right>
        <top style="thin">
          <color rgb="FF0070C0"/>
        </top>
        <bottom style="thin">
          <color theme="1"/>
        </bottom>
        <vertical/>
        <horizontal/>
      </border>
    </dxf>
    <dxf>
      <font>
        <b/>
        <i val="0"/>
        <color rgb="FFFFFF00"/>
      </font>
      <fill>
        <patternFill>
          <bgColor rgb="FFFF0000"/>
        </patternFill>
      </fill>
      <border>
        <left style="thin">
          <color rgb="FF0070C0"/>
        </left>
        <right style="thin">
          <color rgb="FF0070C0"/>
        </right>
        <top style="thin">
          <color rgb="FF0070C0"/>
        </top>
        <bottom style="thin">
          <color rgb="FF0070C0"/>
        </bottom>
      </border>
    </dxf>
    <dxf>
      <font>
        <b/>
        <i val="0"/>
        <color rgb="FFFFFF00"/>
      </font>
      <fill>
        <patternFill>
          <bgColor rgb="FFFF0000"/>
        </patternFill>
      </fill>
      <border>
        <left style="thin">
          <color rgb="FF0070C0"/>
        </left>
        <right style="thin">
          <color rgb="FF0070C0"/>
        </right>
        <top style="thin">
          <color rgb="FF0070C0"/>
        </top>
        <bottom style="thin">
          <color rgb="FF0070C0"/>
        </bottom>
        <vertical/>
        <horizontal/>
      </border>
    </dxf>
    <dxf>
      <fill>
        <patternFill>
          <bgColor rgb="FFFFFF00"/>
        </patternFill>
      </fill>
      <border>
        <left style="thin">
          <color rgb="FF0070C0"/>
        </left>
        <right style="thin">
          <color rgb="FF0070C0"/>
        </right>
        <top style="thin">
          <color rgb="FF0070C0"/>
        </top>
        <bottom style="thin">
          <color rgb="FF0070C0"/>
        </bottom>
        <vertical/>
        <horizontal/>
      </border>
    </dxf>
    <dxf>
      <fill>
        <patternFill patternType="lightTrellis"/>
      </fill>
    </dxf>
    <dxf>
      <font>
        <b/>
        <i val="0"/>
        <color rgb="FFFFFF00"/>
      </font>
      <fill>
        <patternFill>
          <bgColor rgb="FFFF0000"/>
        </patternFill>
      </fill>
      <border>
        <left style="thin">
          <color rgb="FF0070C0"/>
        </left>
        <right style="thin">
          <color rgb="FF0070C0"/>
        </right>
        <top style="thin">
          <color rgb="FF0070C0"/>
        </top>
        <bottom style="thin">
          <color rgb="FF0070C0"/>
        </bottom>
      </border>
    </dxf>
    <dxf>
      <font>
        <b/>
        <i val="0"/>
        <color rgb="FFFFFF00"/>
      </font>
      <fill>
        <patternFill>
          <bgColor rgb="FFFF0000"/>
        </patternFill>
      </fill>
    </dxf>
    <dxf>
      <font>
        <b/>
        <i val="0"/>
        <color rgb="FFFFFF00"/>
      </font>
      <fill>
        <patternFill>
          <bgColor rgb="FFFF0000"/>
        </patternFill>
      </fill>
      <border>
        <left style="thin">
          <color rgb="FF0070C0"/>
        </left>
        <right style="thin">
          <color rgb="FF0070C0"/>
        </right>
        <top style="thin">
          <color rgb="FF0070C0"/>
        </top>
        <bottom style="thin">
          <color rgb="FF0070C0"/>
        </bottom>
        <vertical/>
        <horizontal/>
      </border>
    </dxf>
    <dxf>
      <fill>
        <patternFill>
          <bgColor rgb="FFFF0000"/>
        </patternFill>
      </fill>
    </dxf>
    <dxf>
      <font>
        <strike val="0"/>
        <color theme="1"/>
      </font>
      <fill>
        <patternFill patternType="solid">
          <bgColor theme="6"/>
        </patternFill>
      </fill>
    </dxf>
    <dxf>
      <font>
        <strike val="0"/>
        <color theme="1"/>
      </font>
      <fill>
        <patternFill patternType="solid">
          <bgColor theme="6"/>
        </patternFill>
      </fill>
    </dxf>
    <dxf>
      <font>
        <strike val="0"/>
        <color theme="1"/>
      </font>
      <fill>
        <patternFill patternType="solid">
          <bgColor theme="6"/>
        </patternFill>
      </fill>
    </dxf>
    <dxf>
      <font>
        <strike val="0"/>
        <color theme="1"/>
      </font>
      <fill>
        <patternFill patternType="solid">
          <bgColor theme="6"/>
        </patternFill>
      </fill>
    </dxf>
    <dxf>
      <font>
        <strike val="0"/>
        <color theme="1"/>
      </font>
      <fill>
        <patternFill patternType="solid">
          <bgColor theme="6"/>
        </patternFill>
      </fill>
    </dxf>
    <dxf>
      <font>
        <strike val="0"/>
        <color theme="1"/>
      </font>
      <fill>
        <patternFill patternType="solid">
          <bgColor theme="6"/>
        </patternFill>
      </fill>
    </dxf>
    <dxf>
      <font>
        <strike val="0"/>
        <color theme="1"/>
      </font>
      <fill>
        <patternFill patternType="solid">
          <bgColor theme="6"/>
        </patternFill>
      </fill>
    </dxf>
    <dxf>
      <font>
        <strike val="0"/>
        <color theme="1"/>
      </font>
      <fill>
        <patternFill patternType="solid">
          <bgColor theme="6"/>
        </patternFill>
      </fill>
    </dxf>
    <dxf>
      <fill>
        <patternFill>
          <bgColor theme="0"/>
        </patternFill>
      </fill>
    </dxf>
    <dxf>
      <fill>
        <patternFill patternType="lightTrellis">
          <fgColor theme="1"/>
          <bgColor auto="1"/>
        </patternFill>
      </fill>
    </dxf>
    <dxf>
      <font>
        <b/>
        <i val="0"/>
        <strike val="0"/>
        <color rgb="FFFFFF00"/>
      </font>
      <fill>
        <patternFill patternType="solid">
          <bgColor rgb="FFFF0000"/>
        </patternFill>
      </fill>
    </dxf>
    <dxf>
      <fill>
        <patternFill patternType="lightTrellis">
          <fgColor theme="1"/>
          <bgColor auto="1"/>
        </patternFill>
      </fill>
    </dxf>
    <dxf>
      <font>
        <b/>
        <i val="0"/>
        <strike val="0"/>
        <color rgb="FFFFFF00"/>
      </font>
      <fill>
        <patternFill patternType="solid">
          <bgColor rgb="FFFF0000"/>
        </patternFill>
      </fill>
    </dxf>
    <dxf>
      <fill>
        <patternFill patternType="lightTrellis">
          <fgColor auto="1"/>
          <bgColor auto="1"/>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ill>
        <patternFill patternType="lightTrellis">
          <fgColor theme="1"/>
          <bgColor auto="1"/>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ill>
        <patternFill patternType="lightTrellis"/>
      </fill>
    </dxf>
    <dxf>
      <fill>
        <patternFill>
          <bgColor rgb="FFFFFF00"/>
        </patternFill>
      </fill>
    </dxf>
    <dxf>
      <fill>
        <patternFill>
          <bgColor rgb="FFFF0000"/>
        </patternFill>
      </fill>
    </dxf>
    <dxf>
      <font>
        <b/>
        <i val="0"/>
        <strike val="0"/>
        <color rgb="FFFFFF00"/>
      </font>
      <fill>
        <patternFill patternType="solid">
          <bgColor rgb="FFFF0000"/>
        </patternFill>
      </fill>
    </dxf>
    <dxf>
      <fill>
        <patternFill>
          <bgColor rgb="FFFFFF00"/>
        </patternFill>
      </fill>
    </dxf>
    <dxf>
      <fill>
        <patternFill>
          <bgColor rgb="FFFF0000"/>
        </patternFill>
      </fill>
    </dxf>
    <dxf>
      <font>
        <b/>
        <i val="0"/>
        <strike val="0"/>
        <color rgb="FFFFFF00"/>
      </font>
      <fill>
        <patternFill patternType="solid">
          <bgColor rgb="FFFF0000"/>
        </patternFill>
      </fill>
    </dxf>
    <dxf>
      <fill>
        <patternFill patternType="lightTrellis">
          <fgColor theme="1"/>
        </patternFill>
      </fill>
    </dxf>
    <dxf>
      <font>
        <b/>
        <i val="0"/>
        <strike val="0"/>
        <color rgb="FFFFFF00"/>
      </font>
      <fill>
        <patternFill patternType="solid">
          <fgColor auto="1"/>
          <bgColor rgb="FFFF0000"/>
        </patternFill>
      </fill>
    </dxf>
    <dxf>
      <fill>
        <patternFill patternType="lightTrellis">
          <fgColor theme="1"/>
          <bgColor auto="1"/>
        </patternFill>
      </fill>
    </dxf>
    <dxf>
      <fill>
        <patternFill patternType="solid">
          <bgColor theme="4" tint="0.79998168889431442"/>
        </patternFill>
      </fill>
    </dxf>
    <dxf>
      <fill>
        <patternFill patternType="lightTrellis">
          <fgColor theme="1"/>
        </patternFill>
      </fill>
    </dxf>
    <dxf>
      <font>
        <strike val="0"/>
        <color theme="1"/>
      </font>
      <fill>
        <patternFill patternType="solid">
          <bgColor theme="6"/>
        </patternFill>
      </fill>
    </dxf>
    <dxf>
      <font>
        <strike val="0"/>
        <color theme="1"/>
      </font>
      <fill>
        <patternFill patternType="solid">
          <bgColor theme="6"/>
        </patternFill>
      </fill>
    </dxf>
    <dxf>
      <font>
        <b/>
        <i val="0"/>
        <strike val="0"/>
        <color rgb="FFFFFF00"/>
      </font>
      <fill>
        <patternFill patternType="solid">
          <bgColor rgb="FFFF0000"/>
        </patternFill>
      </fill>
    </dxf>
    <dxf>
      <fill>
        <patternFill patternType="lightTrellis">
          <fgColor auto="1"/>
        </patternFill>
      </fill>
    </dxf>
    <dxf>
      <font>
        <b/>
        <i val="0"/>
        <strike val="0"/>
        <color rgb="FFFFFF00"/>
      </font>
      <fill>
        <patternFill patternType="solid">
          <bgColor rgb="FFFF0000"/>
        </patternFill>
      </fill>
    </dxf>
    <dxf>
      <font>
        <strike val="0"/>
        <color theme="1"/>
      </font>
      <fill>
        <patternFill patternType="solid">
          <bgColor theme="6"/>
        </patternFill>
      </fill>
    </dxf>
    <dxf>
      <font>
        <strike val="0"/>
        <color theme="1"/>
      </font>
      <fill>
        <patternFill patternType="solid">
          <bgColor theme="6"/>
        </patternFill>
      </fill>
    </dxf>
    <dxf>
      <font>
        <strike val="0"/>
        <color theme="1"/>
      </font>
      <fill>
        <patternFill patternType="solid">
          <bgColor theme="6"/>
        </patternFill>
      </fill>
    </dxf>
    <dxf>
      <font>
        <strike val="0"/>
        <color theme="1"/>
      </font>
      <fill>
        <patternFill patternType="solid">
          <bgColor theme="6"/>
        </patternFill>
      </fill>
    </dxf>
    <dxf>
      <font>
        <strike val="0"/>
        <color theme="1"/>
      </font>
      <fill>
        <patternFill patternType="solid">
          <bgColor theme="6"/>
        </patternFill>
      </fill>
    </dxf>
    <dxf>
      <font>
        <strike val="0"/>
        <color theme="1"/>
      </font>
      <fill>
        <patternFill patternType="solid">
          <bgColor theme="6"/>
        </patternFill>
      </fill>
    </dxf>
    <dxf>
      <font>
        <strike val="0"/>
        <color theme="1"/>
      </font>
      <fill>
        <patternFill patternType="solid">
          <bgColor theme="6"/>
        </patternFill>
      </fill>
    </dxf>
    <dxf>
      <font>
        <strike val="0"/>
        <color theme="1"/>
      </font>
      <fill>
        <patternFill patternType="solid">
          <bgColor theme="6"/>
        </patternFill>
      </fill>
    </dxf>
    <dxf>
      <font>
        <color theme="1"/>
      </font>
      <fill>
        <patternFill patternType="solid">
          <bgColor theme="6"/>
        </patternFill>
      </fill>
    </dxf>
    <dxf>
      <font>
        <strike val="0"/>
        <color theme="1"/>
      </font>
      <fill>
        <patternFill patternType="solid">
          <bgColor theme="6"/>
        </patternFill>
      </fill>
    </dxf>
    <dxf>
      <font>
        <color theme="1"/>
      </font>
      <fill>
        <patternFill patternType="solid">
          <bgColor theme="6"/>
        </patternFill>
      </fill>
    </dxf>
    <dxf>
      <font>
        <color theme="1"/>
      </font>
      <fill>
        <patternFill patternType="solid">
          <bgColor theme="6"/>
        </patternFill>
      </fill>
    </dxf>
    <dxf>
      <font>
        <color theme="1"/>
      </font>
      <fill>
        <patternFill patternType="solid">
          <bgColor theme="6"/>
        </patternFill>
      </fill>
      <border>
        <bottom style="thin">
          <color theme="0" tint="-0.499984740745262"/>
        </bottom>
      </border>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lightTrellis"/>
      </fill>
    </dxf>
    <dxf>
      <font>
        <b/>
        <i val="0"/>
        <strike val="0"/>
        <color rgb="FFFFFF00"/>
      </font>
      <fill>
        <patternFill patternType="solid">
          <bgColor rgb="FFFF0000"/>
        </patternFill>
      </fill>
    </dxf>
    <dxf>
      <fill>
        <patternFill patternType="lightTrellis"/>
      </fill>
    </dxf>
    <dxf>
      <fill>
        <patternFill>
          <bgColor rgb="FFFF0000"/>
        </patternFill>
      </fill>
    </dxf>
    <dxf>
      <fill>
        <patternFill patternType="lightTrellis"/>
      </fill>
    </dxf>
    <dxf>
      <font>
        <b/>
        <i val="0"/>
        <strike val="0"/>
        <color rgb="FFFFFF00"/>
      </font>
      <fill>
        <patternFill patternType="solid">
          <bgColor rgb="FFFF0000"/>
        </patternFill>
      </fill>
    </dxf>
    <dxf>
      <fill>
        <patternFill patternType="lightTrellis"/>
      </fill>
    </dxf>
    <dxf>
      <font>
        <b/>
        <i val="0"/>
        <strike val="0"/>
        <color rgb="FFFFFF00"/>
      </font>
      <fill>
        <patternFill patternType="solid">
          <bgColor rgb="FFFF0000"/>
        </patternFill>
      </fill>
    </dxf>
    <dxf>
      <font>
        <strike val="0"/>
        <color theme="1"/>
      </font>
      <fill>
        <patternFill patternType="solid">
          <bgColor theme="6"/>
        </patternFill>
      </fill>
    </dxf>
    <dxf>
      <font>
        <color theme="1"/>
      </font>
      <fill>
        <patternFill patternType="solid">
          <bgColor theme="6"/>
        </patternFill>
      </fill>
    </dxf>
    <dxf>
      <font>
        <b/>
        <i val="0"/>
        <color rgb="FFFFFF00"/>
      </font>
      <fill>
        <patternFill patternType="solid">
          <bgColor rgb="FFFF0000"/>
        </patternFill>
      </fill>
    </dxf>
    <dxf>
      <fill>
        <patternFill patternType="lightTrellis"/>
      </fill>
    </dxf>
    <dxf>
      <font>
        <b/>
        <i val="0"/>
        <strike val="0"/>
        <color rgb="FFFFFF00"/>
      </font>
      <fill>
        <patternFill patternType="solid">
          <bgColor rgb="FFFF0000"/>
        </patternFill>
      </fill>
    </dxf>
    <dxf>
      <font>
        <b/>
        <i val="0"/>
        <color rgb="FFFFFF00"/>
      </font>
      <fill>
        <patternFill patternType="solid">
          <bgColor rgb="FFFF0000"/>
        </patternFill>
      </fill>
    </dxf>
    <dxf>
      <font>
        <b/>
        <i val="0"/>
        <strike val="0"/>
        <color rgb="FFFFFF00"/>
      </font>
      <fill>
        <patternFill patternType="solid">
          <bgColor rgb="FFFF0000"/>
        </patternFill>
      </fill>
    </dxf>
    <dxf>
      <fill>
        <patternFill patternType="lightTrellis"/>
      </fill>
    </dxf>
    <dxf>
      <font>
        <strike val="0"/>
        <color theme="1"/>
      </font>
      <fill>
        <patternFill patternType="solid">
          <bgColor theme="6"/>
        </patternFill>
      </fill>
    </dxf>
    <dxf>
      <font>
        <color theme="1"/>
      </font>
      <fill>
        <patternFill>
          <bgColor theme="6"/>
        </patternFill>
      </fill>
    </dxf>
    <dxf>
      <fill>
        <patternFill patternType="lightTrellis"/>
      </fill>
    </dxf>
    <dxf>
      <fill>
        <patternFill patternType="lightTrellis">
          <fgColor auto="1"/>
        </patternFill>
      </fill>
    </dxf>
    <dxf>
      <font>
        <strike val="0"/>
        <color rgb="FFFFFF00"/>
      </font>
      <fill>
        <patternFill>
          <bgColor rgb="FFFF0000"/>
        </patternFill>
      </fill>
    </dxf>
    <dxf>
      <font>
        <strike val="0"/>
      </font>
      <fill>
        <patternFill patternType="lightTrellis">
          <fgColor auto="1"/>
        </patternFill>
      </fill>
    </dxf>
    <dxf>
      <fill>
        <patternFill>
          <bgColor rgb="FFFFFF00"/>
        </patternFill>
      </fill>
    </dxf>
    <dxf>
      <font>
        <b/>
        <i val="0"/>
        <color rgb="FFFFFF00"/>
      </font>
      <fill>
        <patternFill>
          <bgColor rgb="FFFF0000"/>
        </patternFill>
      </fill>
      <border>
        <left style="thin">
          <color rgb="FF0070C0"/>
        </left>
        <right style="thin">
          <color rgb="FF0070C0"/>
        </right>
        <top style="thin">
          <color rgb="FF0070C0"/>
        </top>
        <bottom style="thin">
          <color rgb="FF0070C0"/>
        </bottom>
        <vertical/>
        <horizontal/>
      </border>
    </dxf>
    <dxf>
      <font>
        <b val="0"/>
        <i val="0"/>
        <strike val="0"/>
        <color auto="1"/>
      </font>
      <fill>
        <patternFill patternType="lightTrellis"/>
      </fill>
    </dxf>
    <dxf>
      <font>
        <b/>
        <i val="0"/>
        <strike val="0"/>
        <color rgb="FFFFFF00"/>
      </font>
      <fill>
        <patternFill patternType="solid">
          <bgColor rgb="FFFF0000"/>
        </patternFill>
      </fill>
      <border>
        <left style="thin">
          <color theme="4"/>
        </left>
        <right style="thin">
          <color theme="4"/>
        </right>
        <top style="thin">
          <color theme="4"/>
        </top>
        <bottom style="thin">
          <color theme="4"/>
        </bottom>
        <vertical/>
        <horizontal/>
      </border>
    </dxf>
    <dxf>
      <font>
        <b val="0"/>
        <i val="0"/>
        <strike val="0"/>
        <color auto="1"/>
      </font>
      <fill>
        <patternFill patternType="lightTrellis"/>
      </fill>
    </dxf>
    <dxf>
      <font>
        <b/>
        <i val="0"/>
        <strike val="0"/>
        <color rgb="FFFFFF00"/>
      </font>
      <fill>
        <patternFill patternType="solid">
          <bgColor rgb="FFFF0000"/>
        </patternFill>
      </fill>
      <border>
        <left style="thin">
          <color theme="4"/>
        </left>
        <right style="thin">
          <color theme="4"/>
        </right>
        <top style="thin">
          <color theme="4"/>
        </top>
        <bottom style="thin">
          <color theme="4"/>
        </bottom>
        <vertical/>
        <horizontal/>
      </border>
    </dxf>
    <dxf>
      <font>
        <b val="0"/>
        <i val="0"/>
        <color theme="1"/>
      </font>
      <fill>
        <patternFill patternType="solid">
          <bgColor theme="0"/>
        </patternFill>
      </fill>
      <border>
        <vertical/>
        <horizontal/>
      </border>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patternType="lightTrellis">
          <bgColor theme="4" tint="0.79998168889431442"/>
        </patternFill>
      </fill>
    </dxf>
    <dxf>
      <fill>
        <patternFill>
          <bgColor rgb="FFFF0000"/>
        </patternFill>
      </fill>
    </dxf>
    <dxf>
      <fill>
        <patternFill>
          <bgColor rgb="FFFF0000"/>
        </patternFill>
      </fill>
    </dxf>
    <dxf>
      <fill>
        <patternFill patternType="lightTrellis">
          <bgColor theme="4" tint="0.79998168889431442"/>
        </patternFill>
      </fill>
    </dxf>
    <dxf>
      <font>
        <color rgb="FFFF0000"/>
      </font>
    </dxf>
    <dxf>
      <fill>
        <patternFill patternType="darkDown">
          <fgColor theme="0"/>
          <bgColor rgb="FFFFFF00"/>
        </patternFill>
      </fill>
    </dxf>
    <dxf>
      <fill>
        <patternFill>
          <bgColor rgb="FFFF0000"/>
        </patternFill>
      </fill>
    </dxf>
    <dxf>
      <fill>
        <patternFill patternType="darkDown">
          <fgColor theme="0"/>
          <bgColor rgb="FFFFFF00"/>
        </patternFill>
      </fill>
    </dxf>
    <dxf>
      <fill>
        <patternFill>
          <bgColor rgb="FFFF0000"/>
        </patternFill>
      </fill>
    </dxf>
    <dxf>
      <fill>
        <patternFill patternType="lightTrellis"/>
      </fill>
    </dxf>
    <dxf>
      <fill>
        <patternFill>
          <bgColor rgb="FFFF0000"/>
        </patternFill>
      </fill>
    </dxf>
    <dxf>
      <fill>
        <patternFill patternType="darkDown">
          <fgColor theme="0"/>
          <bgColor rgb="FFFFFF00"/>
        </patternFill>
      </fill>
    </dxf>
    <dxf>
      <fill>
        <patternFill patternType="lightTrellis"/>
      </fill>
    </dxf>
    <dxf>
      <fill>
        <patternFill patternType="lightTrellis"/>
      </fill>
    </dxf>
    <dxf>
      <fill>
        <patternFill>
          <bgColor rgb="FFFF0000"/>
        </patternFill>
      </fill>
    </dxf>
    <dxf>
      <fill>
        <patternFill>
          <bgColor rgb="FFFF0000"/>
        </patternFill>
      </fill>
    </dxf>
    <dxf>
      <fill>
        <patternFill patternType="lightTrellis"/>
      </fill>
    </dxf>
    <dxf>
      <fill>
        <patternFill patternType="lightTrellis"/>
      </fill>
    </dxf>
    <dxf>
      <fill>
        <patternFill>
          <bgColor rgb="FFFF0000"/>
        </patternFill>
      </fill>
    </dxf>
    <dxf>
      <fill>
        <patternFill patternType="lightTrellis"/>
      </fill>
    </dxf>
    <dxf>
      <font>
        <b/>
        <i val="0"/>
        <strike val="0"/>
        <color rgb="FFFFFF00"/>
      </font>
      <fill>
        <patternFill patternType="solid">
          <bgColor rgb="FFFF0000"/>
        </patternFill>
      </fill>
    </dxf>
    <dxf>
      <fill>
        <patternFill patternType="solid">
          <bgColor theme="1"/>
        </patternFill>
      </fill>
    </dxf>
    <dxf>
      <font>
        <b/>
        <i val="0"/>
        <strike val="0"/>
        <color rgb="FFFFFF00"/>
      </font>
      <fill>
        <patternFill patternType="solid">
          <bgColor rgb="FFFF0000"/>
        </patternFill>
      </fill>
    </dxf>
    <dxf>
      <fill>
        <patternFill patternType="lightTrellis"/>
      </fill>
    </dxf>
    <dxf>
      <fill>
        <patternFill patternType="lightTrellis"/>
      </fill>
    </dxf>
    <dxf>
      <font>
        <b/>
        <i val="0"/>
        <strike val="0"/>
        <color rgb="FFFFFF00"/>
      </font>
      <fill>
        <patternFill patternType="solid">
          <bgColor rgb="FFFF0000"/>
        </patternFill>
      </fill>
    </dxf>
    <dxf>
      <fill>
        <patternFill>
          <bgColor rgb="FFFFFF00"/>
        </patternFill>
      </fill>
    </dxf>
    <dxf>
      <font>
        <b/>
        <i val="0"/>
        <strike val="0"/>
        <color rgb="FFFFFF00"/>
      </font>
      <fill>
        <patternFill>
          <bgColor rgb="FFFF0000"/>
        </patternFill>
      </fill>
    </dxf>
    <dxf>
      <fill>
        <patternFill patternType="lightTrellis"/>
      </fill>
    </dxf>
    <dxf>
      <font>
        <b/>
        <i val="0"/>
        <strike val="0"/>
        <color rgb="FFFFFF00"/>
      </font>
      <fill>
        <patternFill patternType="solid">
          <bgColor rgb="FFFF0000"/>
        </patternFill>
      </fill>
    </dxf>
    <dxf>
      <fill>
        <patternFill patternType="lightTrellis"/>
      </fill>
    </dxf>
    <dxf>
      <fill>
        <patternFill>
          <bgColor rgb="FFFF0000"/>
        </patternFill>
      </fill>
    </dxf>
    <dxf>
      <font>
        <b/>
        <i val="0"/>
        <strike val="0"/>
        <color rgb="FFFFFF00"/>
      </font>
      <fill>
        <patternFill>
          <bgColor rgb="FFFF0000"/>
        </patternFill>
      </fill>
    </dxf>
    <dxf>
      <fill>
        <patternFill>
          <bgColor rgb="FFFFFF00"/>
        </patternFill>
      </fill>
    </dxf>
    <dxf>
      <fill>
        <patternFill patternType="lightTrellis">
          <fgColor theme="1"/>
          <bgColor theme="4" tint="0.79998168889431442"/>
        </patternFill>
      </fill>
    </dxf>
    <dxf>
      <font>
        <strike val="0"/>
      </font>
      <fill>
        <patternFill>
          <bgColor rgb="FFFFFF00"/>
        </patternFill>
      </fill>
    </dxf>
    <dxf>
      <fill>
        <patternFill patternType="darkDown">
          <fgColor rgb="FF92D050"/>
          <bgColor rgb="FFFFFF00"/>
        </patternFill>
      </fill>
    </dxf>
    <dxf>
      <font>
        <b val="0"/>
        <i val="0"/>
        <strike val="0"/>
        <color auto="1"/>
      </font>
      <fill>
        <patternFill patternType="lightTrellis">
          <fgColor theme="1"/>
          <bgColor theme="4" tint="0.79998168889431442"/>
        </patternFill>
      </fill>
    </dxf>
    <dxf>
      <fill>
        <patternFill patternType="darkDown">
          <fgColor rgb="FFFFFF00"/>
        </patternFill>
      </fill>
    </dxf>
    <dxf>
      <fill>
        <patternFill patternType="solid">
          <bgColor theme="6"/>
        </patternFill>
      </fill>
    </dxf>
    <dxf>
      <fill>
        <patternFill>
          <bgColor indexed="13"/>
        </patternFill>
      </fill>
    </dxf>
    <dxf>
      <fill>
        <patternFill patternType="lightTrellis"/>
      </fill>
    </dxf>
    <dxf>
      <font>
        <b/>
        <i val="0"/>
        <strike val="0"/>
        <color rgb="FFFFFF00"/>
      </font>
      <fill>
        <patternFill patternType="solid">
          <bgColor rgb="FFFF0000"/>
        </patternFill>
      </fill>
      <border>
        <left style="thin">
          <color theme="4"/>
        </left>
        <right style="thin">
          <color theme="4"/>
        </right>
        <top style="thin">
          <color theme="4"/>
        </top>
        <bottom style="thin">
          <color theme="4"/>
        </bottom>
        <vertical/>
        <horizontal/>
      </border>
    </dxf>
    <dxf>
      <fill>
        <patternFill patternType="lightTrellis"/>
      </fill>
    </dxf>
    <dxf>
      <font>
        <b/>
        <i val="0"/>
        <strike val="0"/>
        <color rgb="FFFFFF00"/>
      </font>
      <fill>
        <patternFill patternType="solid">
          <bgColor rgb="FFFF0000"/>
        </patternFill>
      </fill>
      <border>
        <left style="thin">
          <color auto="1"/>
        </left>
        <right style="thin">
          <color auto="1"/>
        </right>
        <top style="thin">
          <color auto="1"/>
        </top>
        <bottom style="thin">
          <color auto="1"/>
        </bottom>
        <vertical/>
        <horizontal/>
      </border>
    </dxf>
    <dxf>
      <fill>
        <patternFill patternType="lightTrellis"/>
      </fill>
    </dxf>
    <dxf>
      <font>
        <b/>
        <i val="0"/>
        <strike val="0"/>
        <color rgb="FFFFFF00"/>
      </font>
      <fill>
        <patternFill patternType="solid">
          <bgColor rgb="FFFF0000"/>
        </patternFill>
      </fill>
      <border>
        <left style="thin">
          <color theme="4"/>
        </left>
        <right style="thin">
          <color theme="4"/>
        </right>
        <top style="thin">
          <color theme="4"/>
        </top>
        <bottom style="thin">
          <color theme="4"/>
        </bottom>
        <vertical/>
        <horizontal/>
      </border>
    </dxf>
    <dxf>
      <fill>
        <patternFill patternType="lightTrellis"/>
      </fill>
    </dxf>
    <dxf>
      <font>
        <b/>
        <i val="0"/>
        <strike val="0"/>
        <color rgb="FFFFFF00"/>
      </font>
      <fill>
        <patternFill patternType="solid">
          <bgColor rgb="FFFF0000"/>
        </patternFill>
      </fill>
      <border>
        <left style="thin">
          <color theme="4"/>
        </left>
        <right style="thin">
          <color theme="4"/>
        </right>
        <top style="thin">
          <color theme="4"/>
        </top>
        <bottom style="thin">
          <color theme="4"/>
        </bottom>
        <vertical/>
        <horizontal/>
      </border>
    </dxf>
    <dxf>
      <fill>
        <patternFill patternType="lightTrellis"/>
      </fill>
    </dxf>
    <dxf>
      <font>
        <b/>
        <i val="0"/>
        <strike val="0"/>
        <color rgb="FFFFFF00"/>
      </font>
      <fill>
        <patternFill patternType="solid">
          <bgColor rgb="FFFF0000"/>
        </patternFill>
      </fill>
      <border>
        <left style="thin">
          <color theme="4"/>
        </left>
        <right style="thin">
          <color theme="4"/>
        </right>
        <top style="thin">
          <color theme="4"/>
        </top>
        <bottom style="thin">
          <color theme="4"/>
        </bottom>
        <vertical/>
        <horizontal/>
      </border>
    </dxf>
    <dxf>
      <fill>
        <patternFill patternType="lightTrellis"/>
      </fill>
    </dxf>
    <dxf>
      <font>
        <b/>
        <i val="0"/>
        <strike val="0"/>
        <color rgb="FFFFFF00"/>
      </font>
      <fill>
        <patternFill patternType="solid">
          <bgColor rgb="FFFF0000"/>
        </patternFill>
      </fill>
      <border>
        <left style="thin">
          <color theme="4"/>
        </left>
        <right style="thin">
          <color theme="4"/>
        </right>
        <top style="thin">
          <color theme="4"/>
        </top>
        <bottom style="thin">
          <color theme="4"/>
        </bottom>
        <vertical/>
        <horizontal/>
      </border>
    </dxf>
    <dxf>
      <fill>
        <patternFill patternType="lightTrellis"/>
      </fill>
    </dxf>
    <dxf>
      <font>
        <b/>
        <i val="0"/>
        <strike val="0"/>
        <color rgb="FFFFFF00"/>
      </font>
      <fill>
        <patternFill patternType="solid">
          <bgColor rgb="FFFF0000"/>
        </patternFill>
      </fill>
      <border>
        <left style="thin">
          <color theme="4"/>
        </left>
        <right style="thin">
          <color theme="4"/>
        </right>
        <top style="thin">
          <color theme="4"/>
        </top>
        <bottom style="thin">
          <color theme="4"/>
        </bottom>
        <vertical/>
        <horizontal/>
      </border>
    </dxf>
    <dxf>
      <fill>
        <patternFill patternType="lightTrellis"/>
      </fill>
    </dxf>
    <dxf>
      <font>
        <b/>
        <i val="0"/>
        <strike val="0"/>
        <color rgb="FFFFFF00"/>
      </font>
      <fill>
        <patternFill patternType="solid">
          <bgColor rgb="FFFF0000"/>
        </patternFill>
      </fill>
      <border>
        <left style="thin">
          <color theme="4"/>
        </left>
        <right style="thin">
          <color theme="4"/>
        </right>
        <top style="thin">
          <color theme="4"/>
        </top>
        <bottom style="thin">
          <color theme="4"/>
        </bottom>
        <vertical/>
        <horizontal/>
      </border>
    </dxf>
    <dxf>
      <fill>
        <patternFill patternType="lightTrellis"/>
      </fill>
    </dxf>
    <dxf>
      <font>
        <b/>
        <i val="0"/>
        <strike val="0"/>
        <color rgb="FFFFFF00"/>
      </font>
      <fill>
        <patternFill patternType="solid">
          <bgColor rgb="FFFF0000"/>
        </patternFill>
      </fill>
      <border>
        <left style="thin">
          <color theme="4"/>
        </left>
        <right style="thin">
          <color theme="4"/>
        </right>
        <top style="thin">
          <color theme="4"/>
        </top>
        <bottom style="thin">
          <color theme="4"/>
        </bottom>
        <vertical/>
        <horizontal/>
      </border>
    </dxf>
    <dxf>
      <fill>
        <patternFill patternType="lightTrellis"/>
      </fill>
    </dxf>
    <dxf>
      <font>
        <b/>
        <i val="0"/>
        <strike val="0"/>
        <color rgb="FFFFFF00"/>
      </font>
      <fill>
        <patternFill patternType="solid">
          <bgColor rgb="FFFF0000"/>
        </patternFill>
      </fill>
      <border>
        <left style="thin">
          <color theme="4"/>
        </left>
        <right style="thin">
          <color theme="4"/>
        </right>
        <top style="thin">
          <color theme="4"/>
        </top>
        <bottom style="thin">
          <color theme="4"/>
        </bottom>
        <vertical/>
        <horizontal/>
      </border>
    </dxf>
    <dxf>
      <fill>
        <patternFill patternType="lightTrellis"/>
      </fill>
    </dxf>
    <dxf>
      <font>
        <b/>
        <i val="0"/>
        <strike val="0"/>
        <color rgb="FFFFFF00"/>
      </font>
      <fill>
        <patternFill patternType="solid">
          <bgColor rgb="FFFF0000"/>
        </patternFill>
      </fill>
      <border>
        <left style="thin">
          <color theme="4"/>
        </left>
        <right style="thin">
          <color theme="4"/>
        </right>
        <top style="thin">
          <color theme="4"/>
        </top>
        <bottom style="thin">
          <color theme="4"/>
        </bottom>
        <vertical/>
        <horizontal/>
      </border>
    </dxf>
    <dxf>
      <fill>
        <patternFill patternType="lightTrellis"/>
      </fill>
    </dxf>
    <dxf>
      <font>
        <b/>
        <i val="0"/>
        <strike val="0"/>
        <color rgb="FFFFFF00"/>
      </font>
      <fill>
        <patternFill patternType="solid">
          <bgColor rgb="FFFF0000"/>
        </patternFill>
      </fill>
      <border>
        <left style="thin">
          <color theme="4"/>
        </left>
        <right style="thin">
          <color theme="4"/>
        </right>
        <top style="thin">
          <color theme="4"/>
        </top>
        <bottom style="thin">
          <color theme="4"/>
        </bottom>
        <vertical/>
        <horizontal/>
      </border>
    </dxf>
    <dxf>
      <fill>
        <patternFill patternType="lightTrellis"/>
      </fill>
    </dxf>
    <dxf>
      <font>
        <b/>
        <i val="0"/>
        <strike val="0"/>
        <color rgb="FFFFFF00"/>
      </font>
      <fill>
        <patternFill patternType="solid">
          <bgColor rgb="FFFF0000"/>
        </patternFill>
      </fill>
      <border>
        <left style="thin">
          <color theme="4"/>
        </left>
        <right style="thin">
          <color theme="4"/>
        </right>
        <top style="thin">
          <color theme="4"/>
        </top>
        <bottom style="thin">
          <color theme="4"/>
        </bottom>
        <vertical/>
        <horizontal/>
      </border>
    </dxf>
    <dxf>
      <fill>
        <patternFill patternType="lightTrellis"/>
      </fill>
    </dxf>
    <dxf>
      <font>
        <b/>
        <i val="0"/>
        <strike val="0"/>
        <color rgb="FFFFFF00"/>
      </font>
      <fill>
        <patternFill patternType="solid">
          <bgColor rgb="FFFF0000"/>
        </patternFill>
      </fill>
      <border>
        <left style="thin">
          <color theme="4"/>
        </left>
        <right style="thin">
          <color theme="4"/>
        </right>
        <top style="thin">
          <color theme="4"/>
        </top>
        <bottom style="thin">
          <color theme="4"/>
        </bottom>
        <vertical/>
        <horizontal/>
      </border>
    </dxf>
    <dxf>
      <fill>
        <patternFill patternType="lightTrellis"/>
      </fill>
    </dxf>
    <dxf>
      <font>
        <b/>
        <i val="0"/>
        <strike val="0"/>
        <color rgb="FFFFFF00"/>
      </font>
      <fill>
        <patternFill patternType="solid">
          <bgColor rgb="FFFF0000"/>
        </patternFill>
      </fill>
      <border>
        <left style="thin">
          <color theme="4"/>
        </left>
        <right style="thin">
          <color theme="4"/>
        </right>
        <top style="thin">
          <color theme="4"/>
        </top>
        <bottom style="thin">
          <color theme="4"/>
        </bottom>
        <vertical/>
        <horizontal/>
      </border>
    </dxf>
    <dxf>
      <font>
        <b/>
        <i val="0"/>
        <strike val="0"/>
        <color rgb="FFFFFF00"/>
      </font>
      <fill>
        <patternFill patternType="solid">
          <bgColor rgb="FFFF0000"/>
        </patternFill>
      </fill>
      <border>
        <left style="thin">
          <color theme="4"/>
        </left>
        <right style="thin">
          <color theme="4"/>
        </right>
        <top style="thin">
          <color theme="4"/>
        </top>
        <bottom style="thin">
          <color theme="4"/>
        </bottom>
        <vertical/>
        <horizontal/>
      </border>
    </dxf>
    <dxf>
      <fill>
        <patternFill patternType="lightTrellis"/>
      </fill>
    </dxf>
    <dxf>
      <font>
        <b/>
        <i val="0"/>
        <color rgb="FFFFFF00"/>
      </font>
      <fill>
        <patternFill>
          <bgColor rgb="FFFF0000"/>
        </patternFill>
      </fill>
    </dxf>
    <dxf>
      <font>
        <b/>
        <i val="0"/>
        <color rgb="FFFFFF00"/>
      </font>
      <fill>
        <patternFill>
          <bgColor rgb="FFFF0000"/>
        </patternFill>
      </fill>
    </dxf>
    <dxf>
      <fill>
        <patternFill>
          <bgColor indexed="34"/>
        </patternFill>
      </fill>
    </dxf>
    <dxf>
      <fill>
        <patternFill>
          <bgColor indexed="34"/>
        </patternFill>
      </fill>
    </dxf>
    <dxf>
      <fill>
        <patternFill patternType="lightTrellis"/>
      </fill>
    </dxf>
    <dxf>
      <font>
        <b/>
        <i val="0"/>
        <strike val="0"/>
        <color rgb="FFFFFF00"/>
      </font>
      <fill>
        <patternFill patternType="solid">
          <bgColor rgb="FFFF0000"/>
        </patternFill>
      </fill>
      <border>
        <left style="thin">
          <color theme="4"/>
        </left>
        <right style="thin">
          <color theme="4"/>
        </right>
        <top style="thin">
          <color theme="4"/>
        </top>
        <bottom style="thin">
          <color theme="4"/>
        </bottom>
        <vertical/>
        <horizontal/>
      </border>
    </dxf>
    <dxf>
      <fill>
        <patternFill patternType="lightTrellis"/>
      </fill>
    </dxf>
    <dxf>
      <font>
        <b/>
        <i val="0"/>
        <strike val="0"/>
        <color rgb="FFFFFF00"/>
      </font>
      <fill>
        <patternFill patternType="solid">
          <bgColor rgb="FFFF0000"/>
        </patternFill>
      </fill>
      <border>
        <left style="thin">
          <color theme="4"/>
        </left>
        <right style="thin">
          <color theme="4"/>
        </right>
        <top style="thin">
          <color theme="4"/>
        </top>
        <bottom style="thin">
          <color theme="4"/>
        </bottom>
        <vertical/>
        <horizontal/>
      </border>
    </dxf>
    <dxf>
      <fill>
        <patternFill patternType="lightTrellis"/>
      </fill>
    </dxf>
    <dxf>
      <font>
        <b/>
        <i val="0"/>
        <strike val="0"/>
        <color rgb="FFFFFF00"/>
      </font>
      <fill>
        <patternFill patternType="solid">
          <bgColor rgb="FFFF0000"/>
        </patternFill>
      </fill>
      <border>
        <left style="thin">
          <color theme="4"/>
        </left>
        <right style="thin">
          <color theme="4"/>
        </right>
        <top style="thin">
          <color theme="4"/>
        </top>
        <bottom style="thin">
          <color theme="4"/>
        </bottom>
        <vertical/>
        <horizontal/>
      </border>
    </dxf>
    <dxf>
      <font>
        <b/>
        <i val="0"/>
        <strike val="0"/>
        <color rgb="FFFFFF00"/>
      </font>
      <fill>
        <patternFill>
          <bgColor rgb="FFFF0000"/>
        </patternFill>
      </fill>
    </dxf>
    <dxf>
      <fill>
        <patternFill patternType="lightTrellis"/>
      </fill>
    </dxf>
    <dxf>
      <font>
        <b/>
        <i val="0"/>
        <strike val="0"/>
        <color rgb="FFFFFF00"/>
      </font>
      <fill>
        <patternFill patternType="solid">
          <bgColor rgb="FFFF0000"/>
        </patternFill>
      </fill>
      <border>
        <left style="thin">
          <color theme="4"/>
        </left>
        <right style="thin">
          <color theme="4"/>
        </right>
        <top style="thin">
          <color theme="4"/>
        </top>
        <bottom style="thin">
          <color theme="4"/>
        </bottom>
        <vertical/>
        <horizontal/>
      </border>
    </dxf>
    <dxf>
      <font>
        <b/>
        <i val="0"/>
        <strike val="0"/>
        <color rgb="FFFFFF00"/>
      </font>
      <fill>
        <patternFill patternType="solid">
          <bgColor rgb="FFFF0000"/>
        </patternFill>
      </fill>
    </dxf>
    <dxf>
      <fill>
        <patternFill patternType="lightTrellis"/>
      </fill>
    </dxf>
    <dxf>
      <font>
        <b/>
        <i val="0"/>
        <strike val="0"/>
        <color rgb="FFFFFF00"/>
      </font>
      <fill>
        <patternFill patternType="solid">
          <bgColor rgb="FFFF0000"/>
        </patternFill>
      </fill>
      <border>
        <left style="thin">
          <color theme="4"/>
        </left>
        <right style="thin">
          <color theme="4"/>
        </right>
        <top style="thin">
          <color theme="4"/>
        </top>
        <bottom style="thin">
          <color theme="4"/>
        </bottom>
        <vertical/>
        <horizontal/>
      </border>
    </dxf>
    <dxf>
      <font>
        <b/>
        <i val="0"/>
        <strike val="0"/>
        <color rgb="FFFFFF00"/>
      </font>
      <fill>
        <patternFill>
          <bgColor rgb="FFFF0000"/>
        </patternFill>
      </fill>
    </dxf>
    <dxf>
      <fill>
        <patternFill patternType="lightTrellis"/>
      </fill>
    </dxf>
    <dxf>
      <font>
        <strike val="0"/>
        <color rgb="FFFFFF00"/>
      </font>
      <fill>
        <patternFill patternType="solid">
          <bgColor rgb="FFFF0000"/>
        </patternFill>
      </fill>
      <border>
        <left style="thin">
          <color theme="4"/>
        </left>
        <right style="thin">
          <color theme="4"/>
        </right>
        <top style="thin">
          <color theme="4"/>
        </top>
        <bottom style="thin">
          <color theme="4"/>
        </bottom>
        <vertical/>
        <horizontal/>
      </border>
    </dxf>
    <dxf>
      <font>
        <b/>
        <i val="0"/>
        <strike val="0"/>
        <color rgb="FFFFFF00"/>
      </font>
      <fill>
        <patternFill patternType="solid">
          <bgColor rgb="FFFF0000"/>
        </patternFill>
      </fill>
    </dxf>
    <dxf>
      <fill>
        <patternFill>
          <bgColor rgb="FFFF0000"/>
        </patternFill>
      </fill>
    </dxf>
    <dxf>
      <fill>
        <patternFill patternType="lightTrellis"/>
      </fill>
    </dxf>
    <dxf>
      <font>
        <b/>
        <i val="0"/>
        <strike val="0"/>
        <color rgb="FFFFFF00"/>
      </font>
      <fill>
        <patternFill patternType="solid">
          <bgColor rgb="FFFF0000"/>
        </patternFill>
      </fill>
      <border>
        <vertical/>
        <horizontal/>
      </border>
    </dxf>
    <dxf>
      <font>
        <b/>
        <i val="0"/>
        <strike val="0"/>
        <color rgb="FFFFFF00"/>
      </font>
      <fill>
        <patternFill patternType="solid">
          <bgColor rgb="FFFF0000"/>
        </patternFill>
      </fill>
    </dxf>
    <dxf>
      <fill>
        <patternFill patternType="lightTrellis"/>
      </fill>
    </dxf>
    <dxf>
      <font>
        <b/>
        <i val="0"/>
        <strike val="0"/>
        <color rgb="FFFFFF00"/>
      </font>
      <fill>
        <patternFill patternType="solid">
          <bgColor rgb="FFFF0000"/>
        </patternFill>
      </fill>
      <border>
        <left style="thin">
          <color theme="4"/>
        </left>
        <right style="thin">
          <color theme="4"/>
        </right>
        <top style="thin">
          <color theme="4"/>
        </top>
        <bottom style="thin">
          <color theme="4"/>
        </bottom>
        <vertical/>
        <horizontal/>
      </border>
    </dxf>
    <dxf>
      <font>
        <b/>
        <i val="0"/>
        <strike val="0"/>
        <color rgb="FFFFFF00"/>
      </font>
      <fill>
        <patternFill patternType="solid">
          <bgColor rgb="FFFF0000"/>
        </patternFill>
      </fill>
    </dxf>
    <dxf>
      <fill>
        <patternFill patternType="lightTrellis"/>
      </fill>
    </dxf>
    <dxf>
      <font>
        <b/>
        <i val="0"/>
        <strike val="0"/>
        <color rgb="FFFFFF00"/>
      </font>
      <fill>
        <patternFill patternType="solid">
          <bgColor rgb="FFFF0000"/>
        </patternFill>
      </fill>
      <border>
        <left style="thin">
          <color theme="4"/>
        </left>
        <right style="thin">
          <color theme="4"/>
        </right>
        <top style="thin">
          <color theme="4"/>
        </top>
        <bottom style="thin">
          <color theme="4"/>
        </bottom>
        <vertical/>
        <horizontal/>
      </border>
    </dxf>
    <dxf>
      <fill>
        <patternFill>
          <bgColor rgb="FFFF0000"/>
        </patternFill>
      </fill>
    </dxf>
    <dxf>
      <fill>
        <patternFill patternType="lightTrellis"/>
      </fill>
    </dxf>
    <dxf>
      <font>
        <b/>
        <i val="0"/>
        <strike val="0"/>
        <color rgb="FFFFFF00"/>
      </font>
      <fill>
        <patternFill patternType="solid">
          <bgColor rgb="FFFF0000"/>
        </patternFill>
      </fill>
      <border>
        <left style="thin">
          <color theme="4"/>
        </left>
        <right style="thin">
          <color theme="4"/>
        </right>
        <top style="thin">
          <color theme="4"/>
        </top>
        <bottom style="thin">
          <color theme="4"/>
        </bottom>
        <vertical/>
        <horizontal/>
      </border>
    </dxf>
    <dxf>
      <font>
        <b/>
        <i val="0"/>
        <strike val="0"/>
        <color rgb="FFFFFF00"/>
      </font>
      <fill>
        <patternFill patternType="solid">
          <bgColor rgb="FFFF0000"/>
        </patternFill>
      </fill>
    </dxf>
    <dxf>
      <fill>
        <patternFill patternType="lightTrellis"/>
      </fill>
    </dxf>
    <dxf>
      <fill>
        <patternFill>
          <bgColor rgb="FFFF0000"/>
        </patternFill>
      </fill>
    </dxf>
    <dxf>
      <fill>
        <patternFill patternType="lightTrellis"/>
      </fill>
    </dxf>
    <dxf>
      <font>
        <b/>
        <i val="0"/>
        <strike val="0"/>
        <color rgb="FFFFFF00"/>
      </font>
      <fill>
        <patternFill patternType="solid">
          <bgColor rgb="FFFF0000"/>
        </patternFill>
      </fill>
      <border>
        <left style="thin">
          <color theme="4"/>
        </left>
        <right style="thin">
          <color theme="4"/>
        </right>
        <top style="thin">
          <color theme="4"/>
        </top>
        <bottom style="thin">
          <color theme="4"/>
        </bottom>
        <vertical/>
        <horizontal/>
      </border>
    </dxf>
    <dxf>
      <fill>
        <patternFill>
          <bgColor rgb="FFFF0000"/>
        </patternFill>
      </fill>
    </dxf>
    <dxf>
      <fill>
        <patternFill patternType="lightTrellis"/>
      </fill>
    </dxf>
    <dxf>
      <font>
        <b/>
        <i val="0"/>
        <strike val="0"/>
        <color rgb="FFFFFF00"/>
      </font>
      <fill>
        <patternFill patternType="solid">
          <bgColor rgb="FFFF0000"/>
        </patternFill>
      </fill>
      <border>
        <left style="thin">
          <color theme="4"/>
        </left>
        <right style="thin">
          <color theme="4"/>
        </right>
        <top style="thin">
          <color theme="4"/>
        </top>
        <bottom style="thin">
          <color theme="4"/>
        </bottom>
        <vertical/>
        <horizontal/>
      </border>
    </dxf>
    <dxf>
      <fill>
        <patternFill>
          <bgColor rgb="FFFF0000"/>
        </patternFill>
      </fill>
    </dxf>
    <dxf>
      <fill>
        <patternFill patternType="lightTrellis"/>
      </fill>
    </dxf>
    <dxf>
      <font>
        <b/>
        <i val="0"/>
        <strike val="0"/>
        <color rgb="FFFFFF00"/>
      </font>
      <fill>
        <patternFill patternType="solid">
          <bgColor rgb="FFFF0000"/>
        </patternFill>
      </fill>
      <border>
        <left style="thin">
          <color theme="4"/>
        </left>
        <right style="thin">
          <color theme="4"/>
        </right>
        <top style="thin">
          <color theme="4"/>
        </top>
        <bottom style="thin">
          <color theme="4"/>
        </bottom>
        <vertical/>
        <horizontal/>
      </border>
    </dxf>
    <dxf>
      <fill>
        <patternFill patternType="lightTrellis"/>
      </fill>
    </dxf>
    <dxf>
      <font>
        <b/>
        <i val="0"/>
        <strike val="0"/>
        <color rgb="FFFFFF00"/>
      </font>
      <fill>
        <patternFill patternType="solid">
          <bgColor rgb="FFFF0000"/>
        </patternFill>
      </fill>
      <border>
        <left style="thin">
          <color theme="4"/>
        </left>
        <right style="thin">
          <color theme="4"/>
        </right>
        <top style="thin">
          <color theme="4"/>
        </top>
        <bottom style="thin">
          <color theme="4"/>
        </bottom>
        <vertical/>
        <horizontal/>
      </border>
    </dxf>
    <dxf>
      <font>
        <b/>
        <i val="0"/>
        <strike val="0"/>
        <color rgb="FFFFFF00"/>
      </font>
      <fill>
        <patternFill patternType="solid">
          <bgColor rgb="FFFF0000"/>
        </patternFill>
      </fill>
    </dxf>
    <dxf>
      <fill>
        <patternFill patternType="lightTrellis"/>
      </fill>
    </dxf>
    <dxf>
      <font>
        <b/>
        <i val="0"/>
        <strike val="0"/>
        <color rgb="FFFFFF00"/>
      </font>
      <fill>
        <patternFill patternType="solid">
          <bgColor rgb="FFFF0000"/>
        </patternFill>
      </fill>
      <border>
        <left style="thin">
          <color theme="4"/>
        </left>
        <right style="thin">
          <color theme="4"/>
        </right>
        <top style="thin">
          <color theme="4"/>
        </top>
        <bottom style="thin">
          <color theme="4"/>
        </bottom>
        <vertical/>
        <horizontal/>
      </border>
    </dxf>
    <dxf>
      <fill>
        <patternFill patternType="lightTrellis">
          <fgColor theme="1"/>
        </patternFill>
      </fill>
    </dxf>
    <dxf>
      <font>
        <b/>
        <i val="0"/>
        <strike val="0"/>
        <color rgb="FFFFFF00"/>
      </font>
      <fill>
        <patternFill patternType="solid">
          <bgColor rgb="FFFF0000"/>
        </patternFill>
      </fill>
      <border>
        <left style="thin">
          <color theme="4"/>
        </left>
        <right style="thin">
          <color theme="4"/>
        </right>
        <top style="thin">
          <color theme="4"/>
        </top>
        <bottom style="thin">
          <color theme="4"/>
        </bottom>
        <vertical/>
        <horizontal/>
      </border>
    </dxf>
    <dxf>
      <fill>
        <patternFill patternType="lightTrellis">
          <fgColor theme="1"/>
        </patternFill>
      </fill>
    </dxf>
    <dxf>
      <font>
        <b/>
        <i val="0"/>
        <strike val="0"/>
        <color rgb="FFFFFF00"/>
      </font>
      <fill>
        <patternFill patternType="solid">
          <bgColor rgb="FFFF0000"/>
        </patternFill>
      </fill>
      <border>
        <left style="thin">
          <color theme="4"/>
        </left>
        <right style="thin">
          <color theme="4"/>
        </right>
        <top style="thin">
          <color theme="4"/>
        </top>
        <bottom style="thin">
          <color theme="4"/>
        </bottom>
        <vertical/>
        <horizontal/>
      </border>
    </dxf>
    <dxf>
      <fill>
        <patternFill patternType="lightTrellis"/>
      </fill>
    </dxf>
    <dxf>
      <fill>
        <patternFill patternType="lightTrellis"/>
      </fill>
    </dxf>
    <dxf>
      <fill>
        <patternFill patternType="lightTrellis">
          <fgColor theme="1"/>
        </patternFill>
      </fill>
    </dxf>
    <dxf>
      <font>
        <b/>
        <i val="0"/>
        <strike val="0"/>
        <color rgb="FFFFFF00"/>
      </font>
      <fill>
        <patternFill patternType="solid">
          <bgColor rgb="FFFF0000"/>
        </patternFill>
      </fill>
      <border>
        <left style="thin">
          <color theme="4"/>
        </left>
        <right style="thin">
          <color theme="4"/>
        </right>
        <top style="thin">
          <color theme="4"/>
        </top>
        <bottom style="thin">
          <color theme="4"/>
        </bottom>
        <vertical/>
        <horizontal/>
      </border>
    </dxf>
    <dxf>
      <fill>
        <patternFill patternType="lightTrellis"/>
      </fill>
    </dxf>
    <dxf>
      <fill>
        <patternFill>
          <bgColor rgb="FFFF0000"/>
        </patternFill>
      </fill>
    </dxf>
    <dxf>
      <fill>
        <patternFill>
          <bgColor rgb="FFFF0000"/>
        </patternFill>
      </fill>
    </dxf>
    <dxf>
      <fill>
        <patternFill patternType="lightTrellis"/>
      </fill>
    </dxf>
    <dxf>
      <font>
        <strike val="0"/>
        <color theme="1"/>
      </font>
      <fill>
        <patternFill>
          <bgColor theme="6"/>
        </patternFill>
      </fill>
      <border>
        <top style="thin">
          <color theme="0" tint="-0.24994659260841701"/>
        </top>
        <vertical/>
        <horizontal/>
      </border>
    </dxf>
    <dxf>
      <fill>
        <patternFill patternType="darkDown">
          <fgColor rgb="FFFFFF00"/>
        </patternFill>
      </fill>
      <border>
        <right style="thin">
          <color rgb="FFFFC000"/>
        </right>
        <bottom style="thin">
          <color rgb="FFFFC000"/>
        </bottom>
        <vertical/>
        <horizontal/>
      </border>
    </dxf>
    <dxf>
      <fill>
        <patternFill>
          <bgColor theme="6"/>
        </patternFill>
      </fill>
    </dxf>
    <dxf>
      <fill>
        <patternFill patternType="darkDown">
          <fgColor rgb="FFFFFF00"/>
        </patternFill>
      </fill>
      <border>
        <left style="thin">
          <color theme="4"/>
        </left>
        <right/>
        <top style="thin">
          <color auto="1"/>
        </top>
        <bottom style="thin">
          <color auto="1"/>
        </bottom>
        <vertical/>
        <horizontal/>
      </border>
    </dxf>
    <dxf>
      <fill>
        <patternFill patternType="solid">
          <bgColor theme="6"/>
        </patternFill>
      </fill>
    </dxf>
    <dxf>
      <fill>
        <patternFill patternType="lightTrellis"/>
      </fill>
    </dxf>
    <dxf>
      <fill>
        <patternFill patternType="lightTrellis">
          <fgColor auto="1"/>
        </patternFill>
      </fill>
    </dxf>
    <dxf>
      <font>
        <b/>
        <i val="0"/>
        <strike val="0"/>
        <color rgb="FFFFFF00"/>
      </font>
      <fill>
        <patternFill patternType="solid">
          <bgColor rgb="FFFF0000"/>
        </patternFill>
      </fill>
      <border>
        <left style="thin">
          <color theme="4"/>
        </left>
        <right style="thin">
          <color theme="4"/>
        </right>
        <top style="thin">
          <color theme="1"/>
        </top>
        <bottom style="thin">
          <color theme="1"/>
        </bottom>
        <vertical/>
        <horizontal/>
      </border>
    </dxf>
    <dxf>
      <fill>
        <patternFill patternType="lightTrellis">
          <bgColor theme="4" tint="0.79998168889431442"/>
        </patternFill>
      </fill>
    </dxf>
    <dxf>
      <fill>
        <patternFill patternType="lightTrellis"/>
      </fill>
    </dxf>
    <dxf>
      <font>
        <b/>
        <i val="0"/>
        <strike val="0"/>
        <color rgb="FFFFFF00"/>
      </font>
      <fill>
        <patternFill patternType="solid">
          <bgColor rgb="FFFF0000"/>
        </patternFill>
      </fill>
      <border>
        <left style="thin">
          <color theme="4"/>
        </left>
        <right style="thin">
          <color theme="4"/>
        </right>
        <top style="thin">
          <color theme="4"/>
        </top>
        <bottom style="thin">
          <color theme="4"/>
        </bottom>
        <vertical/>
        <horizontal/>
      </border>
    </dxf>
    <dxf>
      <fill>
        <patternFill patternType="lightTrellis">
          <bgColor theme="4" tint="0.79998168889431442"/>
        </patternFill>
      </fill>
    </dxf>
    <dxf>
      <font>
        <b/>
        <i val="0"/>
        <color rgb="FFFFFF00"/>
      </font>
      <fill>
        <patternFill patternType="solid">
          <bgColor rgb="FFFF0000"/>
        </patternFill>
      </fill>
      <border>
        <left style="thin">
          <color rgb="FF0070C0"/>
        </left>
        <right style="thin">
          <color rgb="FF0070C0"/>
        </right>
        <top style="thin">
          <color rgb="FF0070C0"/>
        </top>
        <bottom style="thin">
          <color rgb="FF0070C0"/>
        </bottom>
        <vertical/>
        <horizontal/>
      </border>
    </dxf>
    <dxf>
      <fill>
        <patternFill patternType="lightTrellis">
          <bgColor theme="4" tint="0.79998168889431442"/>
        </patternFill>
      </fill>
    </dxf>
    <dxf>
      <font>
        <b/>
        <i val="0"/>
        <color rgb="FFFFFF00"/>
      </font>
      <fill>
        <patternFill patternType="solid">
          <bgColor rgb="FFFF0000"/>
        </patternFill>
      </fill>
      <border>
        <left style="thin">
          <color rgb="FF0070C0"/>
        </left>
        <right style="thin">
          <color rgb="FF0070C0"/>
        </right>
        <top style="thin">
          <color rgb="FF0070C0"/>
        </top>
        <bottom style="thin">
          <color rgb="FF0070C0"/>
        </bottom>
        <vertical/>
        <horizontal/>
      </border>
    </dxf>
    <dxf>
      <fill>
        <patternFill patternType="lightTrellis">
          <bgColor theme="4" tint="0.79998168889431442"/>
        </patternFill>
      </fill>
    </dxf>
    <dxf>
      <font>
        <b/>
        <i val="0"/>
        <color rgb="FFFFFF00"/>
      </font>
      <fill>
        <patternFill>
          <bgColor rgb="FFFF0000"/>
        </patternFill>
      </fill>
      <border>
        <left style="thin">
          <color rgb="FF0070C0"/>
        </left>
        <right style="thin">
          <color rgb="FF0070C0"/>
        </right>
        <top style="thin">
          <color rgb="FF0070C0"/>
        </top>
        <bottom style="thin">
          <color rgb="FF0070C0"/>
        </bottom>
        <vertical/>
        <horizontal/>
      </border>
    </dxf>
    <dxf>
      <font>
        <b/>
        <i val="0"/>
        <strike val="0"/>
        <color rgb="FFFFFF00"/>
      </font>
      <fill>
        <patternFill patternType="solid">
          <bgColor rgb="FFFF0000"/>
        </patternFill>
      </fill>
    </dxf>
    <dxf>
      <fill>
        <patternFill patternType="lightTrellis">
          <bgColor theme="4" tint="0.79998168889431442"/>
        </patternFill>
      </fill>
    </dxf>
    <dxf>
      <font>
        <b/>
        <i val="0"/>
        <color rgb="FFFFFF00"/>
      </font>
      <fill>
        <patternFill patternType="solid">
          <bgColor rgb="FFFF0000"/>
        </patternFill>
      </fill>
      <border>
        <left style="thin">
          <color rgb="FF0070C0"/>
        </left>
        <right style="thin">
          <color rgb="FF0070C0"/>
        </right>
        <top style="thin">
          <color rgb="FF0070C0"/>
        </top>
        <bottom style="thin">
          <color rgb="FF0070C0"/>
        </bottom>
        <vertical/>
        <horizontal/>
      </border>
    </dxf>
    <dxf>
      <fill>
        <patternFill patternType="lightTrellis">
          <bgColor theme="4" tint="0.79998168889431442"/>
        </patternFill>
      </fill>
    </dxf>
    <dxf>
      <fill>
        <patternFill patternType="lightTrellis">
          <bgColor theme="4" tint="0.79998168889431442"/>
        </patternFill>
      </fill>
    </dxf>
    <dxf>
      <font>
        <b/>
        <i val="0"/>
        <strike val="0"/>
        <color rgb="FFFFFF00"/>
      </font>
      <fill>
        <patternFill patternType="solid">
          <bgColor rgb="FFFF0000"/>
        </patternFill>
      </fill>
      <border>
        <left style="thin">
          <color rgb="FF0070C0"/>
        </left>
        <right style="thin">
          <color rgb="FF0070C0"/>
        </right>
        <top style="thin">
          <color rgb="FF0070C0"/>
        </top>
        <bottom style="thin">
          <color rgb="FF0070C0"/>
        </bottom>
        <vertical/>
        <horizontal/>
      </border>
    </dxf>
    <dxf>
      <font>
        <b/>
        <i val="0"/>
        <strike val="0"/>
        <color rgb="FFFFFF00"/>
      </font>
      <fill>
        <patternFill>
          <bgColor rgb="FFFF0000"/>
        </patternFill>
      </fill>
    </dxf>
    <dxf>
      <fill>
        <patternFill patternType="lightTrellis">
          <fgColor auto="1"/>
          <bgColor theme="4" tint="0.79998168889431442"/>
        </patternFill>
      </fill>
    </dxf>
    <dxf>
      <font>
        <b/>
        <i val="0"/>
        <strike val="0"/>
        <color rgb="FFFFFF00"/>
      </font>
      <fill>
        <patternFill patternType="solid">
          <bgColor rgb="FFFF0000"/>
        </patternFill>
      </fill>
      <border>
        <left style="thin">
          <color rgb="FF0070C0"/>
        </left>
        <right style="thin">
          <color rgb="FF0070C0"/>
        </right>
        <top style="thin">
          <color rgb="FF0070C0"/>
        </top>
        <bottom style="thin">
          <color rgb="FF0070C0"/>
        </bottom>
        <vertical/>
        <horizontal/>
      </border>
    </dxf>
    <dxf>
      <fill>
        <patternFill patternType="lightTrellis"/>
      </fill>
    </dxf>
    <dxf>
      <fill>
        <patternFill patternType="lightTrellis"/>
      </fill>
    </dxf>
    <dxf>
      <font>
        <b/>
        <i val="0"/>
        <strike val="0"/>
        <color rgb="FFFFFF00"/>
      </font>
      <fill>
        <patternFill patternType="solid">
          <bgColor rgb="FFFF0000"/>
        </patternFill>
      </fill>
      <border>
        <left style="thin">
          <color theme="4"/>
        </left>
        <right style="thin">
          <color theme="4"/>
        </right>
        <top style="thin">
          <color theme="4"/>
        </top>
        <bottom style="thin">
          <color theme="4"/>
        </bottom>
        <vertical/>
        <horizontal/>
      </border>
    </dxf>
    <dxf>
      <font>
        <b/>
        <i val="0"/>
        <strike val="0"/>
        <color rgb="FFFFFF00"/>
      </font>
      <fill>
        <patternFill patternType="solid">
          <bgColor rgb="FFFF0000"/>
        </patternFill>
      </fill>
      <border>
        <left style="thin">
          <color theme="4"/>
        </left>
        <right style="thin">
          <color theme="4"/>
        </right>
        <top style="thin">
          <color theme="4"/>
        </top>
        <bottom style="thin">
          <color theme="4"/>
        </bottom>
        <vertical/>
        <horizontal/>
      </border>
    </dxf>
    <dxf>
      <font>
        <strike val="0"/>
        <color theme="1"/>
      </font>
      <fill>
        <patternFill>
          <bgColor theme="6"/>
        </patternFill>
      </fill>
    </dxf>
    <dxf>
      <fill>
        <patternFill patternType="darkDown">
          <fgColor rgb="FFFFFF00"/>
        </patternFill>
      </fill>
      <border>
        <right style="thin">
          <color rgb="FFFFC000"/>
        </right>
        <top style="thin">
          <color rgb="FFFFC000"/>
        </top>
        <bottom style="thin">
          <color rgb="FFFFC000"/>
        </bottom>
        <vertical/>
        <horizontal/>
      </border>
    </dxf>
    <dxf>
      <fill>
        <patternFill>
          <bgColor rgb="FFFFFF00"/>
        </patternFill>
      </fill>
      <border>
        <left style="thin">
          <color rgb="FF0070C0"/>
        </left>
        <right style="thin">
          <color rgb="FF0070C0"/>
        </right>
        <top style="thin">
          <color rgb="FF0070C0"/>
        </top>
        <bottom style="thin">
          <color rgb="FF0070C0"/>
        </bottom>
        <vertical/>
        <horizontal/>
      </border>
    </dxf>
    <dxf>
      <fill>
        <patternFill patternType="lightTrellis">
          <bgColor theme="4" tint="0.79998168889431442"/>
        </patternFill>
      </fill>
    </dxf>
    <dxf>
      <fill>
        <patternFill patternType="lightTrellis">
          <fgColor auto="1"/>
          <bgColor theme="4" tint="0.79998168889431442"/>
        </patternFill>
      </fill>
    </dxf>
    <dxf>
      <font>
        <b/>
        <i val="0"/>
        <color rgb="FFFFFF00"/>
      </font>
      <fill>
        <patternFill patternType="solid">
          <bgColor rgb="FFFF0000"/>
        </patternFill>
      </fill>
      <border>
        <left style="thin">
          <color rgb="FF0070C0"/>
        </left>
        <right style="thin">
          <color rgb="FF0070C0"/>
        </right>
        <top style="thin">
          <color rgb="FF0070C0"/>
        </top>
        <bottom style="thin">
          <color rgb="FF0070C0"/>
        </bottom>
        <vertical/>
        <horizontal/>
      </border>
    </dxf>
    <dxf>
      <font>
        <strike val="0"/>
        <color theme="1"/>
      </font>
      <fill>
        <patternFill>
          <bgColor theme="6"/>
        </patternFill>
      </fill>
    </dxf>
    <dxf>
      <fill>
        <patternFill patternType="darkDown">
          <fgColor rgb="FFFFFF00"/>
        </patternFill>
      </fill>
    </dxf>
    <dxf>
      <fill>
        <patternFill patternType="darkDown">
          <fgColor rgb="FFFFFF00"/>
        </patternFill>
      </fill>
    </dxf>
    <dxf>
      <font>
        <strike val="0"/>
        <color theme="1"/>
      </font>
      <fill>
        <patternFill>
          <bgColor theme="6"/>
        </patternFill>
      </fill>
    </dxf>
    <dxf>
      <font>
        <strike val="0"/>
        <color theme="1"/>
      </font>
      <fill>
        <patternFill>
          <bgColor theme="6"/>
        </patternFill>
      </fill>
    </dxf>
    <dxf>
      <fill>
        <patternFill patternType="lightTrellis"/>
      </fill>
    </dxf>
    <dxf>
      <font>
        <b/>
        <i val="0"/>
        <strike val="0"/>
        <color rgb="FFFFFF00"/>
      </font>
      <fill>
        <patternFill patternType="solid">
          <bgColor rgb="FFFF0000"/>
        </patternFill>
      </fill>
    </dxf>
    <dxf>
      <fill>
        <patternFill>
          <bgColor rgb="FFFFFF00"/>
        </patternFill>
      </fill>
    </dxf>
    <dxf>
      <fill>
        <patternFill>
          <bgColor indexed="13"/>
        </patternFill>
      </fill>
    </dxf>
    <dxf>
      <font>
        <b/>
        <i val="0"/>
        <strike val="0"/>
        <color theme="1"/>
      </font>
      <fill>
        <patternFill patternType="solid">
          <bgColor rgb="FFFFFF00"/>
        </patternFill>
      </fill>
    </dxf>
    <dxf>
      <fill>
        <patternFill>
          <bgColor rgb="FFFF0000"/>
        </patternFill>
      </fill>
    </dxf>
    <dxf>
      <fill>
        <patternFill patternType="lightTrellis">
          <bgColor theme="4" tint="0.79998168889431442"/>
        </patternFill>
      </fill>
    </dxf>
    <dxf>
      <fill>
        <patternFill>
          <bgColor rgb="FFFF0000"/>
        </patternFill>
      </fill>
    </dxf>
    <dxf>
      <fill>
        <patternFill>
          <bgColor rgb="FFFFFF00"/>
        </patternFill>
      </fill>
      <border>
        <left style="thin">
          <color rgb="FF0070C0"/>
        </left>
        <right style="thin">
          <color rgb="FF0070C0"/>
        </right>
        <top style="thin">
          <color rgb="FF0070C0"/>
        </top>
        <bottom style="thin">
          <color rgb="FF0070C0"/>
        </bottom>
        <vertical/>
        <horizontal/>
      </border>
    </dxf>
    <dxf>
      <fill>
        <patternFill patternType="lightTrellis">
          <fgColor auto="1"/>
          <bgColor theme="4" tint="0.79998168889431442"/>
        </patternFill>
      </fill>
      <border>
        <left style="thin">
          <color rgb="FF0070C0"/>
        </left>
        <right style="thin">
          <color rgb="FF0070C0"/>
        </right>
        <top style="thin">
          <color rgb="FF0070C0"/>
        </top>
        <bottom style="thin">
          <color rgb="FF0070C0"/>
        </bottom>
        <vertical/>
        <horizontal/>
      </border>
    </dxf>
    <dxf>
      <fill>
        <patternFill>
          <bgColor rgb="FFFF0000"/>
        </patternFill>
      </fill>
    </dxf>
    <dxf>
      <fill>
        <patternFill>
          <bgColor rgb="FF0070C0"/>
        </patternFill>
      </fill>
    </dxf>
    <dxf>
      <fill>
        <patternFill patternType="lightTrellis"/>
      </fill>
    </dxf>
    <dxf>
      <font>
        <b/>
        <i val="0"/>
        <strike val="0"/>
        <color rgb="FFFFFF00"/>
      </font>
      <fill>
        <patternFill patternType="solid">
          <bgColor rgb="FFFF0000"/>
        </patternFill>
      </fill>
      <border>
        <left style="thin">
          <color theme="4"/>
        </left>
        <right style="thin">
          <color theme="4"/>
        </right>
        <top style="thin">
          <color theme="4"/>
        </top>
        <bottom style="thin">
          <color theme="4"/>
        </bottom>
        <vertical/>
        <horizontal/>
      </border>
    </dxf>
    <dxf>
      <fill>
        <patternFill patternType="lightTrellis"/>
      </fill>
    </dxf>
    <dxf>
      <font>
        <b/>
        <i val="0"/>
        <strike val="0"/>
        <color rgb="FFFFFF00"/>
      </font>
      <fill>
        <patternFill patternType="solid">
          <bgColor rgb="FFFF0000"/>
        </patternFill>
      </fill>
      <border>
        <left style="thin">
          <color theme="4"/>
        </left>
        <right style="thin">
          <color theme="4"/>
        </right>
        <top style="thin">
          <color theme="4"/>
        </top>
        <bottom style="thin">
          <color theme="4"/>
        </bottom>
        <vertical/>
        <horizontal/>
      </border>
    </dxf>
    <dxf>
      <fill>
        <patternFill patternType="lightTrellis"/>
      </fill>
    </dxf>
    <dxf>
      <font>
        <b/>
        <i val="0"/>
        <strike val="0"/>
        <color rgb="FFFFFF00"/>
      </font>
      <fill>
        <patternFill patternType="solid">
          <bgColor rgb="FFFF0000"/>
        </patternFill>
      </fill>
      <border>
        <left style="thin">
          <color theme="4"/>
        </left>
        <right style="thin">
          <color theme="4"/>
        </right>
        <top style="thin">
          <color theme="4"/>
        </top>
        <bottom style="thin">
          <color theme="4"/>
        </bottom>
        <vertical/>
        <horizontal/>
      </border>
    </dxf>
    <dxf>
      <fill>
        <patternFill patternType="lightTrellis"/>
      </fill>
    </dxf>
    <dxf>
      <font>
        <b/>
        <i val="0"/>
        <strike val="0"/>
        <color rgb="FFFFFF00"/>
      </font>
      <fill>
        <patternFill patternType="solid">
          <bgColor rgb="FFFF0000"/>
        </patternFill>
      </fill>
      <border>
        <left style="thin">
          <color theme="4"/>
        </left>
        <right style="thin">
          <color theme="4"/>
        </right>
        <top style="thin">
          <color theme="4"/>
        </top>
        <bottom style="thin">
          <color theme="4"/>
        </bottom>
        <vertical/>
        <horizontal/>
      </border>
    </dxf>
    <dxf>
      <fill>
        <patternFill patternType="lightTrellis"/>
      </fill>
    </dxf>
    <dxf>
      <font>
        <b/>
        <i val="0"/>
        <strike val="0"/>
        <color rgb="FFFFFF00"/>
      </font>
      <fill>
        <patternFill patternType="solid">
          <bgColor rgb="FFFF0000"/>
        </patternFill>
      </fill>
      <border>
        <left style="thin">
          <color theme="4"/>
        </left>
        <right style="thin">
          <color theme="4"/>
        </right>
        <top style="thin">
          <color theme="4"/>
        </top>
        <bottom style="thin">
          <color theme="4"/>
        </bottom>
        <vertical/>
        <horizontal/>
      </border>
    </dxf>
    <dxf>
      <fill>
        <patternFill patternType="lightTrellis"/>
      </fill>
    </dxf>
    <dxf>
      <font>
        <b/>
        <i val="0"/>
        <strike val="0"/>
        <color rgb="FFFFFF00"/>
      </font>
      <fill>
        <patternFill patternType="solid">
          <bgColor rgb="FFFF0000"/>
        </patternFill>
      </fill>
      <border>
        <left style="thin">
          <color theme="4"/>
        </left>
        <right style="thin">
          <color theme="4"/>
        </right>
        <top style="thin">
          <color theme="4"/>
        </top>
        <bottom style="thin">
          <color theme="4"/>
        </bottom>
        <vertical/>
        <horizontal/>
      </border>
    </dxf>
    <dxf>
      <fill>
        <patternFill patternType="lightTrellis"/>
      </fill>
    </dxf>
    <dxf>
      <font>
        <b/>
        <i val="0"/>
        <strike val="0"/>
        <color rgb="FFFFFF00"/>
      </font>
      <fill>
        <patternFill patternType="solid">
          <bgColor rgb="FFFF0000"/>
        </patternFill>
      </fill>
      <border>
        <left style="thin">
          <color theme="4"/>
        </left>
        <right style="thin">
          <color theme="4"/>
        </right>
        <top style="thin">
          <color theme="4"/>
        </top>
        <bottom style="thin">
          <color theme="4"/>
        </bottom>
        <vertical/>
        <horizontal/>
      </border>
    </dxf>
    <dxf>
      <fill>
        <patternFill patternType="lightTrellis"/>
      </fill>
    </dxf>
    <dxf>
      <font>
        <b/>
        <i val="0"/>
        <strike val="0"/>
        <color rgb="FFFFFF00"/>
      </font>
      <fill>
        <patternFill patternType="solid">
          <bgColor rgb="FFFF0000"/>
        </patternFill>
      </fill>
      <border>
        <left style="thin">
          <color theme="4"/>
        </left>
        <right style="thin">
          <color theme="4"/>
        </right>
        <top style="thin">
          <color theme="4"/>
        </top>
        <bottom style="thin">
          <color theme="4"/>
        </bottom>
        <vertical/>
        <horizontal/>
      </border>
    </dxf>
    <dxf>
      <fill>
        <patternFill patternType="lightTrellis"/>
      </fill>
    </dxf>
    <dxf>
      <font>
        <b/>
        <i val="0"/>
        <strike val="0"/>
        <color rgb="FFFFFF00"/>
      </font>
      <fill>
        <patternFill patternType="solid">
          <bgColor rgb="FFFF0000"/>
        </patternFill>
      </fill>
      <border>
        <left style="thin">
          <color theme="4"/>
        </left>
        <right style="thin">
          <color theme="4"/>
        </right>
        <top style="thin">
          <color theme="4"/>
        </top>
        <bottom style="thin">
          <color theme="4"/>
        </bottom>
        <vertical/>
        <horizontal/>
      </border>
    </dxf>
    <dxf>
      <fill>
        <patternFill patternType="lightTrellis"/>
      </fill>
    </dxf>
    <dxf>
      <font>
        <b/>
        <i val="0"/>
        <strike val="0"/>
        <color rgb="FFFFFF00"/>
      </font>
      <fill>
        <patternFill patternType="solid">
          <bgColor rgb="FFFF0000"/>
        </patternFill>
      </fill>
      <border>
        <vertical/>
        <horizontal/>
      </border>
    </dxf>
    <dxf>
      <fill>
        <patternFill patternType="lightTrellis"/>
      </fill>
    </dxf>
    <dxf>
      <font>
        <b/>
        <i val="0"/>
        <strike val="0"/>
        <color rgb="FFFFFF00"/>
      </font>
      <fill>
        <patternFill patternType="solid">
          <bgColor rgb="FFFF0000"/>
        </patternFill>
      </fill>
      <border>
        <left style="thin">
          <color theme="4"/>
        </left>
        <right style="thin">
          <color theme="4"/>
        </right>
        <top style="thin">
          <color theme="4"/>
        </top>
        <bottom style="thin">
          <color theme="4"/>
        </bottom>
        <vertical/>
        <horizontal/>
      </border>
    </dxf>
    <dxf>
      <fill>
        <patternFill patternType="lightTrellis"/>
      </fill>
    </dxf>
    <dxf>
      <font>
        <b/>
        <i val="0"/>
        <strike val="0"/>
        <color rgb="FFFFFF00"/>
      </font>
      <fill>
        <patternFill patternType="solid">
          <bgColor rgb="FFFF0000"/>
        </patternFill>
      </fill>
      <border>
        <left style="thin">
          <color theme="4"/>
        </left>
        <right style="thin">
          <color theme="4"/>
        </right>
        <top style="thin">
          <color theme="4"/>
        </top>
        <bottom style="thin">
          <color theme="4"/>
        </bottom>
        <vertical/>
        <horizontal/>
      </border>
    </dxf>
    <dxf>
      <font>
        <b/>
        <i val="0"/>
        <color rgb="FF00B050"/>
      </font>
      <border>
        <vertical/>
        <horizontal/>
      </border>
    </dxf>
    <dxf>
      <fill>
        <patternFill>
          <bgColor rgb="FFFFFF00"/>
        </patternFill>
      </fill>
    </dxf>
    <dxf>
      <fill>
        <patternFill>
          <bgColor rgb="FFFFFF00"/>
        </patternFill>
      </fill>
    </dxf>
    <dxf>
      <font>
        <b/>
        <i val="0"/>
        <color rgb="FF00B050"/>
      </font>
      <fill>
        <patternFill>
          <bgColor theme="0"/>
        </patternFill>
      </fill>
      <border>
        <left style="thin">
          <color rgb="FF00B050"/>
        </left>
        <right style="thin">
          <color rgb="FF00B050"/>
        </right>
        <top style="thin">
          <color rgb="FF00B050"/>
        </top>
        <bottom style="thin">
          <color rgb="FF00B050"/>
        </bottom>
      </border>
    </dxf>
    <dxf>
      <font>
        <b/>
        <i val="0"/>
        <color rgb="FFFFFF00"/>
      </font>
      <fill>
        <patternFill>
          <bgColor rgb="FFFF0000"/>
        </patternFill>
      </fill>
    </dxf>
    <dxf>
      <fill>
        <patternFill patternType="lightTrellis">
          <bgColor theme="4" tint="0.79998168889431442"/>
        </patternFill>
      </fill>
    </dxf>
    <dxf>
      <font>
        <b/>
        <i val="0"/>
        <color rgb="FFFFFF00"/>
      </font>
      <fill>
        <patternFill patternType="solid">
          <bgColor rgb="FFFF0000"/>
        </patternFill>
      </fill>
    </dxf>
    <dxf>
      <font>
        <b/>
        <i val="0"/>
        <strike val="0"/>
        <color rgb="FFFFFF00"/>
      </font>
      <fill>
        <patternFill patternType="solid">
          <bgColor rgb="FFFF0000"/>
        </patternFill>
      </fill>
    </dxf>
    <dxf>
      <fill>
        <patternFill patternType="lightTrellis">
          <bgColor theme="4" tint="0.79998168889431442"/>
        </patternFill>
      </fill>
    </dxf>
    <dxf>
      <font>
        <b/>
        <i val="0"/>
        <strike val="0"/>
        <color rgb="FFFFFF00"/>
      </font>
      <fill>
        <patternFill patternType="solid">
          <bgColor rgb="FFFF0000"/>
        </patternFill>
      </fill>
      <border>
        <left style="thin">
          <color theme="4"/>
        </left>
        <right style="thin">
          <color theme="4"/>
        </right>
        <top style="thin">
          <color theme="4"/>
        </top>
        <bottom style="thin">
          <color theme="4"/>
        </bottom>
      </border>
    </dxf>
    <dxf>
      <fill>
        <patternFill patternType="lightTrellis">
          <bgColor theme="4" tint="0.79998168889431442"/>
        </patternFill>
      </fill>
    </dxf>
    <dxf>
      <font>
        <b/>
        <i val="0"/>
        <color rgb="FFFFFF00"/>
      </font>
      <fill>
        <patternFill patternType="solid">
          <bgColor rgb="FFFF0000"/>
        </patternFill>
      </fill>
    </dxf>
    <dxf>
      <fill>
        <patternFill>
          <bgColor rgb="FFFFFF00"/>
        </patternFill>
      </fill>
      <border>
        <left style="thin">
          <color rgb="FF0070C0"/>
        </left>
        <right style="thin">
          <color rgb="FF0070C0"/>
        </right>
        <top style="thin">
          <color rgb="FF0070C0"/>
        </top>
        <bottom style="thin">
          <color rgb="FF0070C0"/>
        </bottom>
        <vertical/>
        <horizontal/>
      </border>
    </dxf>
    <dxf>
      <fill>
        <patternFill>
          <bgColor rgb="FFFFFF00"/>
        </patternFill>
      </fill>
      <border>
        <left style="thin">
          <color rgb="FF0070C0"/>
        </left>
        <right style="thin">
          <color rgb="FF0070C0"/>
        </right>
        <top style="thin">
          <color rgb="FF0070C0"/>
        </top>
        <bottom style="thin">
          <color rgb="FF0070C0"/>
        </bottom>
        <vertical/>
        <horizontal/>
      </border>
    </dxf>
    <dxf>
      <fill>
        <patternFill>
          <bgColor rgb="FFFFFF00"/>
        </patternFill>
      </fill>
      <border>
        <left style="thin">
          <color rgb="FF0070C0"/>
        </left>
        <right style="thin">
          <color rgb="FF0070C0"/>
        </right>
        <top style="thin">
          <color rgb="FF0070C0"/>
        </top>
        <bottom style="thin">
          <color rgb="FF0070C0"/>
        </bottom>
        <vertical/>
        <horizontal/>
      </border>
    </dxf>
    <dxf>
      <fill>
        <patternFill patternType="lightTrellis">
          <bgColor theme="4" tint="0.79998168889431442"/>
        </patternFill>
      </fill>
    </dxf>
    <dxf>
      <fill>
        <patternFill patternType="lightTrellis">
          <fgColor theme="1"/>
        </patternFill>
      </fill>
    </dxf>
    <dxf>
      <font>
        <b/>
        <i val="0"/>
        <color rgb="FFFFFF00"/>
      </font>
      <fill>
        <patternFill>
          <bgColor rgb="FFFF0000"/>
        </patternFill>
      </fill>
      <border>
        <left style="thin">
          <color rgb="FF0070C0"/>
        </left>
        <right style="thin">
          <color rgb="FF0070C0"/>
        </right>
        <top style="thin">
          <color rgb="FF0070C0"/>
        </top>
        <bottom style="thin">
          <color rgb="FF0070C0"/>
        </bottom>
        <vertical/>
        <horizontal/>
      </border>
    </dxf>
    <dxf>
      <fill>
        <patternFill patternType="lightTrellis">
          <bgColor theme="4" tint="0.79998168889431442"/>
        </patternFill>
      </fill>
    </dxf>
    <dxf>
      <fill>
        <patternFill patternType="lightTrellis">
          <bgColor theme="4" tint="0.79998168889431442"/>
        </patternFill>
      </fill>
    </dxf>
    <dxf>
      <font>
        <b/>
        <i val="0"/>
        <color rgb="FFFFFF00"/>
      </font>
      <fill>
        <patternFill>
          <bgColor rgb="FFFF0000"/>
        </patternFill>
      </fill>
      <border>
        <left style="thin">
          <color rgb="FF0070C0"/>
        </left>
        <right style="thin">
          <color rgb="FF0070C0"/>
        </right>
        <top style="thin">
          <color rgb="FF0070C0"/>
        </top>
        <bottom style="thin">
          <color rgb="FF0070C0"/>
        </bottom>
        <vertical/>
        <horizontal/>
      </border>
    </dxf>
    <dxf>
      <fill>
        <patternFill patternType="lightTrellis">
          <fgColor auto="1"/>
          <bgColor theme="4" tint="0.79998168889431442"/>
        </patternFill>
      </fill>
    </dxf>
    <dxf>
      <font>
        <b/>
        <i val="0"/>
        <color rgb="FFFFFF00"/>
      </font>
      <fill>
        <patternFill patternType="solid">
          <bgColor rgb="FFFF0000"/>
        </patternFill>
      </fill>
      <border>
        <left style="thin">
          <color rgb="FF0070C0"/>
        </left>
        <right style="thin">
          <color rgb="FF0070C0"/>
        </right>
        <top style="thin">
          <color rgb="FF0070C0"/>
        </top>
        <bottom style="thin">
          <color rgb="FF0070C0"/>
        </bottom>
        <vertical/>
        <horizontal/>
      </border>
    </dxf>
    <dxf>
      <fill>
        <patternFill patternType="lightTrellis"/>
      </fill>
    </dxf>
    <dxf>
      <fill>
        <patternFill patternType="lightTrellis"/>
      </fill>
    </dxf>
    <dxf>
      <fill>
        <patternFill>
          <bgColor rgb="FFFF0000"/>
        </patternFill>
      </fill>
    </dxf>
    <dxf>
      <fill>
        <patternFill patternType="lightTrellis"/>
      </fill>
    </dxf>
    <dxf>
      <font>
        <b/>
        <i val="0"/>
        <strike val="0"/>
        <color rgb="FFFFFF00"/>
      </font>
      <fill>
        <patternFill patternType="solid">
          <bgColor rgb="FFFF0000"/>
        </patternFill>
      </fill>
      <border>
        <left style="thin">
          <color rgb="FF0070C0"/>
        </left>
        <right style="thin">
          <color rgb="FF0070C0"/>
        </right>
        <top style="thin">
          <color rgb="FF0070C0"/>
        </top>
        <bottom style="thin">
          <color rgb="FF0070C0"/>
        </bottom>
        <vertical/>
        <horizontal/>
      </border>
    </dxf>
    <dxf>
      <fill>
        <patternFill>
          <bgColor rgb="FFFFFF00"/>
        </patternFill>
      </fill>
      <border>
        <left style="thin">
          <color rgb="FF0070C0"/>
        </left>
        <right style="thin">
          <color rgb="FF0070C0"/>
        </right>
        <top style="thin">
          <color rgb="FF0070C0"/>
        </top>
        <bottom style="thin">
          <color rgb="FF0070C0"/>
        </bottom>
        <vertical/>
        <horizontal/>
      </border>
    </dxf>
    <dxf>
      <fill>
        <patternFill patternType="lightTrellis">
          <fgColor auto="1"/>
          <bgColor theme="4" tint="0.79998168889431442"/>
        </patternFill>
      </fill>
      <border>
        <left style="thin">
          <color rgb="FF0070C0"/>
        </left>
        <right style="thin">
          <color rgb="FF0070C0"/>
        </right>
        <top style="thin">
          <color rgb="FF0070C0"/>
        </top>
        <bottom style="thin">
          <color rgb="FF0070C0"/>
        </bottom>
        <vertical/>
        <horizontal/>
      </border>
    </dxf>
    <dxf>
      <fill>
        <patternFill>
          <bgColor rgb="FFFFFF00"/>
        </patternFill>
      </fill>
      <border>
        <left style="thin">
          <color rgb="FF0070C0"/>
        </left>
        <right style="thin">
          <color rgb="FF0070C0"/>
        </right>
        <top style="thin">
          <color rgb="FF0070C0"/>
        </top>
        <bottom style="thin">
          <color rgb="FF0070C0"/>
        </bottom>
        <vertical/>
        <horizontal/>
      </border>
    </dxf>
    <dxf>
      <fill>
        <patternFill patternType="lightTrellis">
          <fgColor auto="1"/>
          <bgColor theme="4" tint="0.79998168889431442"/>
        </patternFill>
      </fill>
      <border>
        <left style="thin">
          <color rgb="FF0070C0"/>
        </left>
        <right style="thin">
          <color rgb="FF0070C0"/>
        </right>
        <top style="thin">
          <color rgb="FF0070C0"/>
        </top>
        <bottom style="thin">
          <color rgb="FF0070C0"/>
        </bottom>
        <vertical/>
        <horizontal/>
      </border>
    </dxf>
    <dxf>
      <fill>
        <patternFill patternType="lightTrellis"/>
      </fill>
    </dxf>
    <dxf>
      <font>
        <b/>
        <i val="0"/>
        <color rgb="FFFFFF00"/>
      </font>
      <fill>
        <patternFill>
          <bgColor rgb="FFFF0000"/>
        </patternFill>
      </fill>
      <border>
        <left style="thin">
          <color rgb="FF0070C0"/>
        </left>
        <right style="thin">
          <color rgb="FF0070C0"/>
        </right>
        <top style="thin">
          <color rgb="FF0070C0"/>
        </top>
        <bottom style="thin">
          <color rgb="FF0070C0"/>
        </bottom>
      </border>
    </dxf>
    <dxf>
      <font>
        <b/>
        <i val="0"/>
        <strike val="0"/>
        <color rgb="FFFFFF00"/>
      </font>
      <fill>
        <patternFill patternType="solid">
          <bgColor rgb="FFFF0000"/>
        </patternFill>
      </fill>
      <border>
        <left style="thin">
          <color theme="4"/>
        </left>
        <right style="thin">
          <color theme="4"/>
        </right>
        <top style="thin">
          <color theme="4"/>
        </top>
        <bottom style="thin">
          <color theme="4"/>
        </bottom>
        <vertical/>
        <horizontal/>
      </border>
    </dxf>
    <dxf>
      <fill>
        <patternFill patternType="lightTrellis"/>
      </fill>
    </dxf>
    <dxf>
      <font>
        <b/>
        <i val="0"/>
        <strike val="0"/>
        <color rgb="FFFFFF00"/>
      </font>
      <fill>
        <patternFill patternType="solid">
          <fgColor auto="1"/>
          <bgColor rgb="FFFF0000"/>
        </patternFill>
      </fill>
      <border>
        <left style="thin">
          <color auto="1"/>
        </left>
        <right style="thin">
          <color auto="1"/>
        </right>
        <top style="thin">
          <color auto="1"/>
        </top>
        <bottom style="thin">
          <color auto="1"/>
        </bottom>
        <vertical/>
        <horizontal/>
      </border>
    </dxf>
    <dxf>
      <font>
        <b/>
        <i val="0"/>
        <color rgb="FFFFFF00"/>
      </font>
      <fill>
        <patternFill>
          <bgColor rgb="FFFF0000"/>
        </patternFill>
      </fill>
      <border>
        <left style="thin">
          <color rgb="FF0070C0"/>
        </left>
        <right style="thin">
          <color rgb="FF0070C0"/>
        </right>
        <top style="thin">
          <color rgb="FF0070C0"/>
        </top>
        <bottom style="thin">
          <color rgb="FF0070C0"/>
        </bottom>
      </border>
    </dxf>
    <dxf>
      <fill>
        <patternFill patternType="lightTrellis"/>
      </fill>
    </dxf>
    <dxf>
      <font>
        <b/>
        <i val="0"/>
        <strike val="0"/>
        <color rgb="FFFFFF00"/>
      </font>
      <fill>
        <patternFill patternType="solid">
          <bgColor rgb="FFFF0000"/>
        </patternFill>
      </fill>
      <border>
        <left style="thin">
          <color theme="4"/>
        </left>
        <right style="thin">
          <color theme="4"/>
        </right>
        <top style="thin">
          <color theme="4"/>
        </top>
        <bottom style="thin">
          <color theme="4"/>
        </bottom>
        <vertical/>
        <horizontal/>
      </border>
    </dxf>
    <dxf>
      <font>
        <b/>
        <i val="0"/>
        <color rgb="FFFFFF00"/>
      </font>
      <fill>
        <patternFill>
          <bgColor rgb="FFFF0000"/>
        </patternFill>
      </fill>
      <border>
        <left style="thin">
          <color rgb="FF0070C0"/>
        </left>
        <right style="thin">
          <color rgb="FF0070C0"/>
        </right>
        <top style="thin">
          <color rgb="FF0070C0"/>
        </top>
        <bottom style="thin">
          <color rgb="FF0070C0"/>
        </bottom>
      </border>
    </dxf>
    <dxf>
      <fill>
        <patternFill patternType="lightTrellis"/>
      </fill>
    </dxf>
    <dxf>
      <font>
        <b/>
        <i val="0"/>
        <color rgb="FFFFFF00"/>
      </font>
      <fill>
        <patternFill>
          <bgColor rgb="FFFF0000"/>
        </patternFill>
      </fill>
      <border>
        <left style="thin">
          <color rgb="FF0070C0"/>
        </left>
        <right style="thin">
          <color rgb="FF0070C0"/>
        </right>
        <top style="thin">
          <color rgb="FF0070C0"/>
        </top>
        <bottom style="thin">
          <color rgb="FF0070C0"/>
        </bottom>
      </border>
    </dxf>
    <dxf>
      <font>
        <b/>
        <i val="0"/>
        <strike val="0"/>
        <color rgb="FFFFFF00"/>
      </font>
      <fill>
        <patternFill patternType="solid">
          <bgColor rgb="FFFF0000"/>
        </patternFill>
      </fill>
      <border>
        <left style="thin">
          <color theme="4"/>
        </left>
        <right style="thin">
          <color theme="4"/>
        </right>
        <top style="thin">
          <color theme="4"/>
        </top>
        <bottom style="thin">
          <color theme="4"/>
        </bottom>
        <vertical/>
        <horizontal/>
      </border>
    </dxf>
    <dxf>
      <fill>
        <patternFill patternType="lightTrellis"/>
      </fill>
    </dxf>
    <dxf>
      <font>
        <b/>
        <i val="0"/>
        <color rgb="FFFFFF00"/>
      </font>
      <fill>
        <patternFill>
          <bgColor rgb="FFFF0000"/>
        </patternFill>
      </fill>
    </dxf>
    <dxf>
      <font>
        <b/>
        <i val="0"/>
        <strike val="0"/>
        <color rgb="FFFFFF00"/>
      </font>
      <fill>
        <patternFill patternType="solid">
          <bgColor rgb="FFFF0000"/>
        </patternFill>
      </fill>
      <border>
        <left style="thin">
          <color theme="4"/>
        </left>
        <right style="thin">
          <color theme="4"/>
        </right>
        <top style="thin">
          <color theme="4"/>
        </top>
        <bottom style="thin">
          <color theme="4"/>
        </bottom>
        <vertical/>
        <horizontal/>
      </border>
    </dxf>
    <dxf>
      <fill>
        <patternFill patternType="lightTrellis"/>
      </fill>
    </dxf>
    <dxf>
      <font>
        <b/>
        <i val="0"/>
        <strike val="0"/>
        <color rgb="FFFFFF00"/>
      </font>
      <fill>
        <patternFill patternType="solid">
          <bgColor rgb="FFFF0000"/>
        </patternFill>
      </fill>
      <border>
        <left style="thin">
          <color theme="4"/>
        </left>
        <right style="thin">
          <color theme="4"/>
        </right>
        <top style="thin">
          <color theme="4"/>
        </top>
        <bottom style="thin">
          <color theme="4"/>
        </bottom>
        <vertical/>
        <horizontal/>
      </border>
    </dxf>
    <dxf>
      <font>
        <b/>
        <i val="0"/>
        <color rgb="FFFFFF00"/>
      </font>
      <fill>
        <patternFill>
          <bgColor rgb="FFFF0000"/>
        </patternFill>
      </fill>
      <border>
        <left style="thin">
          <color rgb="FF0070C0"/>
        </left>
        <right style="thin">
          <color rgb="FF0070C0"/>
        </right>
        <top style="thin">
          <color rgb="FF0070C0"/>
        </top>
        <bottom style="thin">
          <color rgb="FF0070C0"/>
        </bottom>
        <vertical/>
        <horizontal/>
      </border>
    </dxf>
    <dxf>
      <font>
        <b/>
        <i val="0"/>
        <strike val="0"/>
        <color rgb="FFFFFF00"/>
      </font>
      <fill>
        <patternFill patternType="solid">
          <bgColor rgb="FFFF0000"/>
        </patternFill>
      </fill>
    </dxf>
    <dxf>
      <fill>
        <patternFill>
          <bgColor rgb="FFFFFF00"/>
        </patternFill>
      </fill>
      <border>
        <left style="thin">
          <color rgb="FF0070C0"/>
        </left>
        <right style="thin">
          <color rgb="FF0070C0"/>
        </right>
        <top style="thin">
          <color rgb="FF0070C0"/>
        </top>
        <bottom style="thin">
          <color rgb="FF0070C0"/>
        </bottom>
        <vertical/>
        <horizontal/>
      </border>
    </dxf>
    <dxf>
      <fill>
        <patternFill>
          <bgColor rgb="FFFFFF00"/>
        </patternFill>
      </fill>
      <border>
        <left style="thin">
          <color rgb="FF0070C0"/>
        </left>
        <right style="thin">
          <color rgb="FF0070C0"/>
        </right>
        <top style="thin">
          <color rgb="FF0070C0"/>
        </top>
        <bottom style="thin">
          <color rgb="FF0070C0"/>
        </bottom>
        <vertical/>
        <horizontal/>
      </border>
    </dxf>
    <dxf>
      <fill>
        <patternFill>
          <bgColor rgb="FFFF0000"/>
        </patternFill>
      </fill>
    </dxf>
    <dxf>
      <font>
        <b val="0"/>
        <i val="0"/>
        <color theme="1"/>
      </font>
      <fill>
        <patternFill patternType="solid">
          <bgColor theme="0"/>
        </patternFill>
      </fill>
      <border>
        <vertical/>
        <horizontal/>
      </border>
    </dxf>
    <dxf>
      <fill>
        <patternFill>
          <bgColor rgb="FFFF0000"/>
        </patternFill>
      </fill>
    </dxf>
    <dxf>
      <fill>
        <patternFill>
          <bgColor rgb="FFFF000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patternType="lightTrellis"/>
      </fill>
    </dxf>
    <dxf>
      <fill>
        <patternFill>
          <bgColor rgb="FFFF0000"/>
        </patternFill>
      </fill>
    </dxf>
    <dxf>
      <fill>
        <patternFill patternType="lightTrellis"/>
      </fill>
    </dxf>
    <dxf>
      <fill>
        <patternFill patternType="lightTrellis"/>
      </fill>
    </dxf>
    <dxf>
      <fill>
        <patternFill patternType="lightTrellis"/>
      </fill>
    </dxf>
    <dxf>
      <fill>
        <patternFill patternType="lightTrellis"/>
      </fill>
    </dxf>
    <dxf>
      <fill>
        <patternFill patternType="lightTrellis"/>
      </fill>
    </dxf>
    <dxf>
      <fill>
        <patternFill patternType="lightTrellis"/>
      </fill>
    </dxf>
    <dxf>
      <fill>
        <patternFill patternType="lightTrellis">
          <fgColor auto="1"/>
        </patternFill>
      </fill>
    </dxf>
    <dxf>
      <fill>
        <patternFill>
          <bgColor theme="6"/>
        </patternFill>
      </fill>
    </dxf>
    <dxf>
      <fill>
        <patternFill patternType="darkDown">
          <fgColor rgb="FFFFFF00"/>
          <bgColor auto="1"/>
        </patternFill>
      </fill>
    </dxf>
    <dxf>
      <font>
        <b val="0"/>
        <i val="0"/>
        <strike val="0"/>
        <color theme="1"/>
      </font>
      <fill>
        <patternFill patternType="darkDown">
          <fgColor rgb="FFFFFF00"/>
          <bgColor auto="1"/>
        </patternFill>
      </fill>
    </dxf>
    <dxf>
      <font>
        <b val="0"/>
        <i val="0"/>
        <strike val="0"/>
      </font>
      <fill>
        <patternFill patternType="solid">
          <bgColor theme="6"/>
        </patternFill>
      </fill>
    </dxf>
    <dxf>
      <font>
        <b val="0"/>
        <i val="0"/>
        <strike val="0"/>
        <color theme="1"/>
      </font>
      <fill>
        <patternFill patternType="darkDown">
          <fgColor rgb="FFFFFF00"/>
          <bgColor auto="1"/>
        </patternFill>
      </fill>
    </dxf>
    <dxf>
      <font>
        <b/>
        <i val="0"/>
        <strike val="0"/>
        <color rgb="FFFFFF00"/>
      </font>
      <fill>
        <patternFill>
          <bgColor rgb="FFFF0000"/>
        </patternFill>
      </fill>
    </dxf>
    <dxf>
      <font>
        <b/>
        <i val="0"/>
        <strike val="0"/>
        <color rgb="FFFFFF00"/>
      </font>
      <fill>
        <patternFill>
          <bgColor rgb="FFFF0000"/>
        </patternFill>
      </fill>
    </dxf>
    <dxf>
      <fill>
        <patternFill>
          <bgColor rgb="FFFF0000"/>
        </patternFill>
      </fill>
    </dxf>
    <dxf>
      <fill>
        <patternFill patternType="solid">
          <bgColor theme="6"/>
        </patternFill>
      </fill>
    </dxf>
    <dxf>
      <fill>
        <patternFill>
          <bgColor rgb="FFFFFF00"/>
        </patternFill>
      </fill>
      <border>
        <left style="thin">
          <color theme="4"/>
        </left>
        <right style="thin">
          <color theme="4"/>
        </right>
        <bottom style="thin">
          <color theme="4"/>
        </bottom>
        <vertical/>
        <horizontal/>
      </border>
    </dxf>
    <dxf>
      <fill>
        <patternFill>
          <bgColor rgb="FFFFFF00"/>
        </patternFill>
      </fill>
      <border>
        <left style="thin">
          <color theme="4"/>
        </left>
        <right style="thin">
          <color theme="4"/>
        </right>
        <vertical/>
        <horizontal/>
      </border>
    </dxf>
    <dxf>
      <fill>
        <patternFill>
          <bgColor rgb="FFFFFF00"/>
        </patternFill>
      </fill>
      <border>
        <left style="thin">
          <color theme="4"/>
        </left>
        <right style="thin">
          <color theme="4"/>
        </right>
        <vertical/>
        <horizontal/>
      </border>
    </dxf>
    <dxf>
      <fill>
        <patternFill patternType="solid">
          <bgColor theme="6"/>
        </patternFill>
      </fill>
    </dxf>
    <dxf>
      <fill>
        <patternFill patternType="darkDown">
          <fgColor rgb="FFFFFF00"/>
          <bgColor auto="1"/>
        </patternFill>
      </fill>
    </dxf>
    <dxf>
      <fill>
        <patternFill patternType="mediumGray">
          <fgColor theme="3" tint="0.79998168889431442"/>
          <bgColor auto="1"/>
        </patternFill>
      </fill>
    </dxf>
    <dxf>
      <fill>
        <patternFill patternType="darkDown">
          <fgColor rgb="FFFFFF00"/>
          <bgColor auto="1"/>
        </patternFill>
      </fill>
    </dxf>
    <dxf>
      <fill>
        <patternFill patternType="solid">
          <bgColor theme="6"/>
        </patternFill>
      </fill>
    </dxf>
    <dxf>
      <font>
        <strike val="0"/>
        <color theme="1"/>
      </font>
      <fill>
        <patternFill patternType="darkDown">
          <fgColor rgb="FFFFFF00"/>
          <bgColor theme="0"/>
        </patternFill>
      </fill>
      <border>
        <left style="thin">
          <color theme="0" tint="-0.14996795556505021"/>
        </left>
        <right style="thin">
          <color theme="0" tint="-0.14996795556505021"/>
        </right>
        <vertical/>
        <horizontal/>
      </border>
    </dxf>
    <dxf>
      <font>
        <color theme="1"/>
      </font>
      <fill>
        <patternFill patternType="solid">
          <bgColor theme="6"/>
        </patternFill>
      </fill>
      <border>
        <left style="thin">
          <color theme="0" tint="-0.14996795556505021"/>
        </left>
        <right style="thin">
          <color theme="0" tint="-0.14996795556505021"/>
        </right>
      </border>
    </dxf>
    <dxf>
      <fill>
        <patternFill patternType="solid">
          <bgColor theme="6"/>
        </patternFill>
      </fill>
    </dxf>
    <dxf>
      <fill>
        <patternFill patternType="darkDown">
          <fgColor rgb="FFFFFF00"/>
        </patternFill>
      </fill>
    </dxf>
    <dxf>
      <fill>
        <patternFill patternType="solid">
          <bgColor theme="6"/>
        </patternFill>
      </fill>
    </dxf>
    <dxf>
      <fill>
        <patternFill patternType="darkDown">
          <fgColor rgb="FFFFFF00"/>
          <bgColor auto="1"/>
        </patternFill>
      </fill>
    </dxf>
    <dxf>
      <font>
        <strike val="0"/>
        <color theme="1"/>
      </font>
      <fill>
        <patternFill patternType="solid">
          <bgColor theme="6"/>
        </patternFill>
      </fill>
    </dxf>
    <dxf>
      <font>
        <color theme="1"/>
      </font>
      <fill>
        <patternFill patternType="solid">
          <bgColor theme="6"/>
        </patternFill>
      </fill>
    </dxf>
    <dxf>
      <font>
        <color theme="1"/>
      </font>
      <fill>
        <patternFill patternType="solid">
          <bgColor theme="6"/>
        </patternFill>
      </fill>
      <border>
        <right style="thin">
          <color theme="0" tint="-0.14996795556505021"/>
        </right>
      </border>
    </dxf>
    <dxf>
      <font>
        <color theme="1"/>
      </font>
      <fill>
        <patternFill patternType="darkDown">
          <fgColor rgb="FFFFFF00"/>
          <bgColor theme="0"/>
        </patternFill>
      </fill>
      <border>
        <right style="thin">
          <color theme="0" tint="-0.14996795556505021"/>
        </right>
        <bottom style="thin">
          <color rgb="FF006666"/>
        </bottom>
        <vertical/>
        <horizontal/>
      </border>
    </dxf>
    <dxf>
      <font>
        <color theme="1"/>
      </font>
      <fill>
        <patternFill patternType="solid">
          <bgColor theme="6"/>
        </patternFill>
      </fill>
      <border>
        <right style="thin">
          <color theme="0" tint="-0.14996795556505021"/>
        </right>
        <bottom style="thin">
          <color rgb="FF006666"/>
        </bottom>
        <vertical/>
        <horizontal/>
      </border>
    </dxf>
    <dxf>
      <font>
        <color theme="1"/>
      </font>
      <fill>
        <patternFill patternType="darkDown">
          <fgColor rgb="FFFFFF00"/>
          <bgColor theme="0"/>
        </patternFill>
      </fill>
      <border>
        <right style="thin">
          <color theme="0" tint="-0.14996795556505021"/>
        </right>
        <vertical/>
        <horizontal/>
      </border>
    </dxf>
    <dxf>
      <font>
        <color theme="1"/>
      </font>
      <fill>
        <patternFill patternType="solid">
          <bgColor theme="6"/>
        </patternFill>
      </fill>
      <border>
        <right style="thin">
          <color theme="0" tint="-0.14996795556505021"/>
        </right>
        <vertical/>
        <horizontal/>
      </border>
    </dxf>
    <dxf>
      <font>
        <strike val="0"/>
        <color theme="1"/>
      </font>
      <fill>
        <patternFill patternType="darkDown">
          <fgColor rgb="FFFFFF00"/>
          <bgColor theme="0"/>
        </patternFill>
      </fill>
      <border>
        <right style="thin">
          <color theme="0" tint="-0.14996795556505021"/>
        </right>
        <top style="thin">
          <color theme="0" tint="-0.14996795556505021"/>
        </top>
      </border>
    </dxf>
    <dxf>
      <font>
        <strike val="0"/>
        <color theme="1"/>
      </font>
      <fill>
        <patternFill patternType="solid">
          <bgColor theme="6"/>
        </patternFill>
      </fill>
      <border>
        <right style="thin">
          <color theme="0" tint="-0.14996795556505021"/>
        </right>
        <top style="thin">
          <color theme="0" tint="-0.14996795556505021"/>
        </top>
      </border>
    </dxf>
    <dxf>
      <font>
        <color theme="1"/>
      </font>
      <fill>
        <patternFill>
          <bgColor theme="6"/>
        </patternFill>
      </fill>
      <border>
        <bottom style="thin">
          <color theme="1"/>
        </bottom>
        <vertical/>
        <horizontal/>
      </border>
    </dxf>
    <dxf>
      <fill>
        <patternFill>
          <bgColor theme="6"/>
        </patternFill>
      </fill>
      <border>
        <bottom style="thin">
          <color theme="0" tint="-0.499984740745262"/>
        </bottom>
        <vertical/>
        <horizontal/>
      </border>
    </dxf>
    <dxf>
      <font>
        <strike val="0"/>
        <color theme="1"/>
      </font>
      <fill>
        <patternFill>
          <bgColor theme="6"/>
        </patternFill>
      </fill>
    </dxf>
    <dxf>
      <font>
        <color theme="1"/>
      </font>
      <fill>
        <patternFill>
          <bgColor theme="6"/>
        </patternFill>
      </fill>
    </dxf>
    <dxf>
      <font>
        <color theme="1"/>
      </font>
      <fill>
        <patternFill>
          <bgColor theme="6"/>
        </patternFill>
      </fill>
      <border>
        <bottom style="thin">
          <color theme="0" tint="-0.499984740745262"/>
        </bottom>
        <vertical/>
        <horizontal/>
      </border>
    </dxf>
    <dxf>
      <fill>
        <patternFill>
          <bgColor theme="6"/>
        </patternFill>
      </fill>
    </dxf>
    <dxf>
      <font>
        <b/>
        <i val="0"/>
        <color rgb="FFFFFF00"/>
      </font>
      <fill>
        <patternFill>
          <bgColor rgb="FFFF0000"/>
        </patternFill>
      </fill>
      <border>
        <left style="thin">
          <color theme="4"/>
        </left>
        <right style="thin">
          <color theme="4"/>
        </right>
        <top style="thin">
          <color theme="4"/>
        </top>
        <bottom style="thin">
          <color theme="4"/>
        </bottom>
        <vertical/>
        <horizontal/>
      </border>
    </dxf>
    <dxf>
      <font>
        <b/>
        <i val="0"/>
        <color rgb="FFFFFF00"/>
      </font>
      <fill>
        <patternFill>
          <bgColor rgb="FFFF0000"/>
        </patternFill>
      </fill>
      <border>
        <left style="thin">
          <color theme="4"/>
        </left>
        <right style="thin">
          <color theme="4"/>
        </right>
        <top style="thin">
          <color theme="4"/>
        </top>
        <bottom style="thin">
          <color theme="4"/>
        </bottom>
        <vertical/>
        <horizontal/>
      </border>
    </dxf>
    <dxf>
      <fill>
        <patternFill>
          <bgColor rgb="FFFFFF00"/>
        </patternFill>
      </fill>
      <border>
        <left style="thin">
          <color rgb="FF0070C0"/>
        </left>
        <right style="thin">
          <color rgb="FF0070C0"/>
        </right>
        <top style="thin">
          <color rgb="FF0070C0"/>
        </top>
        <bottom style="thin">
          <color rgb="FF0070C0"/>
        </bottom>
        <vertical/>
        <horizontal/>
      </border>
    </dxf>
    <dxf>
      <fill>
        <patternFill>
          <bgColor rgb="FFFFFF00"/>
        </patternFill>
      </fill>
      <border>
        <left style="thin">
          <color rgb="FF0070C0"/>
        </left>
        <right style="thin">
          <color rgb="FF0070C0"/>
        </right>
        <top style="thin">
          <color rgb="FF0070C0"/>
        </top>
        <bottom style="thin">
          <color rgb="FF0070C0"/>
        </bottom>
        <vertical/>
        <horizontal/>
      </border>
    </dxf>
    <dxf>
      <fill>
        <patternFill>
          <bgColor rgb="FFFFFF00"/>
        </patternFill>
      </fill>
      <border>
        <left style="thin">
          <color rgb="FF0070C0"/>
        </left>
        <right style="thin">
          <color rgb="FF0070C0"/>
        </right>
        <top style="thin">
          <color theme="1"/>
        </top>
        <bottom style="thin">
          <color rgb="FF0070C0"/>
        </bottom>
        <vertical/>
        <horizontal/>
      </border>
    </dxf>
    <dxf>
      <fill>
        <patternFill>
          <bgColor rgb="FFFFFF00"/>
        </patternFill>
      </fill>
      <border>
        <left style="thin">
          <color rgb="FF0070C0"/>
        </left>
        <right style="thin">
          <color rgb="FF0070C0"/>
        </right>
        <top style="thin">
          <color theme="1"/>
        </top>
        <bottom style="thin">
          <color theme="1"/>
        </bottom>
        <vertical/>
        <horizontal/>
      </border>
    </dxf>
    <dxf>
      <fill>
        <patternFill>
          <bgColor rgb="FFFFFF00"/>
        </patternFill>
      </fill>
      <border>
        <left style="thin">
          <color rgb="FF0070C0"/>
        </left>
        <right style="thin">
          <color rgb="FF0070C0"/>
        </right>
        <top style="thin">
          <color theme="1"/>
        </top>
        <bottom style="thin">
          <color rgb="FF0070C0"/>
        </bottom>
        <vertical/>
        <horizontal/>
      </border>
    </dxf>
    <dxf>
      <fill>
        <patternFill>
          <bgColor rgb="FFFFFF00"/>
        </patternFill>
      </fill>
      <border>
        <left style="thin">
          <color rgb="FF0070C0"/>
        </left>
        <right style="thin">
          <color rgb="FF0070C0"/>
        </right>
        <top style="thin">
          <color rgb="FF0070C0"/>
        </top>
        <bottom style="thin">
          <color theme="1"/>
        </bottom>
        <vertical/>
        <horizontal/>
      </border>
    </dxf>
    <dxf>
      <fill>
        <patternFill>
          <bgColor rgb="FFFF0000"/>
        </patternFill>
      </fill>
    </dxf>
    <dxf>
      <fill>
        <patternFill>
          <bgColor rgb="FFFF0000"/>
        </patternFill>
      </fill>
    </dxf>
    <dxf>
      <fill>
        <patternFill>
          <bgColor rgb="FFFFFF00"/>
        </patternFill>
      </fill>
      <border>
        <left style="thin">
          <color rgb="FF0070C0"/>
        </left>
        <right style="thin">
          <color rgb="FF0070C0"/>
        </right>
        <top style="thin">
          <color rgb="FF0070C0"/>
        </top>
        <bottom style="thin">
          <color theme="1"/>
        </bottom>
        <vertical/>
        <horizontal/>
      </border>
    </dxf>
    <dxf>
      <fill>
        <patternFill>
          <bgColor rgb="FFFF0000"/>
        </patternFill>
      </fill>
    </dxf>
    <dxf>
      <fill>
        <patternFill>
          <bgColor rgb="FFFF0000"/>
        </patternFill>
      </fill>
    </dxf>
    <dxf>
      <font>
        <color theme="1"/>
      </font>
      <fill>
        <patternFill>
          <bgColor theme="6"/>
        </patternFill>
      </fill>
    </dxf>
    <dxf>
      <fill>
        <patternFill>
          <bgColor rgb="FFFFFF00"/>
        </patternFill>
      </fill>
    </dxf>
    <dxf>
      <fill>
        <patternFill>
          <bgColor rgb="FFFFFF00"/>
        </patternFill>
      </fill>
    </dxf>
    <dxf>
      <font>
        <b/>
        <i val="0"/>
        <color rgb="FFFFFF00"/>
      </font>
      <fill>
        <patternFill>
          <bgColor rgb="FFFF0000"/>
        </patternFill>
      </fill>
      <border>
        <left style="thin">
          <color rgb="FF0070C0"/>
        </left>
        <right style="thin">
          <color rgb="FF0070C0"/>
        </right>
        <top style="thin">
          <color rgb="FF0070C0"/>
        </top>
        <bottom style="thin">
          <color rgb="FF0070C0"/>
        </bottom>
        <vertical/>
        <horizontal/>
      </border>
    </dxf>
    <dxf>
      <fill>
        <patternFill>
          <bgColor rgb="FFFFFF00"/>
        </patternFill>
      </fill>
      <border>
        <left style="thin">
          <color rgb="FF0070C0"/>
        </left>
        <right style="thin">
          <color rgb="FF0070C0"/>
        </right>
        <top style="thin">
          <color theme="1"/>
        </top>
        <bottom style="thin">
          <color theme="1"/>
        </bottom>
        <vertical/>
        <horizontal/>
      </border>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ill>
        <patternFill patternType="darkDown">
          <fgColor theme="0"/>
          <bgColor rgb="FFFFFF00"/>
        </patternFill>
      </fill>
    </dxf>
    <dxf>
      <font>
        <b/>
        <i val="0"/>
        <strike val="0"/>
        <color rgb="FFC00000"/>
      </font>
      <fill>
        <patternFill patternType="solid">
          <bgColor rgb="FFFFFF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bgColor rgb="FFFF0000"/>
        </patternFill>
      </fill>
    </dxf>
    <dxf>
      <fill>
        <patternFill patternType="lightTrellis">
          <fgColor theme="1"/>
        </patternFill>
      </fill>
      <border>
        <left style="thin">
          <color auto="1"/>
        </left>
        <right style="thin">
          <color auto="1"/>
        </right>
        <top style="thin">
          <color auto="1"/>
        </top>
        <bottom style="thin">
          <color auto="1"/>
        </bottom>
        <vertical/>
        <horizontal/>
      </border>
    </dxf>
    <dxf>
      <font>
        <b/>
        <i val="0"/>
        <strike val="0"/>
        <color rgb="FFFFFF00"/>
      </font>
      <fill>
        <patternFill patternType="solid">
          <bgColor rgb="FFFF0000"/>
        </patternFill>
      </fill>
    </dxf>
    <dxf>
      <font>
        <b/>
        <i val="0"/>
        <color rgb="FF0D776E"/>
      </font>
    </dxf>
    <dxf>
      <font>
        <b/>
        <i val="0"/>
        <color rgb="FFFF0000"/>
      </font>
    </dxf>
    <dxf>
      <fill>
        <patternFill>
          <bgColor theme="6"/>
        </patternFill>
      </fill>
    </dxf>
    <dxf>
      <fill>
        <patternFill>
          <bgColor theme="6"/>
        </patternFill>
      </fill>
    </dxf>
    <dxf>
      <fill>
        <patternFill patternType="darkDown">
          <fgColor rgb="FFFFFF00"/>
          <bgColor auto="1"/>
        </patternFill>
      </fill>
    </dxf>
    <dxf>
      <fill>
        <patternFill patternType="darkDown">
          <fgColor rgb="FFFFFF00"/>
          <bgColor auto="1"/>
        </patternFill>
      </fill>
      <border>
        <right style="thin">
          <color theme="0" tint="-0.14996795556505021"/>
        </right>
        <vertical/>
        <horizontal/>
      </border>
    </dxf>
    <dxf>
      <fill>
        <patternFill patternType="solid">
          <bgColor theme="6"/>
        </patternFill>
      </fill>
      <border>
        <right/>
      </border>
    </dxf>
    <dxf>
      <fill>
        <patternFill patternType="darkDown">
          <fgColor rgb="FFFFFF00"/>
          <bgColor auto="1"/>
        </patternFill>
      </fill>
      <border>
        <left style="thin">
          <color theme="4"/>
        </left>
        <right style="thin">
          <color theme="0" tint="-0.14996795556505021"/>
        </right>
        <top style="thin">
          <color theme="0" tint="-0.14996795556505021"/>
        </top>
        <bottom style="thin">
          <color theme="1"/>
        </bottom>
        <vertical/>
        <horizontal/>
      </border>
    </dxf>
    <dxf>
      <fill>
        <patternFill patternType="solid">
          <bgColor theme="6"/>
        </patternFill>
      </fill>
      <border>
        <right/>
        <top/>
      </border>
    </dxf>
    <dxf>
      <font>
        <color theme="1"/>
      </font>
      <fill>
        <patternFill>
          <bgColor theme="6"/>
        </patternFill>
      </fill>
      <border>
        <bottom style="thin">
          <color theme="0" tint="-0.499984740745262"/>
        </bottom>
      </border>
    </dxf>
    <dxf>
      <font>
        <color theme="1"/>
      </font>
      <fill>
        <patternFill>
          <bgColor theme="6"/>
        </patternFill>
      </fill>
    </dxf>
    <dxf>
      <font>
        <color theme="1"/>
      </font>
      <fill>
        <patternFill>
          <bgColor theme="6"/>
        </patternFill>
      </fill>
    </dxf>
    <dxf>
      <font>
        <color theme="1"/>
      </font>
      <fill>
        <patternFill>
          <bgColor theme="6"/>
        </patternFill>
      </fill>
    </dxf>
    <dxf>
      <font>
        <color theme="1"/>
      </font>
      <fill>
        <patternFill>
          <bgColor theme="6"/>
        </patternFill>
      </fill>
      <border>
        <bottom style="thin">
          <color theme="0" tint="-0.499984740745262"/>
        </bottom>
        <vertical/>
        <horizontal/>
      </border>
    </dxf>
    <dxf>
      <font>
        <color theme="1"/>
      </font>
      <fill>
        <patternFill>
          <bgColor theme="6"/>
        </patternFill>
      </fill>
    </dxf>
    <dxf>
      <font>
        <color theme="1"/>
      </font>
      <fill>
        <patternFill>
          <bgColor theme="6"/>
        </patternFill>
      </fill>
    </dxf>
    <dxf>
      <font>
        <color theme="1"/>
      </font>
      <fill>
        <patternFill>
          <bgColor theme="6"/>
        </patternFill>
      </fill>
    </dxf>
    <dxf>
      <font>
        <color theme="1"/>
      </font>
      <fill>
        <patternFill>
          <bgColor theme="6"/>
        </patternFill>
      </fill>
    </dxf>
    <dxf>
      <font>
        <color theme="1"/>
      </font>
      <fill>
        <patternFill>
          <bgColor theme="6"/>
        </patternFill>
      </fill>
    </dxf>
    <dxf>
      <font>
        <color theme="1"/>
      </font>
      <fill>
        <patternFill>
          <bgColor theme="6"/>
        </patternFill>
      </fill>
    </dxf>
    <dxf>
      <font>
        <color theme="1"/>
      </font>
      <fill>
        <patternFill>
          <bgColor theme="6"/>
        </patternFill>
      </fill>
    </dxf>
    <dxf>
      <font>
        <color theme="1"/>
      </font>
      <fill>
        <patternFill>
          <bgColor theme="6"/>
        </patternFill>
      </fill>
    </dxf>
    <dxf>
      <font>
        <color theme="1"/>
      </font>
      <fill>
        <patternFill>
          <bgColor theme="6"/>
        </patternFill>
      </fill>
      <border>
        <bottom style="thin">
          <color theme="0" tint="-0.499984740745262"/>
        </bottom>
        <vertical/>
        <horizontal/>
      </border>
    </dxf>
    <dxf>
      <font>
        <color auto="1"/>
      </font>
      <fill>
        <patternFill patternType="darkDown">
          <fgColor rgb="FFFFFF00"/>
          <bgColor auto="1"/>
        </patternFill>
      </fill>
      <border>
        <right/>
        <top style="thin">
          <color auto="1"/>
        </top>
        <bottom style="thin">
          <color auto="1"/>
        </bottom>
        <vertical/>
        <horizontal/>
      </border>
    </dxf>
    <dxf>
      <font>
        <color theme="1"/>
      </font>
      <fill>
        <patternFill patternType="solid">
          <bgColor theme="6"/>
        </patternFill>
      </fill>
    </dxf>
    <dxf>
      <font>
        <strike val="0"/>
        <color theme="1"/>
      </font>
      <fill>
        <patternFill>
          <bgColor theme="6"/>
        </patternFill>
      </fill>
    </dxf>
    <dxf>
      <font>
        <color theme="1"/>
      </font>
      <fill>
        <patternFill>
          <bgColor theme="6"/>
        </patternFill>
      </fill>
    </dxf>
    <dxf>
      <font>
        <color theme="1"/>
      </font>
      <fill>
        <patternFill>
          <bgColor theme="6"/>
        </patternFill>
      </fill>
    </dxf>
    <dxf>
      <font>
        <color theme="1"/>
      </font>
      <fill>
        <patternFill>
          <bgColor theme="6"/>
        </patternFill>
      </fill>
      <border>
        <bottom style="thin">
          <color theme="0" tint="-0.499984740745262"/>
        </bottom>
      </border>
    </dxf>
    <dxf>
      <fill>
        <patternFill>
          <bgColor theme="6"/>
        </patternFill>
      </fill>
    </dxf>
    <dxf>
      <fill>
        <patternFill>
          <bgColor theme="6"/>
        </patternFill>
      </fill>
    </dxf>
    <dxf>
      <fill>
        <patternFill>
          <bgColor theme="6"/>
        </patternFill>
      </fill>
    </dxf>
    <dxf>
      <fill>
        <patternFill>
          <bgColor theme="6"/>
        </patternFill>
      </fill>
      <border>
        <bottom style="thin">
          <color theme="0" tint="-0.499984740745262"/>
        </bottom>
        <vertical/>
        <horizontal/>
      </border>
    </dxf>
    <dxf>
      <font>
        <b/>
        <i val="0"/>
        <color rgb="FFFFFF00"/>
      </font>
      <fill>
        <patternFill>
          <bgColor rgb="FFFF0000"/>
        </patternFill>
      </fill>
      <border>
        <left style="thin">
          <color theme="4"/>
        </left>
        <right style="thin">
          <color theme="4"/>
        </right>
        <top style="thin">
          <color theme="4"/>
        </top>
        <bottom style="thin">
          <color theme="4"/>
        </bottom>
        <vertical/>
        <horizontal/>
      </border>
    </dxf>
    <dxf>
      <font>
        <b/>
        <i val="0"/>
        <strike val="0"/>
        <color rgb="FFFFFF00"/>
      </font>
      <fill>
        <patternFill>
          <bgColor rgb="FFFF0000"/>
        </patternFill>
      </fill>
      <border>
        <left style="thin">
          <color theme="4"/>
        </left>
        <right style="thin">
          <color theme="4"/>
        </right>
        <top style="thin">
          <color theme="4"/>
        </top>
        <bottom style="thin">
          <color theme="4"/>
        </bottom>
        <vertical/>
        <horizontal/>
      </border>
    </dxf>
    <dxf>
      <font>
        <b/>
        <i val="0"/>
        <strike val="0"/>
        <color rgb="FFFFFF00"/>
      </font>
      <fill>
        <patternFill>
          <bgColor rgb="FFFF0000"/>
        </patternFill>
      </fill>
      <border>
        <left style="thin">
          <color theme="4"/>
        </left>
        <right style="thin">
          <color theme="4"/>
        </right>
        <top style="thin">
          <color theme="4"/>
        </top>
        <bottom style="thin">
          <color theme="4"/>
        </bottom>
        <vertical/>
        <horizontal/>
      </border>
    </dxf>
    <dxf>
      <font>
        <b/>
        <i val="0"/>
        <strike val="0"/>
        <color rgb="FFFFFF00"/>
      </font>
      <fill>
        <patternFill>
          <bgColor rgb="FFFF0000"/>
        </patternFill>
      </fill>
      <border>
        <left style="thin">
          <color theme="4"/>
        </left>
        <right style="thin">
          <color theme="4"/>
        </right>
        <top style="thin">
          <color theme="4"/>
        </top>
        <bottom style="thin">
          <color theme="4"/>
        </bottom>
        <vertical/>
        <horizontal/>
      </border>
    </dxf>
    <dxf>
      <font>
        <b/>
        <i val="0"/>
        <strike val="0"/>
        <color rgb="FFC00000"/>
      </font>
      <fill>
        <patternFill>
          <bgColor rgb="FFFFFF00"/>
        </patternFill>
      </fill>
      <border>
        <left style="thin">
          <color rgb="FFC00000"/>
        </left>
        <right style="thin">
          <color rgb="FFC00000"/>
        </right>
        <top style="thin">
          <color rgb="FFC00000"/>
        </top>
        <bottom style="thin">
          <color rgb="FFC00000"/>
        </bottom>
      </border>
    </dxf>
    <dxf>
      <font>
        <color theme="1"/>
      </font>
      <fill>
        <patternFill>
          <bgColor theme="6"/>
        </patternFill>
      </fill>
    </dxf>
    <dxf>
      <font>
        <color theme="1"/>
      </font>
      <fill>
        <patternFill>
          <bgColor theme="6"/>
        </patternFill>
      </fill>
    </dxf>
    <dxf>
      <font>
        <color theme="1"/>
      </font>
      <fill>
        <patternFill>
          <bgColor theme="6"/>
        </patternFill>
      </fill>
    </dxf>
    <dxf>
      <font>
        <color theme="1"/>
      </font>
      <fill>
        <patternFill>
          <bgColor theme="6"/>
        </patternFill>
      </fill>
    </dxf>
    <dxf>
      <font>
        <color theme="1"/>
      </font>
      <fill>
        <patternFill>
          <bgColor theme="6"/>
        </patternFill>
      </fill>
      <border>
        <bottom style="thin">
          <color theme="0" tint="-0.499984740745262"/>
        </bottom>
        <vertical/>
        <horizontal/>
      </border>
    </dxf>
    <dxf>
      <font>
        <color theme="1"/>
      </font>
      <fill>
        <patternFill>
          <bgColor theme="6"/>
        </patternFill>
      </fill>
    </dxf>
    <dxf>
      <font>
        <color theme="1"/>
      </font>
      <fill>
        <patternFill>
          <bgColor theme="6"/>
        </patternFill>
      </fill>
    </dxf>
    <dxf>
      <font>
        <color theme="1"/>
      </font>
      <fill>
        <patternFill>
          <bgColor theme="6"/>
        </patternFill>
      </fill>
    </dxf>
    <dxf>
      <font>
        <color theme="1"/>
      </font>
      <fill>
        <patternFill>
          <bgColor theme="6"/>
        </patternFill>
      </fill>
    </dxf>
    <dxf>
      <font>
        <color theme="1"/>
      </font>
      <fill>
        <patternFill>
          <bgColor theme="6"/>
        </patternFill>
      </fill>
    </dxf>
    <dxf>
      <font>
        <color theme="1"/>
      </font>
      <fill>
        <patternFill>
          <bgColor theme="6"/>
        </patternFill>
      </fill>
    </dxf>
    <dxf>
      <font>
        <color theme="1"/>
      </font>
      <fill>
        <patternFill>
          <bgColor theme="6"/>
        </patternFill>
      </fill>
    </dxf>
    <dxf>
      <font>
        <color theme="1"/>
      </font>
      <fill>
        <patternFill>
          <bgColor theme="6"/>
        </patternFill>
      </fill>
    </dxf>
    <dxf>
      <font>
        <color theme="1"/>
      </font>
      <fill>
        <patternFill>
          <bgColor theme="6"/>
        </patternFill>
      </fill>
      <border>
        <bottom style="thin">
          <color theme="0" tint="-0.499984740745262"/>
        </bottom>
        <vertical/>
        <horizontal/>
      </border>
    </dxf>
    <dxf>
      <font>
        <strike val="0"/>
        <color theme="1"/>
      </font>
      <fill>
        <patternFill>
          <bgColor theme="6"/>
        </patternFill>
      </fill>
    </dxf>
    <dxf>
      <font>
        <color theme="1"/>
      </font>
      <fill>
        <patternFill>
          <bgColor theme="6"/>
        </patternFill>
      </fill>
    </dxf>
    <dxf>
      <font>
        <strike val="0"/>
        <color theme="1"/>
      </font>
      <fill>
        <patternFill>
          <bgColor theme="6"/>
        </patternFill>
      </fill>
    </dxf>
    <dxf>
      <font>
        <strike val="0"/>
        <color theme="1"/>
      </font>
      <fill>
        <patternFill>
          <bgColor theme="6"/>
        </patternFill>
      </fill>
    </dxf>
    <dxf>
      <font>
        <strike val="0"/>
        <color theme="1"/>
      </font>
      <fill>
        <patternFill>
          <bgColor theme="6"/>
        </patternFill>
      </fill>
    </dxf>
    <dxf>
      <font>
        <strike val="0"/>
        <color theme="1"/>
      </font>
      <fill>
        <patternFill>
          <bgColor theme="6"/>
        </patternFill>
      </fill>
    </dxf>
    <dxf>
      <font>
        <strike val="0"/>
        <color theme="1"/>
      </font>
      <fill>
        <patternFill>
          <bgColor theme="6"/>
        </patternFill>
      </fill>
    </dxf>
    <dxf>
      <font>
        <strike val="0"/>
        <color theme="1"/>
      </font>
      <fill>
        <patternFill>
          <bgColor theme="6"/>
        </patternFill>
      </fill>
      <border>
        <top style="thin">
          <color auto="1"/>
        </top>
        <bottom style="thin">
          <color theme="0" tint="-0.499984740745262"/>
        </bottom>
        <vertical/>
        <horizontal/>
      </border>
    </dxf>
    <dxf>
      <font>
        <strike val="0"/>
        <color theme="1"/>
      </font>
      <fill>
        <patternFill>
          <bgColor theme="6"/>
        </patternFill>
      </fill>
    </dxf>
    <dxf>
      <fill>
        <patternFill patternType="darkDown">
          <fgColor rgb="FFFFFF00"/>
        </patternFill>
      </fill>
    </dxf>
    <dxf>
      <font>
        <strike val="0"/>
        <color theme="1"/>
      </font>
      <fill>
        <patternFill patternType="solid">
          <bgColor theme="6"/>
        </patternFill>
      </fill>
    </dxf>
    <dxf>
      <font>
        <strike val="0"/>
        <color theme="1"/>
      </font>
      <fill>
        <patternFill>
          <bgColor theme="6"/>
        </patternFill>
      </fill>
    </dxf>
    <dxf>
      <font>
        <strike val="0"/>
        <color theme="1"/>
      </font>
      <fill>
        <patternFill>
          <bgColor theme="6"/>
        </patternFill>
      </fill>
      <border>
        <bottom style="thin">
          <color theme="0" tint="-0.499984740745262"/>
        </bottom>
      </border>
    </dxf>
    <dxf>
      <font>
        <strike val="0"/>
        <color theme="1"/>
      </font>
      <fill>
        <patternFill>
          <bgColor theme="6"/>
        </patternFill>
      </fill>
    </dxf>
    <dxf>
      <font>
        <strike val="0"/>
        <color theme="1"/>
      </font>
      <fill>
        <patternFill>
          <bgColor theme="6"/>
        </patternFill>
      </fill>
    </dxf>
    <dxf>
      <font>
        <color theme="1"/>
      </font>
      <fill>
        <patternFill>
          <bgColor theme="6"/>
        </patternFill>
      </fill>
    </dxf>
    <dxf>
      <font>
        <strike val="0"/>
        <color theme="1"/>
      </font>
      <fill>
        <patternFill>
          <bgColor theme="6"/>
        </patternFill>
      </fill>
    </dxf>
    <dxf>
      <font>
        <strike val="0"/>
        <color theme="1"/>
      </font>
      <fill>
        <patternFill>
          <bgColor theme="6"/>
        </patternFill>
      </fill>
      <border>
        <bottom style="thin">
          <color theme="0" tint="-0.499984740745262"/>
        </bottom>
      </border>
    </dxf>
    <dxf>
      <font>
        <strike val="0"/>
        <color theme="1"/>
      </font>
      <fill>
        <patternFill>
          <bgColor theme="6"/>
        </patternFill>
      </fill>
    </dxf>
    <dxf>
      <font>
        <strike val="0"/>
        <color theme="1"/>
      </font>
      <fill>
        <patternFill>
          <bgColor theme="6"/>
        </patternFill>
      </fill>
    </dxf>
    <dxf>
      <font>
        <strike val="0"/>
        <color theme="1"/>
      </font>
      <fill>
        <patternFill>
          <bgColor theme="6"/>
        </patternFill>
      </fill>
    </dxf>
    <dxf>
      <font>
        <strike val="0"/>
        <color theme="1"/>
      </font>
      <fill>
        <patternFill>
          <bgColor theme="6"/>
        </patternFill>
      </fill>
    </dxf>
    <dxf>
      <font>
        <strike val="0"/>
        <color theme="1"/>
      </font>
      <fill>
        <patternFill>
          <bgColor theme="6"/>
        </patternFill>
      </fill>
    </dxf>
    <dxf>
      <font>
        <strike val="0"/>
        <color theme="1"/>
      </font>
      <fill>
        <patternFill>
          <bgColor theme="6"/>
        </patternFill>
      </fill>
    </dxf>
    <dxf>
      <font>
        <strike val="0"/>
        <color theme="1"/>
      </font>
      <fill>
        <patternFill>
          <bgColor theme="6"/>
        </patternFill>
      </fill>
    </dxf>
    <dxf>
      <font>
        <strike val="0"/>
        <color theme="1"/>
      </font>
      <fill>
        <patternFill>
          <bgColor theme="6"/>
        </patternFill>
      </fill>
    </dxf>
    <dxf>
      <font>
        <strike val="0"/>
        <color theme="1"/>
      </font>
      <fill>
        <patternFill>
          <bgColor theme="6"/>
        </patternFill>
      </fill>
    </dxf>
    <dxf>
      <font>
        <strike val="0"/>
        <color theme="1"/>
      </font>
      <fill>
        <patternFill>
          <bgColor theme="6"/>
        </patternFill>
      </fill>
    </dxf>
    <dxf>
      <font>
        <strike val="0"/>
        <color theme="1"/>
      </font>
      <fill>
        <patternFill>
          <bgColor theme="6"/>
        </patternFill>
      </fill>
    </dxf>
    <dxf>
      <font>
        <strike val="0"/>
        <color theme="1"/>
      </font>
      <fill>
        <patternFill patternType="darkDown">
          <fgColor rgb="FFFFFF00"/>
          <bgColor theme="0"/>
        </patternFill>
      </fill>
      <border>
        <right/>
        <vertical/>
        <horizontal/>
      </border>
    </dxf>
    <dxf>
      <font>
        <strike val="0"/>
        <color theme="1"/>
      </font>
      <fill>
        <patternFill patternType="solid">
          <bgColor theme="6"/>
        </patternFill>
      </fill>
    </dxf>
    <dxf>
      <font>
        <strike val="0"/>
        <color theme="1"/>
      </font>
      <fill>
        <patternFill>
          <bgColor theme="6"/>
        </patternFill>
      </fill>
    </dxf>
    <dxf>
      <font>
        <color theme="1"/>
      </font>
      <fill>
        <patternFill>
          <bgColor theme="6"/>
        </patternFill>
      </fill>
    </dxf>
    <dxf>
      <font>
        <color theme="1"/>
      </font>
      <fill>
        <patternFill>
          <bgColor theme="6"/>
        </patternFill>
      </fill>
    </dxf>
    <dxf>
      <font>
        <color theme="1"/>
      </font>
      <fill>
        <patternFill>
          <bgColor theme="6"/>
        </patternFill>
      </fill>
    </dxf>
    <dxf>
      <font>
        <strike val="0"/>
        <color theme="1"/>
      </font>
      <fill>
        <patternFill>
          <bgColor theme="6"/>
        </patternFill>
      </fill>
    </dxf>
    <dxf>
      <font>
        <strike val="0"/>
        <color theme="1"/>
      </font>
      <fill>
        <patternFill>
          <bgColor theme="6"/>
        </patternFill>
      </fill>
    </dxf>
    <dxf>
      <font>
        <color theme="1"/>
      </font>
      <fill>
        <patternFill>
          <bgColor theme="6"/>
        </patternFill>
      </fill>
    </dxf>
    <dxf>
      <font>
        <strike val="0"/>
        <color theme="1"/>
      </font>
      <fill>
        <patternFill>
          <bgColor theme="6"/>
        </patternFill>
      </fill>
    </dxf>
    <dxf>
      <font>
        <color theme="1"/>
      </font>
      <fill>
        <patternFill>
          <bgColor theme="6"/>
        </patternFill>
      </fill>
    </dxf>
    <dxf>
      <fill>
        <patternFill>
          <bgColor rgb="FFFFFF00"/>
        </patternFill>
      </fill>
    </dxf>
    <dxf>
      <font>
        <b val="0"/>
        <i val="0"/>
        <color theme="1"/>
      </font>
      <fill>
        <patternFill patternType="solid">
          <bgColor theme="0"/>
        </patternFill>
      </fill>
      <border>
        <vertical/>
        <horizontal/>
      </border>
    </dxf>
    <dxf>
      <font>
        <b/>
        <i val="0"/>
        <color rgb="FFFFFF00"/>
      </font>
      <fill>
        <patternFill>
          <bgColor rgb="FFFF0000"/>
        </patternFill>
      </fill>
      <border>
        <left style="thin">
          <color rgb="FF0070C0"/>
        </left>
        <right style="thin">
          <color rgb="FF0070C0"/>
        </right>
        <top style="thin">
          <color rgb="FF0070C0"/>
        </top>
        <bottom style="thin">
          <color rgb="FF0070C0"/>
        </bottom>
        <vertical/>
        <horizontal/>
      </border>
    </dxf>
    <dxf>
      <fill>
        <patternFill>
          <bgColor rgb="FFFFFF00"/>
        </patternFill>
      </fill>
    </dxf>
    <dxf>
      <fill>
        <patternFill patternType="lightTrellis"/>
      </fill>
    </dxf>
    <dxf>
      <fill>
        <patternFill>
          <bgColor rgb="FFFFFF00"/>
        </patternFill>
      </fill>
    </dxf>
    <dxf>
      <font>
        <color rgb="FFFFFF00"/>
      </font>
      <fill>
        <patternFill>
          <bgColor rgb="FFFF00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patternType="lightTrellis"/>
      </fill>
    </dxf>
    <dxf>
      <fill>
        <patternFill>
          <bgColor rgb="FFFFFF00"/>
        </patternFill>
      </fill>
    </dxf>
    <dxf>
      <fill>
        <patternFill>
          <bgColor rgb="FFFFFF00"/>
        </patternFill>
      </fill>
    </dxf>
    <dxf>
      <fill>
        <patternFill patternType="lightTrellis">
          <bgColor theme="4" tint="0.79998168889431442"/>
        </patternFill>
      </fill>
    </dxf>
    <dxf>
      <fill>
        <patternFill>
          <bgColor rgb="FFFFFF00"/>
        </patternFill>
      </fill>
    </dxf>
    <dxf>
      <font>
        <b/>
        <i val="0"/>
        <color rgb="FFFFFF00"/>
      </font>
      <fill>
        <patternFill>
          <bgColor rgb="FFFF0000"/>
        </patternFill>
      </fill>
    </dxf>
    <dxf>
      <font>
        <b val="0"/>
        <i val="0"/>
        <color theme="1"/>
      </font>
      <fill>
        <patternFill patternType="solid">
          <bgColor theme="0"/>
        </patternFill>
      </fill>
      <border>
        <vertical/>
        <horizontal/>
      </border>
    </dxf>
  </dxfs>
  <tableStyles count="0" defaultTableStyle="TableStyleMedium9" defaultPivotStyle="PivotStyleLight16"/>
  <colors>
    <mruColors>
      <color rgb="FF003F72"/>
      <color rgb="FFDCE6F1"/>
      <color rgb="FFFFFFFF"/>
      <color rgb="FFFFFF99"/>
      <color rgb="FF8BBD00"/>
      <color rgb="FFCCECFF"/>
      <color rgb="FF92D050"/>
      <color rgb="FFC5D6F7"/>
      <color rgb="FFC5D9F1"/>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8.gif"/></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3" Type="http://schemas.openxmlformats.org/officeDocument/2006/relationships/image" Target="../media/image6.gif"/><Relationship Id="rId2" Type="http://schemas.openxmlformats.org/officeDocument/2006/relationships/image" Target="../media/image5.gif"/><Relationship Id="rId1" Type="http://schemas.openxmlformats.org/officeDocument/2006/relationships/image" Target="../media/image4.gif"/><Relationship Id="rId6" Type="http://schemas.openxmlformats.org/officeDocument/2006/relationships/image" Target="../media/image1.png"/><Relationship Id="rId5" Type="http://schemas.openxmlformats.org/officeDocument/2006/relationships/image" Target="../media/image8.gif"/><Relationship Id="rId4" Type="http://schemas.openxmlformats.org/officeDocument/2006/relationships/image" Target="../media/image7.jpeg"/></Relationships>
</file>

<file path=xl/drawings/drawing1.xml><?xml version="1.0" encoding="utf-8"?>
<xdr:wsDr xmlns:xdr="http://schemas.openxmlformats.org/drawingml/2006/spreadsheetDrawing" xmlns:a="http://schemas.openxmlformats.org/drawingml/2006/main">
  <xdr:oneCellAnchor>
    <xdr:from>
      <xdr:col>11</xdr:col>
      <xdr:colOff>504537</xdr:colOff>
      <xdr:row>10</xdr:row>
      <xdr:rowOff>1598</xdr:rowOff>
    </xdr:from>
    <xdr:ext cx="184731" cy="937629"/>
    <xdr:sp macro="" textlink="">
      <xdr:nvSpPr>
        <xdr:cNvPr id="4" name="Rectangle 3">
          <a:extLst>
            <a:ext uri="{FF2B5EF4-FFF2-40B4-BE49-F238E27FC236}">
              <a16:creationId xmlns:a16="http://schemas.microsoft.com/office/drawing/2014/main" id="{00000000-0008-0000-0000-000004000000}"/>
            </a:ext>
          </a:extLst>
        </xdr:cNvPr>
        <xdr:cNvSpPr/>
      </xdr:nvSpPr>
      <xdr:spPr>
        <a:xfrm>
          <a:off x="6600537" y="1897073"/>
          <a:ext cx="184731" cy="937629"/>
        </a:xfrm>
        <a:prstGeom prst="rect">
          <a:avLst/>
        </a:prstGeom>
        <a:noFill/>
      </xdr:spPr>
      <xdr:txBody>
        <a:bodyPr wrap="none" lIns="91440" tIns="45720" rIns="91440" bIns="45720">
          <a:spAutoFit/>
        </a:bodyPr>
        <a:lstStyle/>
        <a:p>
          <a:pPr algn="ctr"/>
          <a:endParaRPr lang="en-US" sz="5400" b="1" cap="none" spc="0">
            <a:ln w="12700">
              <a:solidFill>
                <a:schemeClr val="tx2">
                  <a:satMod val="155000"/>
                </a:schemeClr>
              </a:solidFill>
              <a:prstDash val="solid"/>
            </a:ln>
            <a:noFill/>
            <a:effectLst>
              <a:outerShdw blurRad="41275" dist="20320" dir="1800000" algn="tl" rotWithShape="0">
                <a:srgbClr val="000000">
                  <a:alpha val="40000"/>
                </a:srgbClr>
              </a:outerShdw>
            </a:effectLst>
          </a:endParaRPr>
        </a:p>
      </xdr:txBody>
    </xdr:sp>
    <xdr:clientData/>
  </xdr:oneCellAnchor>
  <xdr:twoCellAnchor editAs="oneCell">
    <xdr:from>
      <xdr:col>0</xdr:col>
      <xdr:colOff>619125</xdr:colOff>
      <xdr:row>0</xdr:row>
      <xdr:rowOff>0</xdr:rowOff>
    </xdr:from>
    <xdr:to>
      <xdr:col>5</xdr:col>
      <xdr:colOff>462534</xdr:colOff>
      <xdr:row>2</xdr:row>
      <xdr:rowOff>175870</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1"/>
        <a:stretch>
          <a:fillRect/>
        </a:stretch>
      </xdr:blipFill>
      <xdr:spPr>
        <a:xfrm>
          <a:off x="619125" y="0"/>
          <a:ext cx="2386584" cy="55687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oneCellAnchor>
    <xdr:from>
      <xdr:col>2</xdr:col>
      <xdr:colOff>188096</xdr:colOff>
      <xdr:row>0</xdr:row>
      <xdr:rowOff>142356</xdr:rowOff>
    </xdr:from>
    <xdr:ext cx="184731" cy="843757"/>
    <xdr:sp macro="" textlink="">
      <xdr:nvSpPr>
        <xdr:cNvPr id="3" name="Rectangle 2">
          <a:extLst>
            <a:ext uri="{FF2B5EF4-FFF2-40B4-BE49-F238E27FC236}">
              <a16:creationId xmlns:a16="http://schemas.microsoft.com/office/drawing/2014/main" id="{00000000-0008-0000-0900-000003000000}"/>
            </a:ext>
          </a:extLst>
        </xdr:cNvPr>
        <xdr:cNvSpPr/>
      </xdr:nvSpPr>
      <xdr:spPr>
        <a:xfrm>
          <a:off x="5950721" y="142356"/>
          <a:ext cx="184731" cy="843757"/>
        </a:xfrm>
        <a:prstGeom prst="rect">
          <a:avLst/>
        </a:prstGeom>
        <a:noFill/>
      </xdr:spPr>
      <xdr:txBody>
        <a:bodyPr wrap="none" lIns="91440" tIns="45720" rIns="91440" bIns="45720">
          <a:spAutoFit/>
        </a:bodyPr>
        <a:lstStyle/>
        <a:p>
          <a:pPr algn="ctr"/>
          <a:endParaRPr lang="en-US" sz="4800" b="1" cap="none" spc="0" baseline="0">
            <a:ln w="12700">
              <a:solidFill>
                <a:schemeClr val="tx2">
                  <a:satMod val="155000"/>
                </a:schemeClr>
              </a:solidFill>
              <a:prstDash val="solid"/>
            </a:ln>
            <a:noFill/>
            <a:effectLst>
              <a:outerShdw blurRad="41275" dist="20320" dir="1800000" algn="tl" rotWithShape="0">
                <a:srgbClr val="000000">
                  <a:alpha val="40000"/>
                </a:srgbClr>
              </a:outerShdw>
            </a:effectLst>
          </a:endParaRPr>
        </a:p>
      </xdr:txBody>
    </xdr:sp>
    <xdr:clientData/>
  </xdr:oneCellAnchor>
  <xdr:twoCellAnchor editAs="oneCell">
    <xdr:from>
      <xdr:col>0</xdr:col>
      <xdr:colOff>1123950</xdr:colOff>
      <xdr:row>0</xdr:row>
      <xdr:rowOff>0</xdr:rowOff>
    </xdr:from>
    <xdr:to>
      <xdr:col>0</xdr:col>
      <xdr:colOff>3501596</xdr:colOff>
      <xdr:row>0</xdr:row>
      <xdr:rowOff>554784</xdr:rowOff>
    </xdr:to>
    <xdr:pic>
      <xdr:nvPicPr>
        <xdr:cNvPr id="4" name="Picture 3">
          <a:extLst>
            <a:ext uri="{FF2B5EF4-FFF2-40B4-BE49-F238E27FC236}">
              <a16:creationId xmlns:a16="http://schemas.microsoft.com/office/drawing/2014/main" id="{00000000-0008-0000-0900-000004000000}"/>
            </a:ext>
          </a:extLst>
        </xdr:cNvPr>
        <xdr:cNvPicPr>
          <a:picLocks noChangeAspect="1"/>
        </xdr:cNvPicPr>
      </xdr:nvPicPr>
      <xdr:blipFill>
        <a:blip xmlns:r="http://schemas.openxmlformats.org/officeDocument/2006/relationships" r:embed="rId1"/>
        <a:stretch>
          <a:fillRect/>
        </a:stretch>
      </xdr:blipFill>
      <xdr:spPr>
        <a:xfrm>
          <a:off x="1123950" y="0"/>
          <a:ext cx="2377646" cy="554784"/>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4</xdr:col>
      <xdr:colOff>2571750</xdr:colOff>
      <xdr:row>24</xdr:row>
      <xdr:rowOff>476250</xdr:rowOff>
    </xdr:from>
    <xdr:to>
      <xdr:col>4</xdr:col>
      <xdr:colOff>2724150</xdr:colOff>
      <xdr:row>24</xdr:row>
      <xdr:rowOff>609600</xdr:rowOff>
    </xdr:to>
    <xdr:sp macro="" textlink="">
      <xdr:nvSpPr>
        <xdr:cNvPr id="2" name="Text Box 12">
          <a:extLst>
            <a:ext uri="{FF2B5EF4-FFF2-40B4-BE49-F238E27FC236}">
              <a16:creationId xmlns:a16="http://schemas.microsoft.com/office/drawing/2014/main" id="{00000000-0008-0000-0A00-000002000000}"/>
            </a:ext>
          </a:extLst>
        </xdr:cNvPr>
        <xdr:cNvSpPr txBox="1">
          <a:spLocks noChangeArrowheads="1"/>
        </xdr:cNvSpPr>
      </xdr:nvSpPr>
      <xdr:spPr bwMode="auto">
        <a:xfrm>
          <a:off x="2571750" y="7048500"/>
          <a:ext cx="152400" cy="133350"/>
        </a:xfrm>
        <a:prstGeom prst="rect">
          <a:avLst/>
        </a:prstGeom>
        <a:noFill/>
        <a:ln w="9525">
          <a:noFill/>
          <a:miter lim="800000"/>
          <a:headEnd/>
          <a:tailEnd/>
        </a:ln>
      </xdr:spPr>
    </xdr:sp>
    <xdr:clientData/>
  </xdr:twoCellAnchor>
  <xdr:twoCellAnchor>
    <xdr:from>
      <xdr:col>4</xdr:col>
      <xdr:colOff>219075</xdr:colOff>
      <xdr:row>24</xdr:row>
      <xdr:rowOff>1181100</xdr:rowOff>
    </xdr:from>
    <xdr:to>
      <xdr:col>4</xdr:col>
      <xdr:colOff>371475</xdr:colOff>
      <xdr:row>24</xdr:row>
      <xdr:rowOff>1314450</xdr:rowOff>
    </xdr:to>
    <xdr:sp macro="" textlink="">
      <xdr:nvSpPr>
        <xdr:cNvPr id="3" name="Text Box 17">
          <a:extLst>
            <a:ext uri="{FF2B5EF4-FFF2-40B4-BE49-F238E27FC236}">
              <a16:creationId xmlns:a16="http://schemas.microsoft.com/office/drawing/2014/main" id="{00000000-0008-0000-0A00-000003000000}"/>
            </a:ext>
          </a:extLst>
        </xdr:cNvPr>
        <xdr:cNvSpPr txBox="1">
          <a:spLocks noChangeArrowheads="1"/>
        </xdr:cNvSpPr>
      </xdr:nvSpPr>
      <xdr:spPr bwMode="auto">
        <a:xfrm>
          <a:off x="219075" y="7219950"/>
          <a:ext cx="152400" cy="0"/>
        </a:xfrm>
        <a:prstGeom prst="rect">
          <a:avLst/>
        </a:prstGeom>
        <a:noFill/>
        <a:ln w="9525">
          <a:noFill/>
          <a:miter lim="800000"/>
          <a:headEnd/>
          <a:tailEnd/>
        </a:ln>
      </xdr:spPr>
    </xdr:sp>
    <xdr:clientData/>
  </xdr:twoCellAnchor>
  <xdr:twoCellAnchor>
    <xdr:from>
      <xdr:col>4</xdr:col>
      <xdr:colOff>2571750</xdr:colOff>
      <xdr:row>23</xdr:row>
      <xdr:rowOff>476250</xdr:rowOff>
    </xdr:from>
    <xdr:to>
      <xdr:col>4</xdr:col>
      <xdr:colOff>2724150</xdr:colOff>
      <xdr:row>23</xdr:row>
      <xdr:rowOff>609600</xdr:rowOff>
    </xdr:to>
    <xdr:sp macro="" textlink="">
      <xdr:nvSpPr>
        <xdr:cNvPr id="5" name="Text Box 12">
          <a:extLst>
            <a:ext uri="{FF2B5EF4-FFF2-40B4-BE49-F238E27FC236}">
              <a16:creationId xmlns:a16="http://schemas.microsoft.com/office/drawing/2014/main" id="{00000000-0008-0000-0A00-000005000000}"/>
            </a:ext>
          </a:extLst>
        </xdr:cNvPr>
        <xdr:cNvSpPr txBox="1">
          <a:spLocks noChangeArrowheads="1"/>
        </xdr:cNvSpPr>
      </xdr:nvSpPr>
      <xdr:spPr bwMode="auto">
        <a:xfrm>
          <a:off x="2571750" y="6400800"/>
          <a:ext cx="152400" cy="133350"/>
        </a:xfrm>
        <a:prstGeom prst="rect">
          <a:avLst/>
        </a:prstGeom>
        <a:noFill/>
        <a:ln w="9525">
          <a:noFill/>
          <a:miter lim="800000"/>
          <a:headEnd/>
          <a:tailEnd/>
        </a:ln>
      </xdr:spPr>
    </xdr:sp>
    <xdr:clientData/>
  </xdr:twoCellAnchor>
  <xdr:twoCellAnchor>
    <xdr:from>
      <xdr:col>4</xdr:col>
      <xdr:colOff>219075</xdr:colOff>
      <xdr:row>23</xdr:row>
      <xdr:rowOff>1181100</xdr:rowOff>
    </xdr:from>
    <xdr:to>
      <xdr:col>4</xdr:col>
      <xdr:colOff>371475</xdr:colOff>
      <xdr:row>23</xdr:row>
      <xdr:rowOff>1314450</xdr:rowOff>
    </xdr:to>
    <xdr:sp macro="" textlink="">
      <xdr:nvSpPr>
        <xdr:cNvPr id="6" name="Text Box 17">
          <a:extLst>
            <a:ext uri="{FF2B5EF4-FFF2-40B4-BE49-F238E27FC236}">
              <a16:creationId xmlns:a16="http://schemas.microsoft.com/office/drawing/2014/main" id="{00000000-0008-0000-0A00-000006000000}"/>
            </a:ext>
          </a:extLst>
        </xdr:cNvPr>
        <xdr:cNvSpPr txBox="1">
          <a:spLocks noChangeArrowheads="1"/>
        </xdr:cNvSpPr>
      </xdr:nvSpPr>
      <xdr:spPr bwMode="auto">
        <a:xfrm>
          <a:off x="219075" y="6572250"/>
          <a:ext cx="152400" cy="0"/>
        </a:xfrm>
        <a:prstGeom prst="rect">
          <a:avLst/>
        </a:prstGeom>
        <a:noFill/>
        <a:ln w="9525">
          <a:noFill/>
          <a:miter lim="800000"/>
          <a:headEnd/>
          <a:tailEnd/>
        </a:ln>
      </xdr:spPr>
    </xdr:sp>
    <xdr:clientData/>
  </xdr:twoCellAnchor>
  <xdr:oneCellAnchor>
    <xdr:from>
      <xdr:col>4</xdr:col>
      <xdr:colOff>1745967</xdr:colOff>
      <xdr:row>0</xdr:row>
      <xdr:rowOff>41814</xdr:rowOff>
    </xdr:from>
    <xdr:ext cx="184731" cy="937629"/>
    <xdr:sp macro="" textlink="">
      <xdr:nvSpPr>
        <xdr:cNvPr id="7" name="Rectangle 6">
          <a:extLst>
            <a:ext uri="{FF2B5EF4-FFF2-40B4-BE49-F238E27FC236}">
              <a16:creationId xmlns:a16="http://schemas.microsoft.com/office/drawing/2014/main" id="{00000000-0008-0000-0A00-000007000000}"/>
            </a:ext>
          </a:extLst>
        </xdr:cNvPr>
        <xdr:cNvSpPr/>
      </xdr:nvSpPr>
      <xdr:spPr>
        <a:xfrm>
          <a:off x="3165192" y="41814"/>
          <a:ext cx="184731" cy="937629"/>
        </a:xfrm>
        <a:prstGeom prst="rect">
          <a:avLst/>
        </a:prstGeom>
        <a:noFill/>
      </xdr:spPr>
      <xdr:txBody>
        <a:bodyPr wrap="none" lIns="91440" tIns="45720" rIns="91440" bIns="45720">
          <a:spAutoFit/>
        </a:bodyPr>
        <a:lstStyle/>
        <a:p>
          <a:pPr algn="ctr"/>
          <a:endParaRPr lang="en-US" sz="5400" b="1" cap="none" spc="0">
            <a:ln w="12700">
              <a:solidFill>
                <a:schemeClr val="tx2">
                  <a:satMod val="155000"/>
                </a:schemeClr>
              </a:solidFill>
              <a:prstDash val="solid"/>
            </a:ln>
            <a:noFill/>
            <a:effectLst>
              <a:outerShdw blurRad="41275" dist="20320" dir="1800000" algn="tl" rotWithShape="0">
                <a:srgbClr val="000000">
                  <a:alpha val="40000"/>
                </a:srgbClr>
              </a:outerShdw>
            </a:effectLst>
          </a:endParaRPr>
        </a:p>
      </xdr:txBody>
    </xdr:sp>
    <xdr:clientData/>
  </xdr:oneCellAnchor>
  <xdr:twoCellAnchor editAs="oneCell">
    <xdr:from>
      <xdr:col>4</xdr:col>
      <xdr:colOff>838200</xdr:colOff>
      <xdr:row>0</xdr:row>
      <xdr:rowOff>0</xdr:rowOff>
    </xdr:from>
    <xdr:to>
      <xdr:col>4</xdr:col>
      <xdr:colOff>3215846</xdr:colOff>
      <xdr:row>0</xdr:row>
      <xdr:rowOff>554784</xdr:rowOff>
    </xdr:to>
    <xdr:pic>
      <xdr:nvPicPr>
        <xdr:cNvPr id="8" name="Picture 7">
          <a:extLst>
            <a:ext uri="{FF2B5EF4-FFF2-40B4-BE49-F238E27FC236}">
              <a16:creationId xmlns:a16="http://schemas.microsoft.com/office/drawing/2014/main" id="{00000000-0008-0000-0A00-000008000000}"/>
            </a:ext>
          </a:extLst>
        </xdr:cNvPr>
        <xdr:cNvPicPr>
          <a:picLocks noChangeAspect="1"/>
        </xdr:cNvPicPr>
      </xdr:nvPicPr>
      <xdr:blipFill>
        <a:blip xmlns:r="http://schemas.openxmlformats.org/officeDocument/2006/relationships" r:embed="rId1"/>
        <a:stretch>
          <a:fillRect/>
        </a:stretch>
      </xdr:blipFill>
      <xdr:spPr>
        <a:xfrm>
          <a:off x="1304925" y="0"/>
          <a:ext cx="2377646" cy="554784"/>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609600</xdr:colOff>
      <xdr:row>0</xdr:row>
      <xdr:rowOff>0</xdr:rowOff>
    </xdr:from>
    <xdr:to>
      <xdr:col>0</xdr:col>
      <xdr:colOff>2987246</xdr:colOff>
      <xdr:row>0</xdr:row>
      <xdr:rowOff>554784</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609600" y="0"/>
          <a:ext cx="2377646" cy="554784"/>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676275</xdr:colOff>
      <xdr:row>0</xdr:row>
      <xdr:rowOff>0</xdr:rowOff>
    </xdr:from>
    <xdr:to>
      <xdr:col>0</xdr:col>
      <xdr:colOff>3053921</xdr:colOff>
      <xdr:row>0</xdr:row>
      <xdr:rowOff>554784</xdr:rowOff>
    </xdr:to>
    <xdr:pic>
      <xdr:nvPicPr>
        <xdr:cNvPr id="2" name="Picture 1">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stretch>
          <a:fillRect/>
        </a:stretch>
      </xdr:blipFill>
      <xdr:spPr>
        <a:xfrm>
          <a:off x="676275" y="0"/>
          <a:ext cx="2377646" cy="554784"/>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oneCellAnchor>
    <xdr:from>
      <xdr:col>0</xdr:col>
      <xdr:colOff>1745967</xdr:colOff>
      <xdr:row>0</xdr:row>
      <xdr:rowOff>41814</xdr:rowOff>
    </xdr:from>
    <xdr:ext cx="184731" cy="937629"/>
    <xdr:sp macro="" textlink="">
      <xdr:nvSpPr>
        <xdr:cNvPr id="4" name="Rectangle 3">
          <a:extLst>
            <a:ext uri="{FF2B5EF4-FFF2-40B4-BE49-F238E27FC236}">
              <a16:creationId xmlns:a16="http://schemas.microsoft.com/office/drawing/2014/main" id="{00000000-0008-0000-0E00-000004000000}"/>
            </a:ext>
          </a:extLst>
        </xdr:cNvPr>
        <xdr:cNvSpPr/>
      </xdr:nvSpPr>
      <xdr:spPr>
        <a:xfrm>
          <a:off x="2212692" y="41814"/>
          <a:ext cx="184731" cy="937629"/>
        </a:xfrm>
        <a:prstGeom prst="rect">
          <a:avLst/>
        </a:prstGeom>
        <a:noFill/>
      </xdr:spPr>
      <xdr:txBody>
        <a:bodyPr wrap="none" lIns="91440" tIns="45720" rIns="91440" bIns="45720">
          <a:spAutoFit/>
        </a:bodyPr>
        <a:lstStyle/>
        <a:p>
          <a:pPr algn="ctr"/>
          <a:endParaRPr lang="en-US" sz="5400" b="1" cap="none" spc="0">
            <a:ln w="12700">
              <a:solidFill>
                <a:schemeClr val="tx2">
                  <a:satMod val="155000"/>
                </a:schemeClr>
              </a:solidFill>
              <a:prstDash val="solid"/>
            </a:ln>
            <a:noFill/>
            <a:effectLst>
              <a:outerShdw blurRad="41275" dist="20320" dir="1800000" algn="tl" rotWithShape="0">
                <a:srgbClr val="000000">
                  <a:alpha val="40000"/>
                </a:srgbClr>
              </a:outerShdw>
            </a:effectLst>
          </a:endParaRPr>
        </a:p>
      </xdr:txBody>
    </xdr:sp>
    <xdr:clientData/>
  </xdr:oneCellAnchor>
  <xdr:twoCellAnchor editAs="oneCell">
    <xdr:from>
      <xdr:col>0</xdr:col>
      <xdr:colOff>66675</xdr:colOff>
      <xdr:row>0</xdr:row>
      <xdr:rowOff>0</xdr:rowOff>
    </xdr:from>
    <xdr:to>
      <xdr:col>0</xdr:col>
      <xdr:colOff>2444321</xdr:colOff>
      <xdr:row>0</xdr:row>
      <xdr:rowOff>554784</xdr:rowOff>
    </xdr:to>
    <xdr:pic>
      <xdr:nvPicPr>
        <xdr:cNvPr id="5" name="Picture 4">
          <a:extLst>
            <a:ext uri="{FF2B5EF4-FFF2-40B4-BE49-F238E27FC236}">
              <a16:creationId xmlns:a16="http://schemas.microsoft.com/office/drawing/2014/main" id="{00000000-0008-0000-0E00-000005000000}"/>
            </a:ext>
          </a:extLst>
        </xdr:cNvPr>
        <xdr:cNvPicPr>
          <a:picLocks noChangeAspect="1"/>
        </xdr:cNvPicPr>
      </xdr:nvPicPr>
      <xdr:blipFill>
        <a:blip xmlns:r="http://schemas.openxmlformats.org/officeDocument/2006/relationships" r:embed="rId1"/>
        <a:stretch>
          <a:fillRect/>
        </a:stretch>
      </xdr:blipFill>
      <xdr:spPr>
        <a:xfrm>
          <a:off x="66675" y="0"/>
          <a:ext cx="2377646" cy="554784"/>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571482</xdr:colOff>
      <xdr:row>0</xdr:row>
      <xdr:rowOff>0</xdr:rowOff>
    </xdr:from>
    <xdr:to>
      <xdr:col>1</xdr:col>
      <xdr:colOff>1234628</xdr:colOff>
      <xdr:row>0</xdr:row>
      <xdr:rowOff>554784</xdr:rowOff>
    </xdr:to>
    <xdr:pic>
      <xdr:nvPicPr>
        <xdr:cNvPr id="3" name="Picture 2">
          <a:extLst>
            <a:ext uri="{FF2B5EF4-FFF2-40B4-BE49-F238E27FC236}">
              <a16:creationId xmlns:a16="http://schemas.microsoft.com/office/drawing/2014/main" id="{00000000-0008-0000-0F00-000003000000}"/>
            </a:ext>
          </a:extLst>
        </xdr:cNvPr>
        <xdr:cNvPicPr>
          <a:picLocks noChangeAspect="1"/>
        </xdr:cNvPicPr>
      </xdr:nvPicPr>
      <xdr:blipFill>
        <a:blip xmlns:r="http://schemas.openxmlformats.org/officeDocument/2006/relationships" r:embed="rId1"/>
        <a:stretch>
          <a:fillRect/>
        </a:stretch>
      </xdr:blipFill>
      <xdr:spPr>
        <a:xfrm>
          <a:off x="571482" y="0"/>
          <a:ext cx="2377646" cy="554784"/>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7515225</xdr:colOff>
      <xdr:row>0</xdr:row>
      <xdr:rowOff>152400</xdr:rowOff>
    </xdr:from>
    <xdr:to>
      <xdr:col>1</xdr:col>
      <xdr:colOff>3176</xdr:colOff>
      <xdr:row>0</xdr:row>
      <xdr:rowOff>171450</xdr:rowOff>
    </xdr:to>
    <xdr:pic>
      <xdr:nvPicPr>
        <xdr:cNvPr id="2" name="Picture 1" descr="NGBCP Logo.gif">
          <a:extLst>
            <a:ext uri="{FF2B5EF4-FFF2-40B4-BE49-F238E27FC236}">
              <a16:creationId xmlns:a16="http://schemas.microsoft.com/office/drawing/2014/main" id="{00000000-0008-0000-1000-000002000000}"/>
            </a:ext>
          </a:extLst>
        </xdr:cNvPr>
        <xdr:cNvPicPr>
          <a:picLocks noChangeAspect="1"/>
        </xdr:cNvPicPr>
      </xdr:nvPicPr>
      <xdr:blipFill>
        <a:blip xmlns:r="http://schemas.openxmlformats.org/officeDocument/2006/relationships" r:embed="rId1" cstate="print"/>
        <a:stretch>
          <a:fillRect/>
        </a:stretch>
      </xdr:blipFill>
      <xdr:spPr>
        <a:xfrm>
          <a:off x="2047875" y="152400"/>
          <a:ext cx="3176" cy="19050"/>
        </a:xfrm>
        <a:prstGeom prst="rect">
          <a:avLst/>
        </a:prstGeom>
      </xdr:spPr>
    </xdr:pic>
    <xdr:clientData/>
  </xdr:twoCellAnchor>
  <xdr:twoCellAnchor editAs="oneCell">
    <xdr:from>
      <xdr:col>0</xdr:col>
      <xdr:colOff>349239</xdr:colOff>
      <xdr:row>0</xdr:row>
      <xdr:rowOff>0</xdr:rowOff>
    </xdr:from>
    <xdr:to>
      <xdr:col>1</xdr:col>
      <xdr:colOff>673718</xdr:colOff>
      <xdr:row>0</xdr:row>
      <xdr:rowOff>554784</xdr:rowOff>
    </xdr:to>
    <xdr:pic>
      <xdr:nvPicPr>
        <xdr:cNvPr id="5" name="Picture 4">
          <a:extLst>
            <a:ext uri="{FF2B5EF4-FFF2-40B4-BE49-F238E27FC236}">
              <a16:creationId xmlns:a16="http://schemas.microsoft.com/office/drawing/2014/main" id="{00000000-0008-0000-1000-000005000000}"/>
            </a:ext>
          </a:extLst>
        </xdr:cNvPr>
        <xdr:cNvPicPr>
          <a:picLocks noChangeAspect="1"/>
        </xdr:cNvPicPr>
      </xdr:nvPicPr>
      <xdr:blipFill>
        <a:blip xmlns:r="http://schemas.openxmlformats.org/officeDocument/2006/relationships" r:embed="rId2"/>
        <a:stretch>
          <a:fillRect/>
        </a:stretch>
      </xdr:blipFill>
      <xdr:spPr>
        <a:xfrm>
          <a:off x="349239" y="0"/>
          <a:ext cx="2377646" cy="55478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11</xdr:col>
      <xdr:colOff>272412</xdr:colOff>
      <xdr:row>0</xdr:row>
      <xdr:rowOff>21166</xdr:rowOff>
    </xdr:from>
    <xdr:ext cx="45719" cy="45719"/>
    <xdr:sp macro="" textlink="">
      <xdr:nvSpPr>
        <xdr:cNvPr id="3" name="Rectangle 2">
          <a:extLst>
            <a:ext uri="{FF2B5EF4-FFF2-40B4-BE49-F238E27FC236}">
              <a16:creationId xmlns:a16="http://schemas.microsoft.com/office/drawing/2014/main" id="{00000000-0008-0000-0100-000003000000}"/>
            </a:ext>
          </a:extLst>
        </xdr:cNvPr>
        <xdr:cNvSpPr/>
      </xdr:nvSpPr>
      <xdr:spPr>
        <a:xfrm>
          <a:off x="5320662" y="21166"/>
          <a:ext cx="45719" cy="45719"/>
        </a:xfrm>
        <a:prstGeom prst="rect">
          <a:avLst/>
        </a:prstGeom>
        <a:noFill/>
      </xdr:spPr>
      <xdr:txBody>
        <a:bodyPr wrap="square" lIns="91440" tIns="45720" rIns="91440" bIns="45720">
          <a:noAutofit/>
        </a:bodyPr>
        <a:lstStyle/>
        <a:p>
          <a:pPr algn="ctr"/>
          <a:endParaRPr lang="en-US" sz="4000" b="1" cap="none" spc="0">
            <a:ln w="12700">
              <a:solidFill>
                <a:schemeClr val="tx2">
                  <a:satMod val="155000"/>
                </a:schemeClr>
              </a:solidFill>
              <a:prstDash val="solid"/>
            </a:ln>
            <a:noFill/>
            <a:effectLst>
              <a:outerShdw blurRad="41275" dist="20320" dir="1800000" algn="tl" rotWithShape="0">
                <a:srgbClr val="000000">
                  <a:alpha val="40000"/>
                </a:srgbClr>
              </a:outerShdw>
            </a:effectLst>
          </a:endParaRPr>
        </a:p>
        <a:p>
          <a:pPr algn="ctr"/>
          <a:endParaRPr lang="en-US" sz="4000" b="1" cap="none" spc="0">
            <a:ln w="12700">
              <a:solidFill>
                <a:schemeClr val="tx2">
                  <a:satMod val="155000"/>
                </a:schemeClr>
              </a:solidFill>
              <a:prstDash val="solid"/>
            </a:ln>
            <a:noFill/>
            <a:effectLst>
              <a:outerShdw blurRad="41275" dist="20320" dir="1800000" algn="tl" rotWithShape="0">
                <a:srgbClr val="000000">
                  <a:alpha val="40000"/>
                </a:srgbClr>
              </a:outerShdw>
            </a:effectLst>
          </a:endParaRPr>
        </a:p>
      </xdr:txBody>
    </xdr:sp>
    <xdr:clientData/>
  </xdr:oneCellAnchor>
  <xdr:twoCellAnchor editAs="oneCell">
    <xdr:from>
      <xdr:col>1</xdr:col>
      <xdr:colOff>381000</xdr:colOff>
      <xdr:row>0</xdr:row>
      <xdr:rowOff>0</xdr:rowOff>
    </xdr:from>
    <xdr:to>
      <xdr:col>7</xdr:col>
      <xdr:colOff>43434</xdr:colOff>
      <xdr:row>2</xdr:row>
      <xdr:rowOff>175870</xdr:rowOff>
    </xdr:to>
    <xdr:pic>
      <xdr:nvPicPr>
        <xdr:cNvPr id="10" name="Picture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1"/>
        <a:stretch>
          <a:fillRect/>
        </a:stretch>
      </xdr:blipFill>
      <xdr:spPr>
        <a:xfrm>
          <a:off x="381000" y="0"/>
          <a:ext cx="2386584" cy="55687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381000</xdr:colOff>
      <xdr:row>0</xdr:row>
      <xdr:rowOff>1</xdr:rowOff>
    </xdr:from>
    <xdr:to>
      <xdr:col>8</xdr:col>
      <xdr:colOff>43434</xdr:colOff>
      <xdr:row>2</xdr:row>
      <xdr:rowOff>178217</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0" y="1"/>
          <a:ext cx="2386584" cy="55921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29</xdr:col>
          <xdr:colOff>0</xdr:colOff>
          <xdr:row>271</xdr:row>
          <xdr:rowOff>203200</xdr:rowOff>
        </xdr:from>
        <xdr:to>
          <xdr:col>29</xdr:col>
          <xdr:colOff>0</xdr:colOff>
          <xdr:row>271</xdr:row>
          <xdr:rowOff>330200</xdr:rowOff>
        </xdr:to>
        <xdr:sp macro="" textlink="">
          <xdr:nvSpPr>
            <xdr:cNvPr id="5124" name="Check Box 4" hidden="1">
              <a:extLst>
                <a:ext uri="{63B3BB69-23CF-44E3-9099-C40C66FF867C}">
                  <a14:compatExt spid="_x0000_s5124"/>
                </a:ext>
                <a:ext uri="{FF2B5EF4-FFF2-40B4-BE49-F238E27FC236}">
                  <a16:creationId xmlns:a16="http://schemas.microsoft.com/office/drawing/2014/main" id="{00000000-0008-0000-0300-000004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29</xdr:col>
          <xdr:colOff>0</xdr:colOff>
          <xdr:row>271</xdr:row>
          <xdr:rowOff>215900</xdr:rowOff>
        </xdr:from>
        <xdr:to>
          <xdr:col>29</xdr:col>
          <xdr:colOff>0</xdr:colOff>
          <xdr:row>271</xdr:row>
          <xdr:rowOff>330200</xdr:rowOff>
        </xdr:to>
        <xdr:sp macro="" textlink="">
          <xdr:nvSpPr>
            <xdr:cNvPr id="5125" name="Check Box 5" hidden="1">
              <a:extLst>
                <a:ext uri="{63B3BB69-23CF-44E3-9099-C40C66FF867C}">
                  <a14:compatExt spid="_x0000_s5125"/>
                </a:ext>
                <a:ext uri="{FF2B5EF4-FFF2-40B4-BE49-F238E27FC236}">
                  <a16:creationId xmlns:a16="http://schemas.microsoft.com/office/drawing/2014/main" id="{00000000-0008-0000-0300-000005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29</xdr:col>
          <xdr:colOff>0</xdr:colOff>
          <xdr:row>271</xdr:row>
          <xdr:rowOff>215900</xdr:rowOff>
        </xdr:from>
        <xdr:to>
          <xdr:col>29</xdr:col>
          <xdr:colOff>0</xdr:colOff>
          <xdr:row>271</xdr:row>
          <xdr:rowOff>342900</xdr:rowOff>
        </xdr:to>
        <xdr:sp macro="" textlink="">
          <xdr:nvSpPr>
            <xdr:cNvPr id="5126" name="Check Box 6" hidden="1">
              <a:extLst>
                <a:ext uri="{63B3BB69-23CF-44E3-9099-C40C66FF867C}">
                  <a14:compatExt spid="_x0000_s5126"/>
                </a:ext>
                <a:ext uri="{FF2B5EF4-FFF2-40B4-BE49-F238E27FC236}">
                  <a16:creationId xmlns:a16="http://schemas.microsoft.com/office/drawing/2014/main" id="{00000000-0008-0000-0300-000006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editAs="oneCell">
    <xdr:from>
      <xdr:col>2</xdr:col>
      <xdr:colOff>381000</xdr:colOff>
      <xdr:row>0</xdr:row>
      <xdr:rowOff>0</xdr:rowOff>
    </xdr:from>
    <xdr:to>
      <xdr:col>8</xdr:col>
      <xdr:colOff>46689</xdr:colOff>
      <xdr:row>2</xdr:row>
      <xdr:rowOff>173784</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stretch>
          <a:fillRect/>
        </a:stretch>
      </xdr:blipFill>
      <xdr:spPr>
        <a:xfrm>
          <a:off x="381000" y="0"/>
          <a:ext cx="2389839" cy="55478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390525</xdr:colOff>
      <xdr:row>0</xdr:row>
      <xdr:rowOff>0</xdr:rowOff>
    </xdr:from>
    <xdr:to>
      <xdr:col>7</xdr:col>
      <xdr:colOff>52959</xdr:colOff>
      <xdr:row>2</xdr:row>
      <xdr:rowOff>175870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1"/>
        <a:stretch>
          <a:fillRect/>
        </a:stretch>
      </xdr:blipFill>
      <xdr:spPr>
        <a:xfrm>
          <a:off x="390525" y="0"/>
          <a:ext cx="2386584" cy="55687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381000</xdr:colOff>
      <xdr:row>0</xdr:row>
      <xdr:rowOff>0</xdr:rowOff>
    </xdr:from>
    <xdr:to>
      <xdr:col>7</xdr:col>
      <xdr:colOff>34496</xdr:colOff>
      <xdr:row>2</xdr:row>
      <xdr:rowOff>173784</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a:stretch>
          <a:fillRect/>
        </a:stretch>
      </xdr:blipFill>
      <xdr:spPr>
        <a:xfrm>
          <a:off x="381000" y="0"/>
          <a:ext cx="2377646" cy="55478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390525</xdr:colOff>
      <xdr:row>0</xdr:row>
      <xdr:rowOff>0</xdr:rowOff>
    </xdr:from>
    <xdr:to>
      <xdr:col>7</xdr:col>
      <xdr:colOff>44021</xdr:colOff>
      <xdr:row>2</xdr:row>
      <xdr:rowOff>173784</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a:stretch>
          <a:fillRect/>
        </a:stretch>
      </xdr:blipFill>
      <xdr:spPr>
        <a:xfrm>
          <a:off x="390525" y="0"/>
          <a:ext cx="2377646" cy="554784"/>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2</xdr:col>
      <xdr:colOff>2571750</xdr:colOff>
      <xdr:row>22</xdr:row>
      <xdr:rowOff>476250</xdr:rowOff>
    </xdr:from>
    <xdr:to>
      <xdr:col>2</xdr:col>
      <xdr:colOff>2724150</xdr:colOff>
      <xdr:row>22</xdr:row>
      <xdr:rowOff>609600</xdr:rowOff>
    </xdr:to>
    <xdr:sp macro="" textlink="">
      <xdr:nvSpPr>
        <xdr:cNvPr id="2" name="Text Box 12">
          <a:extLst>
            <a:ext uri="{FF2B5EF4-FFF2-40B4-BE49-F238E27FC236}">
              <a16:creationId xmlns:a16="http://schemas.microsoft.com/office/drawing/2014/main" id="{00000000-0008-0000-0700-000002000000}"/>
            </a:ext>
          </a:extLst>
        </xdr:cNvPr>
        <xdr:cNvSpPr txBox="1">
          <a:spLocks noChangeArrowheads="1"/>
        </xdr:cNvSpPr>
      </xdr:nvSpPr>
      <xdr:spPr bwMode="auto">
        <a:xfrm>
          <a:off x="2571750" y="5114925"/>
          <a:ext cx="152400" cy="0"/>
        </a:xfrm>
        <a:prstGeom prst="rect">
          <a:avLst/>
        </a:prstGeom>
        <a:noFill/>
        <a:ln w="9525">
          <a:noFill/>
          <a:miter lim="800000"/>
          <a:headEnd/>
          <a:tailEnd/>
        </a:ln>
      </xdr:spPr>
    </xdr:sp>
    <xdr:clientData/>
  </xdr:twoCellAnchor>
  <xdr:twoCellAnchor>
    <xdr:from>
      <xdr:col>2</xdr:col>
      <xdr:colOff>219075</xdr:colOff>
      <xdr:row>22</xdr:row>
      <xdr:rowOff>1181100</xdr:rowOff>
    </xdr:from>
    <xdr:to>
      <xdr:col>2</xdr:col>
      <xdr:colOff>371475</xdr:colOff>
      <xdr:row>22</xdr:row>
      <xdr:rowOff>1314450</xdr:rowOff>
    </xdr:to>
    <xdr:sp macro="" textlink="">
      <xdr:nvSpPr>
        <xdr:cNvPr id="3" name="Text Box 17">
          <a:extLst>
            <a:ext uri="{FF2B5EF4-FFF2-40B4-BE49-F238E27FC236}">
              <a16:creationId xmlns:a16="http://schemas.microsoft.com/office/drawing/2014/main" id="{00000000-0008-0000-0700-000003000000}"/>
            </a:ext>
          </a:extLst>
        </xdr:cNvPr>
        <xdr:cNvSpPr txBox="1">
          <a:spLocks noChangeArrowheads="1"/>
        </xdr:cNvSpPr>
      </xdr:nvSpPr>
      <xdr:spPr bwMode="auto">
        <a:xfrm>
          <a:off x="219075" y="5114925"/>
          <a:ext cx="152400" cy="0"/>
        </a:xfrm>
        <a:prstGeom prst="rect">
          <a:avLst/>
        </a:prstGeom>
        <a:noFill/>
        <a:ln w="9525">
          <a:noFill/>
          <a:miter lim="800000"/>
          <a:headEnd/>
          <a:tailEnd/>
        </a:ln>
      </xdr:spPr>
    </xdr:sp>
    <xdr:clientData/>
  </xdr:twoCellAnchor>
  <xdr:twoCellAnchor>
    <xdr:from>
      <xdr:col>2</xdr:col>
      <xdr:colOff>2571750</xdr:colOff>
      <xdr:row>21</xdr:row>
      <xdr:rowOff>476250</xdr:rowOff>
    </xdr:from>
    <xdr:to>
      <xdr:col>2</xdr:col>
      <xdr:colOff>2724150</xdr:colOff>
      <xdr:row>21</xdr:row>
      <xdr:rowOff>609600</xdr:rowOff>
    </xdr:to>
    <xdr:sp macro="" textlink="">
      <xdr:nvSpPr>
        <xdr:cNvPr id="5" name="Text Box 12">
          <a:extLst>
            <a:ext uri="{FF2B5EF4-FFF2-40B4-BE49-F238E27FC236}">
              <a16:creationId xmlns:a16="http://schemas.microsoft.com/office/drawing/2014/main" id="{00000000-0008-0000-0700-000005000000}"/>
            </a:ext>
          </a:extLst>
        </xdr:cNvPr>
        <xdr:cNvSpPr txBox="1">
          <a:spLocks noChangeArrowheads="1"/>
        </xdr:cNvSpPr>
      </xdr:nvSpPr>
      <xdr:spPr bwMode="auto">
        <a:xfrm>
          <a:off x="2571750" y="6049180"/>
          <a:ext cx="152400" cy="0"/>
        </a:xfrm>
        <a:prstGeom prst="rect">
          <a:avLst/>
        </a:prstGeom>
        <a:noFill/>
        <a:ln w="9525">
          <a:noFill/>
          <a:miter lim="800000"/>
          <a:headEnd/>
          <a:tailEnd/>
        </a:ln>
      </xdr:spPr>
    </xdr:sp>
    <xdr:clientData/>
  </xdr:twoCellAnchor>
  <xdr:twoCellAnchor>
    <xdr:from>
      <xdr:col>2</xdr:col>
      <xdr:colOff>219075</xdr:colOff>
      <xdr:row>21</xdr:row>
      <xdr:rowOff>1181100</xdr:rowOff>
    </xdr:from>
    <xdr:to>
      <xdr:col>2</xdr:col>
      <xdr:colOff>371475</xdr:colOff>
      <xdr:row>21</xdr:row>
      <xdr:rowOff>1314450</xdr:rowOff>
    </xdr:to>
    <xdr:sp macro="" textlink="">
      <xdr:nvSpPr>
        <xdr:cNvPr id="6" name="Text Box 17">
          <a:extLst>
            <a:ext uri="{FF2B5EF4-FFF2-40B4-BE49-F238E27FC236}">
              <a16:creationId xmlns:a16="http://schemas.microsoft.com/office/drawing/2014/main" id="{00000000-0008-0000-0700-000006000000}"/>
            </a:ext>
          </a:extLst>
        </xdr:cNvPr>
        <xdr:cNvSpPr txBox="1">
          <a:spLocks noChangeArrowheads="1"/>
        </xdr:cNvSpPr>
      </xdr:nvSpPr>
      <xdr:spPr bwMode="auto">
        <a:xfrm>
          <a:off x="219075" y="6049180"/>
          <a:ext cx="152400" cy="0"/>
        </a:xfrm>
        <a:prstGeom prst="rect">
          <a:avLst/>
        </a:prstGeom>
        <a:noFill/>
        <a:ln w="9525">
          <a:noFill/>
          <a:miter lim="800000"/>
          <a:headEnd/>
          <a:tailEnd/>
        </a:ln>
      </xdr:spPr>
    </xdr:sp>
    <xdr:clientData/>
  </xdr:twoCellAnchor>
  <xdr:oneCellAnchor>
    <xdr:from>
      <xdr:col>7</xdr:col>
      <xdr:colOff>600847</xdr:colOff>
      <xdr:row>3</xdr:row>
      <xdr:rowOff>189981</xdr:rowOff>
    </xdr:from>
    <xdr:ext cx="184731" cy="937629"/>
    <xdr:sp macro="" textlink="">
      <xdr:nvSpPr>
        <xdr:cNvPr id="7" name="Rectangle 6">
          <a:extLst>
            <a:ext uri="{FF2B5EF4-FFF2-40B4-BE49-F238E27FC236}">
              <a16:creationId xmlns:a16="http://schemas.microsoft.com/office/drawing/2014/main" id="{00000000-0008-0000-0700-000007000000}"/>
            </a:ext>
          </a:extLst>
        </xdr:cNvPr>
        <xdr:cNvSpPr/>
      </xdr:nvSpPr>
      <xdr:spPr>
        <a:xfrm>
          <a:off x="13142097" y="1375314"/>
          <a:ext cx="184731" cy="937629"/>
        </a:xfrm>
        <a:prstGeom prst="rect">
          <a:avLst/>
        </a:prstGeom>
        <a:noFill/>
      </xdr:spPr>
      <xdr:txBody>
        <a:bodyPr wrap="none" lIns="91440" tIns="45720" rIns="91440" bIns="45720">
          <a:spAutoFit/>
        </a:bodyPr>
        <a:lstStyle/>
        <a:p>
          <a:pPr algn="ctr"/>
          <a:endParaRPr lang="en-US" sz="5400" b="1" cap="none" spc="0">
            <a:ln w="12700">
              <a:solidFill>
                <a:schemeClr val="tx2">
                  <a:satMod val="155000"/>
                </a:schemeClr>
              </a:solidFill>
              <a:prstDash val="solid"/>
            </a:ln>
            <a:noFill/>
            <a:effectLst>
              <a:outerShdw blurRad="41275" dist="20320" dir="1800000" algn="tl" rotWithShape="0">
                <a:srgbClr val="000000">
                  <a:alpha val="40000"/>
                </a:srgbClr>
              </a:outerShdw>
            </a:effectLst>
          </a:endParaRPr>
        </a:p>
      </xdr:txBody>
    </xdr:sp>
    <xdr:clientData/>
  </xdr:oneCellAnchor>
  <xdr:twoCellAnchor editAs="oneCell">
    <xdr:from>
      <xdr:col>2</xdr:col>
      <xdr:colOff>1418122</xdr:colOff>
      <xdr:row>0</xdr:row>
      <xdr:rowOff>0</xdr:rowOff>
    </xdr:from>
    <xdr:to>
      <xdr:col>2</xdr:col>
      <xdr:colOff>3795768</xdr:colOff>
      <xdr:row>0</xdr:row>
      <xdr:rowOff>554784</xdr:rowOff>
    </xdr:to>
    <xdr:pic>
      <xdr:nvPicPr>
        <xdr:cNvPr id="8" name="Picture 7">
          <a:extLst>
            <a:ext uri="{FF2B5EF4-FFF2-40B4-BE49-F238E27FC236}">
              <a16:creationId xmlns:a16="http://schemas.microsoft.com/office/drawing/2014/main" id="{00000000-0008-0000-0700-000008000000}"/>
            </a:ext>
          </a:extLst>
        </xdr:cNvPr>
        <xdr:cNvPicPr>
          <a:picLocks noChangeAspect="1"/>
        </xdr:cNvPicPr>
      </xdr:nvPicPr>
      <xdr:blipFill>
        <a:blip xmlns:r="http://schemas.openxmlformats.org/officeDocument/2006/relationships" r:embed="rId1"/>
        <a:stretch>
          <a:fillRect/>
        </a:stretch>
      </xdr:blipFill>
      <xdr:spPr>
        <a:xfrm>
          <a:off x="1418122" y="0"/>
          <a:ext cx="2377646" cy="55478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142875</xdr:colOff>
      <xdr:row>6</xdr:row>
      <xdr:rowOff>85725</xdr:rowOff>
    </xdr:from>
    <xdr:to>
      <xdr:col>6</xdr:col>
      <xdr:colOff>233892</xdr:colOff>
      <xdr:row>41</xdr:row>
      <xdr:rowOff>57150</xdr:rowOff>
    </xdr:to>
    <xdr:pic>
      <xdr:nvPicPr>
        <xdr:cNvPr id="2" name="Picture 1" descr="climatezonesbystates.gif">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cstate="print"/>
        <a:stretch>
          <a:fillRect/>
        </a:stretch>
      </xdr:blipFill>
      <xdr:spPr>
        <a:xfrm>
          <a:off x="142875" y="2019300"/>
          <a:ext cx="7620000" cy="5638800"/>
        </a:xfrm>
        <a:prstGeom prst="rect">
          <a:avLst/>
        </a:prstGeom>
        <a:effectLst>
          <a:outerShdw blurRad="63500" sx="102000" sy="102000" algn="ctr" rotWithShape="0">
            <a:prstClr val="black">
              <a:alpha val="40000"/>
            </a:prstClr>
          </a:outerShdw>
        </a:effectLst>
      </xdr:spPr>
    </xdr:pic>
    <xdr:clientData/>
  </xdr:twoCellAnchor>
  <xdr:twoCellAnchor editAs="oneCell">
    <xdr:from>
      <xdr:col>0</xdr:col>
      <xdr:colOff>609598</xdr:colOff>
      <xdr:row>56</xdr:row>
      <xdr:rowOff>40996</xdr:rowOff>
    </xdr:from>
    <xdr:to>
      <xdr:col>8</xdr:col>
      <xdr:colOff>110065</xdr:colOff>
      <xdr:row>86</xdr:row>
      <xdr:rowOff>155295</xdr:rowOff>
    </xdr:to>
    <xdr:pic>
      <xdr:nvPicPr>
        <xdr:cNvPr id="3" name="Picture 2" descr="climatezonesbystates.gif">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2" cstate="print"/>
        <a:stretch>
          <a:fillRect/>
        </a:stretch>
      </xdr:blipFill>
      <xdr:spPr>
        <a:xfrm>
          <a:off x="609598" y="10432771"/>
          <a:ext cx="9525000" cy="5257800"/>
        </a:xfrm>
        <a:prstGeom prst="rect">
          <a:avLst/>
        </a:prstGeom>
        <a:effectLst>
          <a:outerShdw blurRad="63500" sx="102000" sy="102000" algn="ctr" rotWithShape="0">
            <a:prstClr val="black">
              <a:alpha val="40000"/>
            </a:prstClr>
          </a:outerShdw>
        </a:effectLst>
      </xdr:spPr>
    </xdr:pic>
    <xdr:clientData/>
  </xdr:twoCellAnchor>
  <xdr:twoCellAnchor editAs="oneCell">
    <xdr:from>
      <xdr:col>0</xdr:col>
      <xdr:colOff>476249</xdr:colOff>
      <xdr:row>94</xdr:row>
      <xdr:rowOff>152400</xdr:rowOff>
    </xdr:from>
    <xdr:to>
      <xdr:col>6</xdr:col>
      <xdr:colOff>567266</xdr:colOff>
      <xdr:row>125</xdr:row>
      <xdr:rowOff>9525</xdr:rowOff>
    </xdr:to>
    <xdr:pic>
      <xdr:nvPicPr>
        <xdr:cNvPr id="4" name="Picture 3" descr="Climate Zone Map of the United States">
          <a:extLst>
            <a:ext uri="{FF2B5EF4-FFF2-40B4-BE49-F238E27FC236}">
              <a16:creationId xmlns:a16="http://schemas.microsoft.com/office/drawing/2014/main" id="{00000000-0008-0000-0800-000004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476249" y="17116425"/>
          <a:ext cx="7620000" cy="4876800"/>
        </a:xfrm>
        <a:prstGeom prst="rect">
          <a:avLst/>
        </a:prstGeom>
        <a:noFill/>
        <a:ln w="9525">
          <a:noFill/>
          <a:miter lim="800000"/>
          <a:headEnd/>
          <a:tailEnd/>
        </a:ln>
        <a:effectLst>
          <a:outerShdw blurRad="63500" sx="102000" sy="102000" algn="ctr" rotWithShape="0">
            <a:prstClr val="black">
              <a:alpha val="40000"/>
            </a:prstClr>
          </a:outerShdw>
        </a:effectLst>
      </xdr:spPr>
    </xdr:pic>
    <xdr:clientData/>
  </xdr:twoCellAnchor>
  <xdr:twoCellAnchor editAs="oneCell">
    <xdr:from>
      <xdr:col>0</xdr:col>
      <xdr:colOff>419101</xdr:colOff>
      <xdr:row>132</xdr:row>
      <xdr:rowOff>28575</xdr:rowOff>
    </xdr:from>
    <xdr:to>
      <xdr:col>8</xdr:col>
      <xdr:colOff>362018</xdr:colOff>
      <xdr:row>179</xdr:row>
      <xdr:rowOff>114299</xdr:rowOff>
    </xdr:to>
    <xdr:pic>
      <xdr:nvPicPr>
        <xdr:cNvPr id="5" name="Picture 3" descr="http://www.epa.gov/radon/images/zonemapcolor_800.jpg">
          <a:extLst>
            <a:ext uri="{FF2B5EF4-FFF2-40B4-BE49-F238E27FC236}">
              <a16:creationId xmlns:a16="http://schemas.microsoft.com/office/drawing/2014/main" id="{00000000-0008-0000-0800-00000500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419101" y="23288625"/>
          <a:ext cx="9967450" cy="7724774"/>
        </a:xfrm>
        <a:prstGeom prst="rect">
          <a:avLst/>
        </a:prstGeom>
        <a:noFill/>
      </xdr:spPr>
    </xdr:pic>
    <xdr:clientData/>
  </xdr:twoCellAnchor>
  <xdr:twoCellAnchor editAs="oneCell">
    <xdr:from>
      <xdr:col>0</xdr:col>
      <xdr:colOff>7515225</xdr:colOff>
      <xdr:row>0</xdr:row>
      <xdr:rowOff>152400</xdr:rowOff>
    </xdr:from>
    <xdr:to>
      <xdr:col>1</xdr:col>
      <xdr:colOff>908</xdr:colOff>
      <xdr:row>0</xdr:row>
      <xdr:rowOff>171450</xdr:rowOff>
    </xdr:to>
    <xdr:pic>
      <xdr:nvPicPr>
        <xdr:cNvPr id="6" name="Picture 5" descr="NGBCP Logo.gif">
          <a:extLst>
            <a:ext uri="{FF2B5EF4-FFF2-40B4-BE49-F238E27FC236}">
              <a16:creationId xmlns:a16="http://schemas.microsoft.com/office/drawing/2014/main" id="{00000000-0008-0000-0800-000006000000}"/>
            </a:ext>
          </a:extLst>
        </xdr:cNvPr>
        <xdr:cNvPicPr>
          <a:picLocks noChangeAspect="1"/>
        </xdr:cNvPicPr>
      </xdr:nvPicPr>
      <xdr:blipFill>
        <a:blip xmlns:r="http://schemas.openxmlformats.org/officeDocument/2006/relationships" r:embed="rId5"/>
        <a:stretch>
          <a:fillRect/>
        </a:stretch>
      </xdr:blipFill>
      <xdr:spPr>
        <a:xfrm>
          <a:off x="1247775" y="152400"/>
          <a:ext cx="908" cy="19050"/>
        </a:xfrm>
        <a:prstGeom prst="rect">
          <a:avLst/>
        </a:prstGeom>
      </xdr:spPr>
    </xdr:pic>
    <xdr:clientData/>
  </xdr:twoCellAnchor>
  <xdr:twoCellAnchor editAs="oneCell">
    <xdr:from>
      <xdr:col>0</xdr:col>
      <xdr:colOff>709061</xdr:colOff>
      <xdr:row>0</xdr:row>
      <xdr:rowOff>0</xdr:rowOff>
    </xdr:from>
    <xdr:to>
      <xdr:col>2</xdr:col>
      <xdr:colOff>589040</xdr:colOff>
      <xdr:row>0</xdr:row>
      <xdr:rowOff>554784</xdr:rowOff>
    </xdr:to>
    <xdr:pic>
      <xdr:nvPicPr>
        <xdr:cNvPr id="9" name="Picture 8">
          <a:extLst>
            <a:ext uri="{FF2B5EF4-FFF2-40B4-BE49-F238E27FC236}">
              <a16:creationId xmlns:a16="http://schemas.microsoft.com/office/drawing/2014/main" id="{00000000-0008-0000-0800-000009000000}"/>
            </a:ext>
          </a:extLst>
        </xdr:cNvPr>
        <xdr:cNvPicPr>
          <a:picLocks noChangeAspect="1"/>
        </xdr:cNvPicPr>
      </xdr:nvPicPr>
      <xdr:blipFill>
        <a:blip xmlns:r="http://schemas.openxmlformats.org/officeDocument/2006/relationships" r:embed="rId6"/>
        <a:stretch>
          <a:fillRect/>
        </a:stretch>
      </xdr:blipFill>
      <xdr:spPr>
        <a:xfrm>
          <a:off x="709061" y="0"/>
          <a:ext cx="2377646" cy="55478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omeinnovation.com/greenscoring"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6.bin"/><Relationship Id="rId1" Type="http://schemas.openxmlformats.org/officeDocument/2006/relationships/hyperlink" Target="http://www.nahbgreen.org/GreenStandard/Maps/climatezonesbystates.pdf" TargetMode="Externa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8" Type="http://schemas.openxmlformats.org/officeDocument/2006/relationships/drawing" Target="../drawings/drawing9.xml"/><Relationship Id="rId3" Type="http://schemas.openxmlformats.org/officeDocument/2006/relationships/hyperlink" Target="http://www.nationalatlas.gov/" TargetMode="External"/><Relationship Id="rId7" Type="http://schemas.openxmlformats.org/officeDocument/2006/relationships/printerSettings" Target="../printerSettings/printerSettings9.bin"/><Relationship Id="rId2" Type="http://schemas.openxmlformats.org/officeDocument/2006/relationships/hyperlink" Target="http://www.nationalatlas.gov/" TargetMode="External"/><Relationship Id="rId1" Type="http://schemas.openxmlformats.org/officeDocument/2006/relationships/hyperlink" Target="http://www.iccsafe.org/" TargetMode="External"/><Relationship Id="rId6" Type="http://schemas.openxmlformats.org/officeDocument/2006/relationships/hyperlink" Target="http://www.epa.gov/radon/zonemap.html" TargetMode="External"/><Relationship Id="rId5" Type="http://schemas.openxmlformats.org/officeDocument/2006/relationships/hyperlink" Target="http://www.iccsafe.gov/" TargetMode="External"/><Relationship Id="rId4" Type="http://schemas.openxmlformats.org/officeDocument/2006/relationships/hyperlink" Target="http://www.iccsafe.go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00B050"/>
    <pageSetUpPr fitToPage="1"/>
  </sheetPr>
  <dimension ref="A1:AK101"/>
  <sheetViews>
    <sheetView zoomScaleNormal="100" zoomScalePageLayoutView="70" workbookViewId="0">
      <selection activeCell="F16" sqref="F16:H16"/>
    </sheetView>
  </sheetViews>
  <sheetFormatPr baseColWidth="10" defaultColWidth="8.83203125" defaultRowHeight="15"/>
  <cols>
    <col min="1" max="1" width="10.33203125" customWidth="1"/>
    <col min="2" max="2" width="6.6640625" customWidth="1"/>
    <col min="3" max="3" width="3.6640625" customWidth="1"/>
    <col min="4" max="8" width="8.6640625" customWidth="1"/>
    <col min="9" max="9" width="9.6640625" customWidth="1"/>
    <col min="10" max="11" width="8.6640625" customWidth="1"/>
    <col min="12" max="12" width="10.6640625" bestFit="1" customWidth="1"/>
    <col min="13" max="13" width="15.6640625" customWidth="1"/>
    <col min="14" max="14" width="10.6640625" customWidth="1"/>
    <col min="15" max="18" width="11.6640625" customWidth="1"/>
  </cols>
  <sheetData>
    <row r="1" spans="1:37" s="83" customFormat="1" ht="15" customHeight="1">
      <c r="A1" s="2285"/>
      <c r="B1" s="2285"/>
      <c r="C1" s="2285"/>
      <c r="D1" s="2285"/>
      <c r="E1" s="2285"/>
      <c r="F1" s="2285"/>
      <c r="G1" s="2285"/>
      <c r="H1" s="2872" t="str">
        <f>levelStatement</f>
        <v>This project has not met all the requirements for Bronze, Silver, Gold, or Emerald.</v>
      </c>
      <c r="I1" s="2872"/>
      <c r="J1" s="2872"/>
      <c r="K1" s="2873"/>
      <c r="L1" s="2877">
        <v>2012</v>
      </c>
      <c r="M1" s="2879" t="s">
        <v>0</v>
      </c>
      <c r="N1" s="2880"/>
      <c r="O1" s="2879" t="s">
        <v>1</v>
      </c>
      <c r="P1" s="2881"/>
      <c r="Q1" s="2881"/>
      <c r="R1" s="2880"/>
      <c r="T1" s="84"/>
      <c r="U1" s="84"/>
      <c r="V1" s="84"/>
    </row>
    <row r="2" spans="1:37" s="83" customFormat="1" ht="15" customHeight="1">
      <c r="A2" s="2285"/>
      <c r="B2" s="2285"/>
      <c r="C2" s="2285"/>
      <c r="D2" s="2285"/>
      <c r="E2" s="2285"/>
      <c r="F2" s="2285"/>
      <c r="G2" s="2285"/>
      <c r="H2" s="2872"/>
      <c r="I2" s="2872"/>
      <c r="J2" s="2872"/>
      <c r="K2" s="2873"/>
      <c r="L2" s="2878"/>
      <c r="M2" s="1" t="s">
        <v>2</v>
      </c>
      <c r="N2" s="1" t="s">
        <v>3</v>
      </c>
      <c r="O2" s="2" t="s">
        <v>4</v>
      </c>
      <c r="P2" s="3" t="s">
        <v>5</v>
      </c>
      <c r="Q2" s="85" t="s">
        <v>6</v>
      </c>
      <c r="R2" s="5" t="s">
        <v>7</v>
      </c>
      <c r="T2" s="84"/>
      <c r="U2" s="84"/>
      <c r="V2" s="84"/>
      <c r="AK2" s="84"/>
    </row>
    <row r="3" spans="1:37" s="83" customFormat="1" ht="15" customHeight="1">
      <c r="A3" s="2285"/>
      <c r="B3" s="2285"/>
      <c r="C3" s="2285"/>
      <c r="D3" s="2285"/>
      <c r="E3" s="2285"/>
      <c r="F3" s="2285"/>
      <c r="G3" s="2285"/>
      <c r="H3" s="2872"/>
      <c r="I3" s="2872"/>
      <c r="J3" s="2872"/>
      <c r="K3" s="2873"/>
      <c r="L3" s="2882"/>
      <c r="M3" s="2883"/>
      <c r="N3" s="2883"/>
      <c r="O3" s="2883"/>
      <c r="P3" s="2883"/>
      <c r="Q3" s="2883"/>
      <c r="R3" s="2884"/>
      <c r="T3" s="84"/>
      <c r="U3" s="84"/>
      <c r="V3" s="84"/>
      <c r="AK3" s="84"/>
    </row>
    <row r="4" spans="1:37" s="83" customFormat="1" ht="15" customHeight="1">
      <c r="A4" s="2876" t="s">
        <v>3137</v>
      </c>
      <c r="B4" s="2876"/>
      <c r="C4" s="2876"/>
      <c r="D4" s="2876"/>
      <c r="E4" s="2876"/>
      <c r="F4" s="2876"/>
      <c r="G4" s="2876"/>
      <c r="H4" s="2874" t="str">
        <f>CONCATENATE("Revised ",TEXT(startRevisionDate,"mmmm dd, yyyy"))</f>
        <v>Revised August 21, 2020</v>
      </c>
      <c r="I4" s="2874"/>
      <c r="J4" s="2874"/>
      <c r="K4" s="2875"/>
      <c r="L4" s="2282" t="s">
        <v>10</v>
      </c>
      <c r="M4" s="2283">
        <f>projectTotal</f>
        <v>0</v>
      </c>
      <c r="N4" s="2284" t="str">
        <f>IF(SUM(projectMandatoryCount)=4,"Met","Not Met")</f>
        <v>Not Met</v>
      </c>
      <c r="O4" s="2283">
        <f>SUM(bronzeMinimum)</f>
        <v>231</v>
      </c>
      <c r="P4" s="2283">
        <f>SUM(silverMinimum)</f>
        <v>349</v>
      </c>
      <c r="Q4" s="2283">
        <f>SUM(goldMinimum)</f>
        <v>509</v>
      </c>
      <c r="R4" s="2283">
        <f>SUM(emeraldMinimum)</f>
        <v>641</v>
      </c>
      <c r="T4" s="84"/>
      <c r="U4" s="84"/>
      <c r="V4" s="84"/>
      <c r="AK4" s="84"/>
    </row>
    <row r="5" spans="1:37" ht="50" customHeight="1">
      <c r="A5" s="2871" t="s">
        <v>2862</v>
      </c>
      <c r="B5" s="2871"/>
      <c r="C5" s="2871"/>
      <c r="D5" s="2871"/>
      <c r="E5" s="2871"/>
      <c r="F5" s="2871"/>
      <c r="G5" s="2871"/>
      <c r="H5" s="2888" t="s">
        <v>3136</v>
      </c>
      <c r="I5" s="2888"/>
      <c r="J5" s="2888"/>
      <c r="K5" s="2888"/>
      <c r="L5" s="2888"/>
      <c r="M5" s="2888"/>
      <c r="N5" s="2888"/>
      <c r="O5" s="2888"/>
      <c r="P5" s="2888"/>
      <c r="Q5" s="2888"/>
      <c r="R5" s="2888"/>
    </row>
    <row r="6" spans="1:37" s="83" customFormat="1" ht="18.75" customHeight="1" thickBot="1">
      <c r="A6" s="2904" t="s">
        <v>169</v>
      </c>
      <c r="B6" s="2905"/>
      <c r="C6" s="2906">
        <f>Errata!B3</f>
        <v>2.5299999999999998</v>
      </c>
      <c r="D6" s="2906"/>
      <c r="E6" s="2905" t="s">
        <v>2867</v>
      </c>
      <c r="F6" s="2905"/>
      <c r="G6" s="2905"/>
      <c r="H6" s="2905"/>
      <c r="I6" s="2905"/>
      <c r="J6" s="2905"/>
      <c r="K6" s="2905"/>
      <c r="L6" s="2905"/>
      <c r="M6" s="2905"/>
      <c r="N6" s="2905"/>
      <c r="O6" s="2905"/>
      <c r="P6" s="2905"/>
      <c r="Q6" s="2905"/>
      <c r="R6" s="2907"/>
      <c r="T6" s="84"/>
      <c r="U6" s="84"/>
      <c r="V6" s="84"/>
    </row>
    <row r="7" spans="1:37">
      <c r="A7" s="2889" t="s">
        <v>170</v>
      </c>
      <c r="B7" s="2890"/>
      <c r="C7" s="2890"/>
      <c r="D7" s="2890"/>
      <c r="E7" s="2890"/>
      <c r="F7" s="2890"/>
      <c r="G7" s="2890"/>
      <c r="H7" s="2890"/>
      <c r="I7" s="2890"/>
      <c r="J7" s="2890"/>
      <c r="K7" s="2890"/>
      <c r="L7" s="2890"/>
      <c r="M7" s="2890"/>
      <c r="N7" s="2890"/>
      <c r="O7" s="2890"/>
      <c r="P7" s="2890"/>
      <c r="Q7" s="2890"/>
      <c r="R7" s="2891"/>
    </row>
    <row r="8" spans="1:37">
      <c r="A8" s="2892" t="s">
        <v>2861</v>
      </c>
      <c r="B8" s="2893"/>
      <c r="C8" s="2893"/>
      <c r="D8" s="2893"/>
      <c r="E8" s="2893"/>
      <c r="F8" s="2893"/>
      <c r="G8" s="2893"/>
      <c r="H8" s="2893"/>
      <c r="I8" s="2893"/>
      <c r="J8" s="2893"/>
      <c r="K8" s="2893"/>
      <c r="L8" s="2893"/>
      <c r="M8" s="2893"/>
      <c r="N8" s="2893"/>
      <c r="O8" s="2893"/>
      <c r="P8" s="2893"/>
      <c r="Q8" s="2893"/>
      <c r="R8" s="2894"/>
    </row>
    <row r="9" spans="1:37" ht="16" thickBot="1">
      <c r="A9" s="2895" t="s">
        <v>171</v>
      </c>
      <c r="B9" s="2896"/>
      <c r="C9" s="2897">
        <f>Errata!A3</f>
        <v>44064</v>
      </c>
      <c r="D9" s="2897"/>
      <c r="E9" s="2897"/>
      <c r="F9" s="2899" t="s">
        <v>172</v>
      </c>
      <c r="G9" s="2900"/>
      <c r="H9" s="2900"/>
      <c r="I9" s="2900"/>
      <c r="J9" s="2900"/>
      <c r="K9" s="2900"/>
      <c r="L9" s="2901"/>
      <c r="M9" s="2902"/>
      <c r="N9" s="2902"/>
      <c r="O9" s="2902"/>
      <c r="P9" s="2902"/>
      <c r="Q9" s="2902"/>
      <c r="R9" s="2903"/>
      <c r="S9" s="87"/>
    </row>
    <row r="10" spans="1:37" ht="4.5" customHeight="1" thickBot="1">
      <c r="A10" s="2898"/>
      <c r="B10" s="2898"/>
      <c r="C10" s="2898"/>
      <c r="D10" s="2898"/>
      <c r="E10" s="2898"/>
      <c r="F10" s="2898"/>
      <c r="G10" s="2898"/>
      <c r="H10" s="2898"/>
      <c r="I10" s="2898"/>
      <c r="J10" s="2898"/>
      <c r="K10" s="2898"/>
      <c r="L10" s="2898"/>
      <c r="M10" s="2898"/>
      <c r="N10" s="2898"/>
      <c r="O10" s="2898"/>
      <c r="P10" s="2898"/>
      <c r="Q10" s="2898"/>
      <c r="R10" s="2898"/>
    </row>
    <row r="11" spans="1:37" s="83" customFormat="1" ht="18.75" customHeight="1" thickBot="1">
      <c r="A11" s="2885" t="s">
        <v>173</v>
      </c>
      <c r="B11" s="2886"/>
      <c r="C11" s="2886"/>
      <c r="D11" s="2886"/>
      <c r="E11" s="2886"/>
      <c r="F11" s="2886"/>
      <c r="G11" s="2886"/>
      <c r="H11" s="2886"/>
      <c r="I11" s="2886"/>
      <c r="J11" s="2886"/>
      <c r="K11" s="2886"/>
      <c r="L11" s="2886"/>
      <c r="M11" s="2886"/>
      <c r="N11" s="2886"/>
      <c r="O11" s="2886"/>
      <c r="P11" s="2886"/>
      <c r="Q11" s="2886"/>
      <c r="R11" s="2887"/>
      <c r="T11" s="84"/>
      <c r="U11" s="84"/>
      <c r="V11" s="84"/>
    </row>
    <row r="12" spans="1:37" ht="45" customHeight="1" thickBot="1">
      <c r="A12" s="2908" t="s">
        <v>2882</v>
      </c>
      <c r="B12" s="2909"/>
      <c r="C12" s="2909"/>
      <c r="D12" s="2909"/>
      <c r="E12" s="2909"/>
      <c r="F12" s="2909"/>
      <c r="G12" s="2909"/>
      <c r="H12" s="2909"/>
      <c r="I12" s="2909"/>
      <c r="J12" s="2909"/>
      <c r="K12" s="2909"/>
      <c r="L12" s="2909"/>
      <c r="M12" s="2909"/>
      <c r="N12" s="2909"/>
      <c r="O12" s="2909"/>
      <c r="P12" s="2909"/>
      <c r="Q12" s="2909"/>
      <c r="R12" s="2910"/>
    </row>
    <row r="13" spans="1:37" ht="16" thickBot="1"/>
    <row r="14" spans="1:37" s="83" customFormat="1" ht="19" thickBot="1">
      <c r="A14" s="2911" t="s">
        <v>2576</v>
      </c>
      <c r="B14" s="2911"/>
      <c r="C14" s="2911"/>
      <c r="D14" s="2911"/>
      <c r="E14" s="2911"/>
      <c r="F14" s="2911"/>
      <c r="G14" s="2911"/>
      <c r="H14" s="2911"/>
      <c r="I14" s="2911"/>
      <c r="J14" s="2911"/>
      <c r="K14" s="2911"/>
      <c r="L14" s="2911"/>
      <c r="M14" s="2911"/>
      <c r="N14" s="2911"/>
      <c r="O14" s="2911"/>
      <c r="P14" s="2911"/>
      <c r="Q14" s="2911"/>
      <c r="R14" s="2911"/>
      <c r="T14" s="84"/>
      <c r="U14" s="84"/>
      <c r="V14" s="84"/>
    </row>
    <row r="15" spans="1:37" ht="30" customHeight="1">
      <c r="A15" s="2912" t="s">
        <v>3102</v>
      </c>
      <c r="B15" s="2913"/>
      <c r="C15" s="2913"/>
      <c r="D15" s="2913"/>
      <c r="E15" s="2913"/>
      <c r="F15" s="2913"/>
      <c r="G15" s="2913"/>
      <c r="H15" s="2913"/>
      <c r="I15" s="2913"/>
      <c r="J15" s="2913"/>
      <c r="K15" s="2913"/>
      <c r="L15" s="2913"/>
      <c r="M15" s="2913"/>
      <c r="N15" s="2913"/>
      <c r="O15" s="2913"/>
      <c r="P15" s="2913"/>
      <c r="Q15" s="2913"/>
      <c r="R15" s="2914"/>
    </row>
    <row r="16" spans="1:37" ht="15" customHeight="1">
      <c r="A16" s="2915" t="s">
        <v>174</v>
      </c>
      <c r="B16" s="2916"/>
      <c r="C16" s="2916"/>
      <c r="D16" s="2916"/>
      <c r="E16" s="2916"/>
      <c r="F16" s="2917"/>
      <c r="G16" s="2917"/>
      <c r="H16" s="2917"/>
      <c r="I16" s="2168"/>
      <c r="J16" s="2168"/>
      <c r="K16" s="2168"/>
      <c r="L16" s="1871"/>
      <c r="M16" s="1874"/>
      <c r="N16" s="2317"/>
      <c r="O16" s="2317"/>
      <c r="P16" s="2317"/>
      <c r="Q16" s="2317"/>
      <c r="R16" s="2318"/>
    </row>
    <row r="17" spans="1:18" ht="14.25" customHeight="1">
      <c r="A17" s="2915" t="s">
        <v>175</v>
      </c>
      <c r="B17" s="2916"/>
      <c r="C17" s="2916"/>
      <c r="D17" s="2916"/>
      <c r="E17" s="2916"/>
      <c r="F17" s="2917"/>
      <c r="G17" s="2917"/>
      <c r="H17" s="2917"/>
      <c r="I17" s="2168"/>
      <c r="J17" s="2168"/>
      <c r="K17" s="2168"/>
      <c r="L17" s="2168"/>
      <c r="M17" s="2168"/>
      <c r="N17" s="2168"/>
      <c r="O17" s="2168"/>
      <c r="P17" s="2315"/>
      <c r="Q17" s="2918"/>
      <c r="R17" s="2919"/>
    </row>
    <row r="18" spans="1:18" ht="16">
      <c r="A18" s="2915" t="s">
        <v>176</v>
      </c>
      <c r="B18" s="2916"/>
      <c r="C18" s="2916"/>
      <c r="D18" s="2920"/>
      <c r="E18" s="2916"/>
      <c r="F18" s="2917"/>
      <c r="G18" s="2917"/>
      <c r="H18" s="2917"/>
      <c r="I18" s="2316" t="s">
        <v>177</v>
      </c>
      <c r="J18" s="2921"/>
      <c r="K18" s="2922"/>
      <c r="L18" s="2923"/>
      <c r="M18" s="2315" t="s">
        <v>178</v>
      </c>
      <c r="N18" s="2811"/>
      <c r="O18" s="2315" t="s">
        <v>179</v>
      </c>
      <c r="P18" s="2811"/>
      <c r="Q18" s="2918"/>
      <c r="R18" s="2919"/>
    </row>
    <row r="19" spans="1:18">
      <c r="A19" s="2915" t="s">
        <v>180</v>
      </c>
      <c r="B19" s="2916"/>
      <c r="C19" s="2916"/>
      <c r="D19" s="2916"/>
      <c r="E19" s="2916"/>
      <c r="F19" s="2924"/>
      <c r="G19" s="2925"/>
      <c r="H19" s="2926"/>
      <c r="I19" s="2313" t="s">
        <v>2059</v>
      </c>
      <c r="J19" s="2921"/>
      <c r="K19" s="2922"/>
      <c r="L19" s="2923"/>
      <c r="M19" s="2317"/>
      <c r="N19" s="2317"/>
      <c r="O19" s="2315"/>
      <c r="P19" s="2315"/>
      <c r="Q19" s="2317"/>
      <c r="R19" s="2318"/>
    </row>
    <row r="20" spans="1:18" ht="6" customHeight="1">
      <c r="A20" s="2915"/>
      <c r="B20" s="2916"/>
      <c r="C20" s="2916"/>
      <c r="D20" s="2916"/>
      <c r="E20" s="2916"/>
      <c r="F20" s="2168"/>
      <c r="G20" s="2168"/>
      <c r="H20" s="2168"/>
      <c r="I20" s="2168"/>
      <c r="J20" s="2168"/>
      <c r="K20" s="2168"/>
      <c r="L20" s="2168"/>
      <c r="M20" s="2317"/>
      <c r="N20" s="2317"/>
      <c r="O20" s="2315"/>
      <c r="P20" s="2315"/>
      <c r="Q20" s="2317"/>
      <c r="R20" s="2318"/>
    </row>
    <row r="21" spans="1:18" ht="15" customHeight="1">
      <c r="A21" s="2915" t="s">
        <v>181</v>
      </c>
      <c r="B21" s="2916"/>
      <c r="C21" s="2916"/>
      <c r="D21" s="2916"/>
      <c r="E21" s="2916"/>
      <c r="F21" s="2935"/>
      <c r="G21" s="2935"/>
      <c r="H21" s="2935"/>
      <c r="I21" s="2936" t="str">
        <f>IF(startSingleorMulti="Multi-Unit","Enter # of units:","")</f>
        <v/>
      </c>
      <c r="J21" s="2937"/>
      <c r="K21" s="2938"/>
      <c r="L21" s="2810"/>
      <c r="M21" s="2320" t="str">
        <f>IF(startSingleorMulti="Multi-Unit", "# is required.", "")</f>
        <v/>
      </c>
      <c r="N21" s="2916" t="str">
        <f>IF(startSingleorMulti="Multi-Unit","Project Name:","")</f>
        <v/>
      </c>
      <c r="O21" s="2916"/>
      <c r="P21" s="2870"/>
      <c r="Q21" s="2870"/>
      <c r="R21" s="2870"/>
    </row>
    <row r="22" spans="1:18" ht="10" customHeight="1">
      <c r="A22" s="2941" t="str">
        <f>IF(startSingleorMulti="Multi-Unit", "Multi-Unit buildings are buildings where units are typically one above another and the units share a common foundation and roof. Townhouses, rowhomes, and quads must be scored and certified as single-family units.", "")</f>
        <v/>
      </c>
      <c r="B22" s="2942"/>
      <c r="C22" s="2942"/>
      <c r="D22" s="2942"/>
      <c r="E22" s="2942"/>
      <c r="F22" s="2942"/>
      <c r="G22" s="2942"/>
      <c r="H22" s="2942"/>
      <c r="I22" s="2942"/>
      <c r="J22" s="2942"/>
      <c r="K22" s="2942"/>
      <c r="L22" s="2942"/>
      <c r="M22" s="2942"/>
      <c r="N22" s="2942"/>
      <c r="O22" s="2942"/>
      <c r="P22" s="2942"/>
      <c r="Q22" s="2942"/>
      <c r="R22" s="88"/>
    </row>
    <row r="23" spans="1:18">
      <c r="A23" s="2915" t="s">
        <v>182</v>
      </c>
      <c r="B23" s="2916"/>
      <c r="C23" s="2916"/>
      <c r="D23" s="2916"/>
      <c r="E23" s="2916"/>
      <c r="F23" s="2917"/>
      <c r="G23" s="2917"/>
      <c r="H23" s="2917"/>
      <c r="I23" s="2939" t="s">
        <v>2081</v>
      </c>
      <c r="J23" s="2940"/>
      <c r="K23" s="2921"/>
      <c r="L23" s="2923"/>
      <c r="M23" s="2168"/>
      <c r="N23" s="2317"/>
      <c r="O23" s="2931" t="s">
        <v>183</v>
      </c>
      <c r="P23" s="2931"/>
      <c r="Q23" s="2931"/>
      <c r="R23" s="2318"/>
    </row>
    <row r="24" spans="1:18" ht="5.25" customHeight="1">
      <c r="A24" s="89"/>
      <c r="B24" s="2168"/>
      <c r="C24" s="2168"/>
      <c r="D24" s="2168"/>
      <c r="E24" s="2168"/>
      <c r="F24" s="2168"/>
      <c r="G24" s="2168"/>
      <c r="H24" s="2168"/>
      <c r="I24" s="2168"/>
      <c r="J24" s="2168"/>
      <c r="K24" s="2168"/>
      <c r="L24" s="2168"/>
      <c r="M24" s="2168"/>
      <c r="N24" s="2319"/>
      <c r="O24" s="2319"/>
      <c r="P24" s="2319"/>
      <c r="Q24" s="2319"/>
      <c r="R24" s="88"/>
    </row>
    <row r="25" spans="1:18">
      <c r="A25" s="2915" t="s">
        <v>2056</v>
      </c>
      <c r="B25" s="2916"/>
      <c r="C25" s="2916"/>
      <c r="D25" s="2916"/>
      <c r="E25" s="2916"/>
      <c r="F25" s="2924"/>
      <c r="G25" s="2925"/>
      <c r="H25" s="2926"/>
      <c r="I25" s="2321" t="s">
        <v>2560</v>
      </c>
      <c r="J25" s="2918" t="s">
        <v>2575</v>
      </c>
      <c r="K25" s="2918"/>
      <c r="L25" s="2918"/>
      <c r="M25" s="2918"/>
      <c r="N25" s="2918"/>
      <c r="O25" s="2918"/>
      <c r="P25" s="2918"/>
      <c r="Q25" s="2918"/>
      <c r="R25" s="2919"/>
    </row>
    <row r="26" spans="1:18" ht="6.75" customHeight="1">
      <c r="A26" s="2314"/>
      <c r="B26" s="2315"/>
      <c r="C26" s="2315"/>
      <c r="D26" s="2315"/>
      <c r="E26" s="2315"/>
      <c r="F26" s="2168"/>
      <c r="G26" s="2168"/>
      <c r="H26" s="2168"/>
      <c r="I26" s="2168"/>
      <c r="J26" s="2317"/>
      <c r="K26" s="2317"/>
      <c r="L26" s="2317"/>
      <c r="M26" s="2317"/>
      <c r="N26" s="2317"/>
      <c r="O26" s="2317"/>
      <c r="P26" s="2317"/>
      <c r="Q26" s="2317"/>
      <c r="R26" s="2318"/>
    </row>
    <row r="27" spans="1:18" ht="15" customHeight="1">
      <c r="A27" s="2915" t="s">
        <v>2057</v>
      </c>
      <c r="B27" s="2916"/>
      <c r="C27" s="2916"/>
      <c r="D27" s="2916"/>
      <c r="E27" s="2916"/>
      <c r="F27" s="2924"/>
      <c r="G27" s="2925"/>
      <c r="H27" s="2926"/>
      <c r="I27" s="2321" t="s">
        <v>185</v>
      </c>
      <c r="J27" s="2918" t="str">
        <f>IF(startSingleorMulti="Multi-unit","Enter weighted average total conditioned area per unit","")</f>
        <v/>
      </c>
      <c r="K27" s="2918"/>
      <c r="L27" s="2918"/>
      <c r="M27" s="2918"/>
      <c r="N27" s="2918"/>
      <c r="O27" s="2918"/>
      <c r="P27" s="2918"/>
      <c r="Q27" s="2317"/>
      <c r="R27" s="2318"/>
    </row>
    <row r="28" spans="1:18" ht="7.5" customHeight="1">
      <c r="A28" s="2314"/>
      <c r="B28" s="2315"/>
      <c r="C28" s="2315"/>
      <c r="D28" s="2315"/>
      <c r="E28" s="2315"/>
      <c r="F28" s="2168"/>
      <c r="G28" s="2168"/>
      <c r="H28" s="2168"/>
      <c r="I28" s="2168"/>
      <c r="J28" s="2317"/>
      <c r="K28" s="2317"/>
      <c r="L28" s="2317"/>
      <c r="M28" s="2317"/>
      <c r="N28" s="2317"/>
      <c r="O28" s="2317"/>
      <c r="P28" s="2317"/>
      <c r="Q28" s="2317"/>
      <c r="R28" s="2318"/>
    </row>
    <row r="29" spans="1:18">
      <c r="A29" s="2915" t="s">
        <v>186</v>
      </c>
      <c r="B29" s="2916"/>
      <c r="C29" s="2916"/>
      <c r="D29" s="2916"/>
      <c r="E29" s="2916"/>
      <c r="F29" s="2932"/>
      <c r="G29" s="2933"/>
      <c r="H29" s="2933"/>
      <c r="I29" s="2933"/>
      <c r="J29" s="2933"/>
      <c r="K29" s="2933"/>
      <c r="L29" s="2933"/>
      <c r="M29" s="2933"/>
      <c r="N29" s="2933"/>
      <c r="O29" s="2933"/>
      <c r="P29" s="2934"/>
      <c r="Q29" s="2317"/>
      <c r="R29" s="2318"/>
    </row>
    <row r="30" spans="1:18" ht="6" customHeight="1">
      <c r="A30" s="2314"/>
      <c r="B30" s="2315"/>
      <c r="C30" s="2315"/>
      <c r="D30" s="2315"/>
      <c r="E30" s="2315"/>
      <c r="F30" s="2168"/>
      <c r="G30" s="2168"/>
      <c r="H30" s="2168"/>
      <c r="I30" s="2168"/>
      <c r="J30" s="2317"/>
      <c r="K30" s="2317"/>
      <c r="L30" s="2317"/>
      <c r="M30" s="2317"/>
      <c r="N30" s="2317"/>
      <c r="O30" s="2317"/>
      <c r="P30" s="2317"/>
      <c r="Q30" s="2317"/>
      <c r="R30" s="2318"/>
    </row>
    <row r="31" spans="1:18" ht="15.75" customHeight="1">
      <c r="A31" s="2915" t="s">
        <v>3122</v>
      </c>
      <c r="B31" s="2916"/>
      <c r="C31" s="2916"/>
      <c r="D31" s="2916"/>
      <c r="E31" s="2927"/>
      <c r="F31" s="2928"/>
      <c r="G31" s="2929"/>
      <c r="H31" s="2930"/>
      <c r="I31" s="2168"/>
      <c r="J31" s="2317"/>
      <c r="K31" s="2317"/>
      <c r="L31" s="2317"/>
      <c r="M31" s="2317"/>
      <c r="N31" s="2317"/>
      <c r="O31" s="2317"/>
      <c r="P31" s="2317"/>
      <c r="Q31" s="2317"/>
      <c r="R31" s="2318"/>
    </row>
    <row r="32" spans="1:18" s="1805" customFormat="1" ht="6" customHeight="1">
      <c r="A32" s="2314"/>
      <c r="B32" s="2315"/>
      <c r="C32" s="2315"/>
      <c r="D32" s="2315"/>
      <c r="E32" s="2315"/>
      <c r="F32" s="2168"/>
      <c r="G32" s="2168"/>
      <c r="H32" s="2168"/>
      <c r="I32" s="2168"/>
      <c r="J32" s="2317"/>
      <c r="K32" s="2317"/>
      <c r="L32" s="2317"/>
      <c r="M32" s="2317"/>
      <c r="N32" s="2317"/>
      <c r="O32" s="2317"/>
      <c r="P32" s="2317"/>
      <c r="Q32" s="2317"/>
      <c r="R32" s="2318"/>
    </row>
    <row r="33" spans="1:18" ht="15" customHeight="1">
      <c r="A33" s="2943" t="s">
        <v>187</v>
      </c>
      <c r="B33" s="2944"/>
      <c r="C33" s="2944"/>
      <c r="D33" s="2944"/>
      <c r="E33" s="2946"/>
      <c r="F33" s="2947"/>
      <c r="G33" s="2948"/>
      <c r="H33" s="2949"/>
      <c r="I33" s="2308"/>
      <c r="J33" s="2308"/>
      <c r="K33" s="2308"/>
      <c r="L33" s="2308"/>
      <c r="M33" s="2308"/>
      <c r="N33" s="2308"/>
      <c r="O33" s="2308"/>
      <c r="P33" s="2308"/>
      <c r="Q33" s="2308"/>
      <c r="R33" s="2309"/>
    </row>
    <row r="34" spans="1:18" ht="5.25" customHeight="1">
      <c r="A34" s="89"/>
      <c r="B34" s="2168"/>
      <c r="C34" s="92"/>
      <c r="D34" s="92"/>
      <c r="E34" s="92"/>
      <c r="F34" s="2807"/>
      <c r="G34" s="2807"/>
      <c r="H34" s="2807"/>
      <c r="I34" s="92"/>
      <c r="J34" s="92"/>
      <c r="K34" s="2168"/>
      <c r="L34" s="2168"/>
      <c r="M34" s="2168"/>
      <c r="N34" s="2168"/>
      <c r="O34" s="2168"/>
      <c r="P34" s="2168"/>
      <c r="Q34" s="2168"/>
      <c r="R34" s="93"/>
    </row>
    <row r="35" spans="1:18" ht="15" customHeight="1">
      <c r="A35" s="2943" t="s">
        <v>188</v>
      </c>
      <c r="B35" s="2944"/>
      <c r="C35" s="2944"/>
      <c r="D35" s="2944"/>
      <c r="E35" s="2944"/>
      <c r="F35" s="2947"/>
      <c r="G35" s="2948"/>
      <c r="H35" s="2949"/>
      <c r="I35" s="2950" t="s">
        <v>1103</v>
      </c>
      <c r="J35" s="2951"/>
      <c r="K35" s="2947"/>
      <c r="L35" s="2948"/>
      <c r="M35" s="2949"/>
      <c r="N35" s="2940" t="s">
        <v>1102</v>
      </c>
      <c r="O35" s="2940"/>
      <c r="P35" s="2947"/>
      <c r="Q35" s="2949"/>
      <c r="R35" s="93"/>
    </row>
    <row r="36" spans="1:18" ht="5.25" customHeight="1">
      <c r="A36" s="89"/>
      <c r="B36" s="2168"/>
      <c r="C36" s="2168"/>
      <c r="D36" s="2168"/>
      <c r="E36" s="92"/>
      <c r="F36" s="2808"/>
      <c r="G36" s="2808"/>
      <c r="H36" s="2808"/>
      <c r="I36" s="92"/>
      <c r="J36" s="92"/>
      <c r="K36" s="92"/>
      <c r="L36" s="92"/>
      <c r="M36" s="92"/>
      <c r="N36" s="92"/>
      <c r="O36" s="92"/>
      <c r="P36" s="92"/>
      <c r="Q36" s="92"/>
      <c r="R36" s="93"/>
    </row>
    <row r="37" spans="1:18" ht="15" customHeight="1">
      <c r="A37" s="2943" t="s">
        <v>189</v>
      </c>
      <c r="B37" s="2944"/>
      <c r="C37" s="2944"/>
      <c r="D37" s="2944"/>
      <c r="E37" s="2944"/>
      <c r="F37" s="2947"/>
      <c r="G37" s="2948"/>
      <c r="H37" s="2949"/>
      <c r="I37" s="2308"/>
      <c r="J37" s="2308"/>
      <c r="K37" s="2308"/>
      <c r="L37" s="2308"/>
      <c r="M37" s="2308"/>
      <c r="N37" s="2308"/>
      <c r="O37" s="2308"/>
      <c r="P37" s="2308"/>
      <c r="Q37" s="2308"/>
      <c r="R37" s="2309"/>
    </row>
    <row r="38" spans="1:18" ht="6" customHeight="1">
      <c r="A38" s="89"/>
      <c r="B38" s="2168"/>
      <c r="C38" s="2168"/>
      <c r="D38" s="2168"/>
      <c r="E38" s="92"/>
      <c r="F38" s="2168"/>
      <c r="G38" s="2168"/>
      <c r="H38" s="2168"/>
      <c r="I38" s="92"/>
      <c r="J38" s="92"/>
      <c r="K38" s="92"/>
      <c r="L38" s="92"/>
      <c r="M38" s="92"/>
      <c r="N38" s="92"/>
      <c r="O38" s="92"/>
      <c r="P38" s="92"/>
      <c r="Q38" s="92"/>
      <c r="R38" s="93"/>
    </row>
    <row r="39" spans="1:18" ht="15" customHeight="1">
      <c r="A39" s="2943" t="s">
        <v>190</v>
      </c>
      <c r="B39" s="2944"/>
      <c r="C39" s="2944"/>
      <c r="D39" s="2944"/>
      <c r="E39" s="2944"/>
      <c r="F39" s="2947"/>
      <c r="G39" s="2948"/>
      <c r="H39" s="2949"/>
      <c r="I39" s="2308"/>
      <c r="J39" s="2308"/>
      <c r="K39" s="2308"/>
      <c r="L39" s="2308"/>
      <c r="M39" s="2308"/>
      <c r="N39" s="2308"/>
      <c r="O39" s="2308"/>
      <c r="P39" s="2308"/>
      <c r="Q39" s="2308"/>
      <c r="R39" s="2309"/>
    </row>
    <row r="40" spans="1:18" ht="6" customHeight="1">
      <c r="A40" s="89"/>
      <c r="B40" s="2168"/>
      <c r="C40" s="2168"/>
      <c r="D40" s="2168"/>
      <c r="E40" s="92"/>
      <c r="F40" s="2808"/>
      <c r="G40" s="2808"/>
      <c r="H40" s="2808"/>
      <c r="I40" s="92"/>
      <c r="J40" s="92"/>
      <c r="K40" s="92"/>
      <c r="L40" s="92"/>
      <c r="M40" s="92"/>
      <c r="N40" s="92"/>
      <c r="O40" s="92"/>
      <c r="P40" s="92"/>
      <c r="Q40" s="92"/>
      <c r="R40" s="93"/>
    </row>
    <row r="41" spans="1:18" ht="15" customHeight="1">
      <c r="A41" s="2943" t="s">
        <v>191</v>
      </c>
      <c r="B41" s="2944"/>
      <c r="C41" s="2944"/>
      <c r="D41" s="2944"/>
      <c r="E41" s="2944"/>
      <c r="F41" s="2947"/>
      <c r="G41" s="2948"/>
      <c r="H41" s="2949"/>
      <c r="I41" s="2308"/>
      <c r="J41" s="2308"/>
      <c r="K41" s="2308"/>
      <c r="L41" s="2308"/>
      <c r="M41" s="2308"/>
      <c r="N41" s="2308"/>
      <c r="O41" s="2308"/>
      <c r="P41" s="2308"/>
      <c r="Q41" s="2308"/>
      <c r="R41" s="2309"/>
    </row>
    <row r="42" spans="1:18" ht="5.25" customHeight="1">
      <c r="A42" s="89"/>
      <c r="B42" s="2168"/>
      <c r="C42" s="2168"/>
      <c r="D42" s="2168"/>
      <c r="E42" s="92"/>
      <c r="F42" s="2808"/>
      <c r="G42" s="2808"/>
      <c r="H42" s="2808"/>
      <c r="I42" s="92"/>
      <c r="J42" s="92"/>
      <c r="K42" s="92"/>
      <c r="L42" s="92"/>
      <c r="M42" s="92"/>
      <c r="N42" s="92"/>
      <c r="O42" s="92"/>
      <c r="P42" s="92"/>
      <c r="Q42" s="92"/>
      <c r="R42" s="93"/>
    </row>
    <row r="43" spans="1:18" ht="15" customHeight="1">
      <c r="A43" s="2943" t="s">
        <v>192</v>
      </c>
      <c r="B43" s="2944"/>
      <c r="C43" s="2944"/>
      <c r="D43" s="2944"/>
      <c r="E43" s="2944"/>
      <c r="F43" s="2947"/>
      <c r="G43" s="2948"/>
      <c r="H43" s="2949"/>
      <c r="I43" s="2308"/>
      <c r="J43" s="2308"/>
      <c r="K43" s="2308"/>
      <c r="L43" s="2308"/>
      <c r="M43" s="2308"/>
      <c r="N43" s="2308"/>
      <c r="O43" s="2308"/>
      <c r="P43" s="2308"/>
      <c r="Q43" s="2308"/>
      <c r="R43" s="2309"/>
    </row>
    <row r="44" spans="1:18" ht="6" customHeight="1">
      <c r="A44" s="89"/>
      <c r="B44" s="2168"/>
      <c r="C44" s="2168"/>
      <c r="D44" s="2168"/>
      <c r="E44" s="92"/>
      <c r="F44" s="2808"/>
      <c r="G44" s="2808"/>
      <c r="H44" s="2808"/>
      <c r="I44" s="92"/>
      <c r="J44" s="92"/>
      <c r="K44" s="92"/>
      <c r="L44" s="92"/>
      <c r="M44" s="92"/>
      <c r="N44" s="92"/>
      <c r="O44" s="92"/>
      <c r="P44" s="92"/>
      <c r="Q44" s="92"/>
      <c r="R44" s="93"/>
    </row>
    <row r="45" spans="1:18" ht="15" customHeight="1">
      <c r="A45" s="2943" t="s">
        <v>193</v>
      </c>
      <c r="B45" s="2944"/>
      <c r="C45" s="2944"/>
      <c r="D45" s="2944"/>
      <c r="E45" s="2944"/>
      <c r="F45" s="2947"/>
      <c r="G45" s="2948"/>
      <c r="H45" s="2949"/>
      <c r="I45" s="2308"/>
      <c r="J45" s="2308"/>
      <c r="K45" s="2308"/>
      <c r="L45" s="2308"/>
      <c r="M45" s="2308"/>
      <c r="N45" s="2308"/>
      <c r="O45" s="2308"/>
      <c r="P45" s="2308"/>
      <c r="Q45" s="2308"/>
      <c r="R45" s="2309"/>
    </row>
    <row r="46" spans="1:18" ht="6" customHeight="1">
      <c r="A46" s="89"/>
      <c r="B46" s="2168"/>
      <c r="C46" s="92"/>
      <c r="D46" s="92"/>
      <c r="E46" s="92"/>
      <c r="F46" s="2808"/>
      <c r="G46" s="2808"/>
      <c r="H46" s="2808"/>
      <c r="I46" s="92"/>
      <c r="J46" s="92"/>
      <c r="K46" s="92"/>
      <c r="L46" s="92"/>
      <c r="M46" s="92"/>
      <c r="N46" s="92"/>
      <c r="O46" s="92"/>
      <c r="P46" s="92"/>
      <c r="Q46" s="92"/>
      <c r="R46" s="93"/>
    </row>
    <row r="47" spans="1:18" ht="15" customHeight="1">
      <c r="A47" s="2943" t="s">
        <v>194</v>
      </c>
      <c r="B47" s="2944"/>
      <c r="C47" s="2944"/>
      <c r="D47" s="2944"/>
      <c r="E47" s="2944"/>
      <c r="F47" s="2947"/>
      <c r="G47" s="2948"/>
      <c r="H47" s="2949"/>
      <c r="I47" s="2308"/>
      <c r="J47" s="2308"/>
      <c r="K47" s="2308"/>
      <c r="L47" s="2308"/>
      <c r="M47" s="2308"/>
      <c r="N47" s="2308"/>
      <c r="O47" s="2308"/>
      <c r="P47" s="2308"/>
      <c r="Q47" s="2308"/>
      <c r="R47" s="2309"/>
    </row>
    <row r="48" spans="1:18" ht="5.25" customHeight="1">
      <c r="A48" s="89"/>
      <c r="B48" s="2168"/>
      <c r="C48" s="92"/>
      <c r="D48" s="92"/>
      <c r="E48" s="92"/>
      <c r="F48" s="2808"/>
      <c r="G48" s="2808"/>
      <c r="H48" s="2808"/>
      <c r="I48" s="92"/>
      <c r="J48" s="92"/>
      <c r="K48" s="92"/>
      <c r="L48" s="92"/>
      <c r="M48" s="92"/>
      <c r="N48" s="92"/>
      <c r="O48" s="92"/>
      <c r="P48" s="92"/>
      <c r="Q48" s="92"/>
      <c r="R48" s="93"/>
    </row>
    <row r="49" spans="1:22" ht="15" customHeight="1">
      <c r="A49" s="2943" t="s">
        <v>195</v>
      </c>
      <c r="B49" s="2944"/>
      <c r="C49" s="2944"/>
      <c r="D49" s="2944"/>
      <c r="E49" s="2944"/>
      <c r="F49" s="2952"/>
      <c r="G49" s="2953"/>
      <c r="H49" s="2954"/>
      <c r="I49" s="2308"/>
      <c r="J49" s="2308"/>
      <c r="K49" s="2308"/>
      <c r="L49" s="2308"/>
      <c r="M49" s="2308"/>
      <c r="N49" s="2308"/>
      <c r="O49" s="2308"/>
      <c r="P49" s="2308"/>
      <c r="Q49" s="2308"/>
      <c r="R49" s="2309"/>
    </row>
    <row r="50" spans="1:22" ht="6" customHeight="1">
      <c r="A50" s="89"/>
      <c r="B50" s="2168"/>
      <c r="C50" s="92"/>
      <c r="D50" s="92"/>
      <c r="E50" s="92"/>
      <c r="F50" s="92"/>
      <c r="G50" s="92"/>
      <c r="H50" s="2807"/>
      <c r="I50" s="92"/>
      <c r="J50" s="92"/>
      <c r="K50" s="92"/>
      <c r="L50" s="92"/>
      <c r="M50" s="92"/>
      <c r="N50" s="92"/>
      <c r="O50" s="92"/>
      <c r="P50" s="92"/>
      <c r="Q50" s="92"/>
      <c r="R50" s="93"/>
    </row>
    <row r="51" spans="1:22" ht="15" customHeight="1">
      <c r="A51" s="2943" t="s">
        <v>196</v>
      </c>
      <c r="B51" s="2944"/>
      <c r="C51" s="2944"/>
      <c r="D51" s="2944"/>
      <c r="E51" s="2944"/>
      <c r="F51" s="2945" t="s">
        <v>197</v>
      </c>
      <c r="G51" s="2945"/>
      <c r="H51" s="2809"/>
      <c r="I51" s="2308"/>
      <c r="J51" s="2945" t="s">
        <v>198</v>
      </c>
      <c r="K51" s="2945"/>
      <c r="L51" s="2945"/>
      <c r="M51" s="2809"/>
      <c r="N51" s="2308"/>
      <c r="O51" s="2308"/>
      <c r="P51" s="2308"/>
      <c r="Q51" s="2308"/>
      <c r="R51" s="2309"/>
    </row>
    <row r="52" spans="1:22" ht="15" customHeight="1">
      <c r="A52" s="2311"/>
      <c r="B52" s="2312"/>
      <c r="C52" s="2312"/>
      <c r="D52" s="2312"/>
      <c r="E52" s="2312"/>
      <c r="F52" s="2945" t="s">
        <v>199</v>
      </c>
      <c r="G52" s="2945"/>
      <c r="H52" s="2809"/>
      <c r="I52" s="2308"/>
      <c r="J52" s="2961" t="s">
        <v>200</v>
      </c>
      <c r="K52" s="2961"/>
      <c r="L52" s="2961"/>
      <c r="M52" s="2809"/>
      <c r="N52" s="2308"/>
      <c r="O52" s="2308"/>
      <c r="P52" s="2308"/>
      <c r="Q52" s="2308"/>
      <c r="R52" s="2309"/>
    </row>
    <row r="53" spans="1:22" s="1727" customFormat="1" ht="15" customHeight="1">
      <c r="A53" s="2311"/>
      <c r="B53" s="2312"/>
      <c r="C53" s="2312"/>
      <c r="D53" s="2312"/>
      <c r="E53" s="2312"/>
      <c r="F53" s="2945" t="s">
        <v>2549</v>
      </c>
      <c r="G53" s="2945"/>
      <c r="H53" s="2809"/>
      <c r="I53" s="2308"/>
      <c r="J53" s="2310"/>
      <c r="K53" s="2310"/>
      <c r="L53" s="2310"/>
      <c r="M53" s="1821"/>
      <c r="N53" s="2308"/>
      <c r="O53" s="2308"/>
      <c r="P53" s="2308"/>
      <c r="Q53" s="2308"/>
      <c r="R53" s="2309"/>
    </row>
    <row r="54" spans="1:22" s="1727" customFormat="1" ht="15" customHeight="1">
      <c r="A54" s="2311"/>
      <c r="B54" s="2312"/>
      <c r="C54" s="2312"/>
      <c r="D54" s="2312"/>
      <c r="E54" s="2312"/>
      <c r="F54" s="2945" t="s">
        <v>2550</v>
      </c>
      <c r="G54" s="2945"/>
      <c r="H54" s="2809"/>
      <c r="I54" s="2308"/>
      <c r="J54" s="2310"/>
      <c r="K54" s="2310"/>
      <c r="L54" s="2310"/>
      <c r="M54" s="1821"/>
      <c r="N54" s="2308"/>
      <c r="O54" s="2308"/>
      <c r="P54" s="2308"/>
      <c r="Q54" s="2308"/>
      <c r="R54" s="2309"/>
    </row>
    <row r="55" spans="1:22" s="1715" customFormat="1" ht="5.25" customHeight="1">
      <c r="A55" s="2311"/>
      <c r="B55" s="2312"/>
      <c r="C55" s="2312"/>
      <c r="D55" s="2312"/>
      <c r="E55" s="2312"/>
      <c r="F55" s="2322"/>
      <c r="G55" s="2322"/>
      <c r="H55" s="2168"/>
      <c r="I55" s="2308"/>
      <c r="J55" s="2310"/>
      <c r="K55" s="2310"/>
      <c r="L55" s="2310"/>
      <c r="M55" s="2168"/>
      <c r="N55" s="2308"/>
      <c r="O55" s="2308"/>
      <c r="P55" s="2308"/>
      <c r="Q55" s="2308"/>
      <c r="R55" s="2309"/>
    </row>
    <row r="56" spans="1:22" s="1715" customFormat="1" ht="15" customHeight="1">
      <c r="A56" s="2972" t="s">
        <v>2533</v>
      </c>
      <c r="B56" s="2940"/>
      <c r="C56" s="2940"/>
      <c r="D56" s="2940"/>
      <c r="E56" s="2940"/>
      <c r="F56" s="2973"/>
      <c r="G56" s="2974"/>
      <c r="H56" s="2975"/>
      <c r="I56" s="2308"/>
      <c r="J56" s="2310"/>
      <c r="K56" s="2310"/>
      <c r="L56" s="2310"/>
      <c r="M56" s="2168"/>
      <c r="N56" s="2308"/>
      <c r="O56" s="2308"/>
      <c r="P56" s="2308"/>
      <c r="Q56" s="2308"/>
      <c r="R56" s="2309"/>
    </row>
    <row r="57" spans="1:22" s="1715" customFormat="1" ht="6" customHeight="1">
      <c r="A57" s="2311"/>
      <c r="B57" s="2312"/>
      <c r="C57" s="2312"/>
      <c r="D57" s="2312"/>
      <c r="E57" s="2312"/>
      <c r="F57" s="2322"/>
      <c r="G57" s="2322"/>
      <c r="H57" s="2168"/>
      <c r="I57" s="2308"/>
      <c r="J57" s="2310"/>
      <c r="K57" s="2310"/>
      <c r="L57" s="2310"/>
      <c r="M57" s="2168"/>
      <c r="N57" s="2308"/>
      <c r="O57" s="2308"/>
      <c r="P57" s="2308"/>
      <c r="Q57" s="2308"/>
      <c r="R57" s="2309"/>
    </row>
    <row r="58" spans="1:22" s="1715" customFormat="1" ht="15" customHeight="1">
      <c r="A58" s="2972" t="s">
        <v>2534</v>
      </c>
      <c r="B58" s="2940"/>
      <c r="C58" s="2940"/>
      <c r="D58" s="2940"/>
      <c r="E58" s="2940"/>
      <c r="F58" s="2973"/>
      <c r="G58" s="2974"/>
      <c r="H58" s="2975"/>
      <c r="I58" s="2308"/>
      <c r="J58" s="2310"/>
      <c r="K58" s="2310"/>
      <c r="L58" s="2310"/>
      <c r="M58" s="2168"/>
      <c r="N58" s="2308"/>
      <c r="O58" s="2308"/>
      <c r="P58" s="2308"/>
      <c r="Q58" s="2308"/>
      <c r="R58" s="2309"/>
    </row>
    <row r="59" spans="1:22" ht="6.75" customHeight="1" thickBot="1">
      <c r="A59" s="94"/>
      <c r="B59" s="890"/>
      <c r="C59" s="95"/>
      <c r="D59" s="95"/>
      <c r="E59" s="95"/>
      <c r="F59" s="95"/>
      <c r="G59" s="95"/>
      <c r="H59" s="95"/>
      <c r="I59" s="95"/>
      <c r="J59" s="95"/>
      <c r="K59" s="95"/>
      <c r="L59" s="95"/>
      <c r="M59" s="95"/>
      <c r="N59" s="95"/>
      <c r="O59" s="95"/>
      <c r="P59" s="95"/>
      <c r="Q59" s="95"/>
      <c r="R59" s="96"/>
    </row>
    <row r="60" spans="1:22" ht="6" customHeight="1" thickBot="1"/>
    <row r="61" spans="1:22" ht="19" thickBot="1">
      <c r="A61" s="2911" t="s">
        <v>201</v>
      </c>
      <c r="B61" s="2911"/>
      <c r="C61" s="2911"/>
      <c r="D61" s="2911"/>
      <c r="E61" s="2911"/>
      <c r="F61" s="2911"/>
      <c r="G61" s="2911"/>
      <c r="H61" s="2911"/>
      <c r="I61" s="2911"/>
      <c r="J61" s="2911"/>
      <c r="K61" s="2911"/>
      <c r="L61" s="2911"/>
      <c r="M61" s="2911"/>
      <c r="N61" s="2911"/>
      <c r="O61" s="2911"/>
      <c r="P61" s="2911"/>
      <c r="Q61" s="2911"/>
      <c r="R61" s="2911"/>
    </row>
    <row r="62" spans="1:22" ht="15" customHeight="1">
      <c r="A62" s="89"/>
      <c r="B62" s="24"/>
      <c r="C62" s="24"/>
      <c r="D62" s="24"/>
      <c r="E62" s="24"/>
      <c r="F62" s="24"/>
      <c r="G62" s="24"/>
      <c r="H62" s="24"/>
      <c r="I62" s="24"/>
      <c r="J62" s="24"/>
      <c r="K62" s="24"/>
      <c r="L62" s="24"/>
      <c r="M62" s="24"/>
      <c r="N62" s="24"/>
      <c r="O62" s="24"/>
      <c r="P62" s="24"/>
      <c r="Q62" s="24"/>
      <c r="R62" s="91"/>
    </row>
    <row r="63" spans="1:22" s="83" customFormat="1" ht="30" customHeight="1">
      <c r="A63" s="89"/>
      <c r="B63" s="97"/>
      <c r="C63" s="2968" t="s">
        <v>2561</v>
      </c>
      <c r="D63" s="2976"/>
      <c r="E63" s="2976"/>
      <c r="F63" s="2976"/>
      <c r="G63" s="2976"/>
      <c r="H63" s="2976"/>
      <c r="I63" s="1751"/>
      <c r="J63" s="1788"/>
      <c r="K63" s="2963" t="s">
        <v>2562</v>
      </c>
      <c r="L63" s="2976"/>
      <c r="M63" s="2976"/>
      <c r="N63" s="2976"/>
      <c r="O63" s="2976"/>
      <c r="P63" s="2976"/>
      <c r="Q63" s="2976"/>
      <c r="R63" s="2964"/>
      <c r="T63" s="84"/>
      <c r="U63" s="84"/>
      <c r="V63" s="84"/>
    </row>
    <row r="64" spans="1:22" ht="15" customHeight="1">
      <c r="A64" s="89"/>
      <c r="B64" s="24"/>
      <c r="C64" s="92"/>
      <c r="D64" s="92"/>
      <c r="E64" s="92"/>
      <c r="F64" s="92"/>
      <c r="G64" s="92"/>
      <c r="H64" s="92"/>
      <c r="I64" s="92"/>
      <c r="J64" s="92"/>
      <c r="K64" s="92"/>
      <c r="L64" s="92"/>
      <c r="M64" s="92"/>
      <c r="N64" s="92"/>
      <c r="O64" s="92"/>
      <c r="P64" s="92"/>
      <c r="Q64" s="92"/>
      <c r="R64" s="93"/>
    </row>
    <row r="65" spans="1:18" ht="30" customHeight="1">
      <c r="A65" s="89"/>
      <c r="B65" s="98"/>
      <c r="C65" s="2962" t="s">
        <v>202</v>
      </c>
      <c r="D65" s="2963"/>
      <c r="E65" s="2963"/>
      <c r="F65" s="2963"/>
      <c r="G65" s="2963"/>
      <c r="H65" s="2963"/>
      <c r="I65" s="2963"/>
      <c r="J65" s="2963"/>
      <c r="K65" s="2963"/>
      <c r="L65" s="2963"/>
      <c r="M65" s="2963"/>
      <c r="N65" s="2963"/>
      <c r="O65" s="2963"/>
      <c r="P65" s="2963"/>
      <c r="Q65" s="2963"/>
      <c r="R65" s="2964"/>
    </row>
    <row r="66" spans="1:18" ht="15" customHeight="1">
      <c r="A66" s="89"/>
      <c r="B66" s="24"/>
      <c r="C66" s="92"/>
      <c r="D66" s="92"/>
      <c r="E66" s="92"/>
      <c r="F66" s="92"/>
      <c r="G66" s="92"/>
      <c r="H66" s="92"/>
      <c r="I66" s="92"/>
      <c r="J66" s="92"/>
      <c r="K66" s="92"/>
      <c r="L66" s="92"/>
      <c r="M66" s="92"/>
      <c r="N66" s="92"/>
      <c r="O66" s="92"/>
      <c r="P66" s="92"/>
      <c r="Q66" s="92"/>
      <c r="R66" s="93"/>
    </row>
    <row r="67" spans="1:18" ht="30" customHeight="1">
      <c r="A67" s="89"/>
      <c r="B67" s="1257"/>
      <c r="C67" s="2965" t="s">
        <v>2564</v>
      </c>
      <c r="D67" s="2966"/>
      <c r="E67" s="2966"/>
      <c r="F67" s="2966"/>
      <c r="G67" s="2966"/>
      <c r="H67" s="2966"/>
      <c r="I67" s="2966"/>
      <c r="J67" s="2966"/>
      <c r="K67" s="2966"/>
      <c r="L67" s="2966"/>
      <c r="M67" s="2966"/>
      <c r="N67" s="2966"/>
      <c r="O67" s="2966"/>
      <c r="P67" s="2966"/>
      <c r="Q67" s="2966"/>
      <c r="R67" s="2967"/>
    </row>
    <row r="68" spans="1:18" ht="15" customHeight="1">
      <c r="A68" s="89"/>
      <c r="B68" s="24"/>
      <c r="C68" s="92"/>
      <c r="D68" s="92"/>
      <c r="E68" s="92"/>
      <c r="F68" s="92"/>
      <c r="G68" s="92"/>
      <c r="H68" s="92"/>
      <c r="I68" s="92"/>
      <c r="J68" s="92"/>
      <c r="K68" s="92"/>
      <c r="L68" s="92"/>
      <c r="M68" s="92"/>
      <c r="N68" s="92"/>
      <c r="O68" s="92"/>
      <c r="P68" s="92"/>
      <c r="Q68" s="92"/>
      <c r="R68" s="93"/>
    </row>
    <row r="69" spans="1:18" ht="30" customHeight="1">
      <c r="A69" s="89"/>
      <c r="B69" s="99"/>
      <c r="C69" s="2968" t="s">
        <v>2563</v>
      </c>
      <c r="D69" s="2963"/>
      <c r="E69" s="2963"/>
      <c r="F69" s="2963"/>
      <c r="G69" s="2963"/>
      <c r="H69" s="2963"/>
      <c r="I69" s="2963"/>
      <c r="J69" s="2963"/>
      <c r="K69" s="2963"/>
      <c r="L69" s="2963"/>
      <c r="M69" s="2963"/>
      <c r="N69" s="2963"/>
      <c r="O69" s="2963"/>
      <c r="P69" s="2963"/>
      <c r="Q69" s="2963"/>
      <c r="R69" s="2964"/>
    </row>
    <row r="70" spans="1:18" ht="15" customHeight="1">
      <c r="A70" s="89"/>
      <c r="B70" s="24"/>
      <c r="C70" s="92"/>
      <c r="D70" s="92"/>
      <c r="E70" s="92"/>
      <c r="F70" s="92"/>
      <c r="G70" s="92"/>
      <c r="H70" s="92"/>
      <c r="I70" s="92"/>
      <c r="J70" s="92"/>
      <c r="K70" s="92"/>
      <c r="L70" s="92"/>
      <c r="M70" s="92"/>
      <c r="N70" s="92"/>
      <c r="O70" s="92"/>
      <c r="P70" s="92"/>
      <c r="Q70" s="92"/>
      <c r="R70" s="93"/>
    </row>
    <row r="71" spans="1:18" ht="30" customHeight="1">
      <c r="A71" s="89"/>
      <c r="B71" s="100" t="s">
        <v>203</v>
      </c>
      <c r="C71" s="2969" t="s">
        <v>204</v>
      </c>
      <c r="D71" s="2963"/>
      <c r="E71" s="2963"/>
      <c r="F71" s="2963"/>
      <c r="G71" s="2963"/>
      <c r="H71" s="2963"/>
      <c r="I71" s="2963"/>
      <c r="J71" s="2963"/>
      <c r="K71" s="2963"/>
      <c r="L71" s="2963"/>
      <c r="M71" s="2963"/>
      <c r="N71" s="2963"/>
      <c r="O71" s="2963"/>
      <c r="P71" s="2963"/>
      <c r="Q71" s="2963"/>
      <c r="R71" s="2964"/>
    </row>
    <row r="72" spans="1:18" ht="15" customHeight="1">
      <c r="A72" s="89"/>
      <c r="B72" s="24"/>
      <c r="C72" s="92"/>
      <c r="D72" s="92"/>
      <c r="E72" s="92"/>
      <c r="F72" s="92"/>
      <c r="G72" s="92"/>
      <c r="H72" s="92"/>
      <c r="I72" s="92"/>
      <c r="J72" s="92"/>
      <c r="K72" s="92"/>
      <c r="L72" s="92"/>
      <c r="M72" s="92"/>
      <c r="N72" s="92"/>
      <c r="O72" s="92"/>
      <c r="P72" s="92"/>
      <c r="Q72" s="92"/>
      <c r="R72" s="93"/>
    </row>
    <row r="73" spans="1:18" s="1715" customFormat="1" ht="30" customHeight="1">
      <c r="A73" s="89"/>
      <c r="B73" s="1713"/>
      <c r="C73" s="2963" t="s">
        <v>2565</v>
      </c>
      <c r="D73" s="2963"/>
      <c r="E73" s="2963"/>
      <c r="F73" s="2963"/>
      <c r="G73" s="2963"/>
      <c r="H73" s="2963"/>
      <c r="I73" s="2963"/>
      <c r="J73" s="2963"/>
      <c r="K73" s="2963"/>
      <c r="L73" s="2963"/>
      <c r="M73" s="2963"/>
      <c r="N73" s="2963"/>
      <c r="O73" s="2976"/>
      <c r="P73" s="1789"/>
      <c r="Q73" s="1751"/>
      <c r="R73" s="1752"/>
    </row>
    <row r="74" spans="1:18" s="1715" customFormat="1" ht="15" customHeight="1">
      <c r="A74" s="89"/>
      <c r="B74" s="1712"/>
      <c r="C74" s="92"/>
      <c r="D74" s="92"/>
      <c r="E74" s="92"/>
      <c r="F74" s="92"/>
      <c r="G74" s="92"/>
      <c r="H74" s="92"/>
      <c r="I74" s="92"/>
      <c r="J74" s="92"/>
      <c r="K74" s="92"/>
      <c r="L74" s="92"/>
      <c r="M74" s="92"/>
      <c r="N74" s="92"/>
      <c r="O74" s="92"/>
      <c r="P74" s="92"/>
      <c r="Q74" s="92"/>
      <c r="R74" s="93"/>
    </row>
    <row r="75" spans="1:18" ht="30" customHeight="1">
      <c r="A75" s="89"/>
      <c r="B75" s="100"/>
      <c r="C75" s="2969" t="s">
        <v>2003</v>
      </c>
      <c r="D75" s="2963"/>
      <c r="E75" s="2963"/>
      <c r="F75" s="2963"/>
      <c r="G75" s="2963"/>
      <c r="H75" s="2963"/>
      <c r="I75" s="2963"/>
      <c r="J75" s="2963"/>
      <c r="K75" s="2963"/>
      <c r="L75" s="2963"/>
      <c r="M75" s="2963"/>
      <c r="N75" s="2963"/>
      <c r="O75" s="2963"/>
      <c r="P75" s="2963"/>
      <c r="Q75" s="2963"/>
      <c r="R75" s="2964"/>
    </row>
    <row r="76" spans="1:18" ht="15" customHeight="1">
      <c r="A76" s="89"/>
      <c r="B76" s="1040"/>
      <c r="C76" s="92"/>
      <c r="D76" s="92"/>
      <c r="E76" s="92"/>
      <c r="F76" s="92"/>
      <c r="G76" s="92"/>
      <c r="H76" s="92"/>
      <c r="I76" s="92"/>
      <c r="J76" s="92"/>
      <c r="K76" s="92"/>
      <c r="L76" s="92"/>
      <c r="M76" s="92"/>
      <c r="N76" s="92"/>
      <c r="O76" s="92"/>
      <c r="P76" s="92"/>
      <c r="Q76" s="92"/>
      <c r="R76" s="93"/>
    </row>
    <row r="77" spans="1:18" ht="30" customHeight="1">
      <c r="A77" s="89"/>
      <c r="B77" s="101"/>
      <c r="C77" s="2968" t="s">
        <v>2004</v>
      </c>
      <c r="D77" s="2963"/>
      <c r="E77" s="2963"/>
      <c r="F77" s="2963"/>
      <c r="G77" s="2963"/>
      <c r="H77" s="2963"/>
      <c r="I77" s="2963"/>
      <c r="J77" s="2963"/>
      <c r="K77" s="2963"/>
      <c r="L77" s="2963"/>
      <c r="M77" s="2963"/>
      <c r="N77" s="2963"/>
      <c r="O77" s="2963"/>
      <c r="P77" s="2963"/>
      <c r="Q77" s="2963"/>
      <c r="R77" s="2964"/>
    </row>
    <row r="78" spans="1:18" ht="15" customHeight="1" thickBot="1">
      <c r="A78" s="90"/>
      <c r="B78" s="102"/>
      <c r="C78" s="103"/>
      <c r="D78" s="103"/>
      <c r="E78" s="103"/>
      <c r="F78" s="103"/>
      <c r="G78" s="103"/>
      <c r="H78" s="103"/>
      <c r="I78" s="103"/>
      <c r="J78" s="103"/>
      <c r="K78" s="103"/>
      <c r="L78" s="103"/>
      <c r="M78" s="103"/>
      <c r="N78" s="103"/>
      <c r="O78" s="103"/>
      <c r="P78" s="103"/>
      <c r="Q78" s="103"/>
      <c r="R78" s="104"/>
    </row>
    <row r="79" spans="1:18" ht="15" customHeight="1" thickBot="1"/>
    <row r="80" spans="1:18" ht="19" thickBot="1">
      <c r="A80" s="2911" t="s">
        <v>205</v>
      </c>
      <c r="B80" s="2911"/>
      <c r="C80" s="2911"/>
      <c r="D80" s="2911"/>
      <c r="E80" s="2911"/>
      <c r="F80" s="2911"/>
      <c r="G80" s="2911"/>
      <c r="H80" s="2911"/>
      <c r="I80" s="2911"/>
      <c r="J80" s="2911"/>
      <c r="K80" s="2911"/>
      <c r="L80" s="2911"/>
      <c r="M80" s="2911"/>
      <c r="N80" s="2911"/>
      <c r="O80" s="2911"/>
      <c r="P80" s="2911"/>
      <c r="Q80" s="2911"/>
      <c r="R80" s="2911"/>
    </row>
    <row r="81" spans="1:18" ht="15" customHeight="1">
      <c r="A81" s="105"/>
      <c r="B81" s="106"/>
      <c r="C81" s="106"/>
      <c r="D81" s="106"/>
      <c r="E81" s="106"/>
      <c r="F81" s="106"/>
      <c r="G81" s="106"/>
      <c r="H81" s="106"/>
      <c r="I81" s="106"/>
      <c r="J81" s="106"/>
      <c r="K81" s="106"/>
      <c r="L81" s="106"/>
      <c r="M81" s="106"/>
      <c r="N81" s="106"/>
      <c r="O81" s="106"/>
      <c r="P81" s="106"/>
      <c r="Q81" s="106"/>
      <c r="R81" s="107"/>
    </row>
    <row r="82" spans="1:18" ht="15" customHeight="1">
      <c r="A82" s="2889" t="s">
        <v>2957</v>
      </c>
      <c r="B82" s="2970"/>
      <c r="C82" s="2970"/>
      <c r="D82" s="2970"/>
      <c r="E82" s="2970"/>
      <c r="F82" s="2970"/>
      <c r="G82" s="2970"/>
      <c r="H82" s="2970"/>
      <c r="I82" s="2970"/>
      <c r="J82" s="2970"/>
      <c r="K82" s="2970"/>
      <c r="L82" s="2970"/>
      <c r="M82" s="2970"/>
      <c r="N82" s="2970"/>
      <c r="O82" s="2970"/>
      <c r="P82" s="2970"/>
      <c r="Q82" s="2970"/>
      <c r="R82" s="2971"/>
    </row>
    <row r="83" spans="1:18" ht="15" customHeight="1">
      <c r="A83" s="108"/>
      <c r="B83" s="109"/>
      <c r="C83" s="109"/>
      <c r="D83" s="109"/>
      <c r="E83" s="109"/>
      <c r="F83" s="109"/>
      <c r="G83" s="109"/>
      <c r="H83" s="109"/>
      <c r="I83" s="109"/>
      <c r="J83" s="109"/>
      <c r="K83" s="109"/>
      <c r="L83" s="109"/>
      <c r="M83" s="109"/>
      <c r="N83" s="109"/>
      <c r="O83" s="109"/>
      <c r="P83" s="109"/>
      <c r="Q83" s="109"/>
      <c r="R83" s="110"/>
    </row>
    <row r="84" spans="1:18" ht="45" customHeight="1">
      <c r="A84" s="2889" t="s">
        <v>2958</v>
      </c>
      <c r="B84" s="2970"/>
      <c r="C84" s="2970"/>
      <c r="D84" s="2970"/>
      <c r="E84" s="2970"/>
      <c r="F84" s="2970"/>
      <c r="G84" s="2970"/>
      <c r="H84" s="2970"/>
      <c r="I84" s="2970"/>
      <c r="J84" s="2970"/>
      <c r="K84" s="2970"/>
      <c r="L84" s="2970"/>
      <c r="M84" s="2970"/>
      <c r="N84" s="2970"/>
      <c r="O84" s="2970"/>
      <c r="P84" s="2970"/>
      <c r="Q84" s="2970"/>
      <c r="R84" s="2971"/>
    </row>
    <row r="85" spans="1:18" ht="15" customHeight="1">
      <c r="A85" s="105"/>
      <c r="B85" s="106"/>
      <c r="C85" s="106"/>
      <c r="D85" s="106"/>
      <c r="E85" s="106"/>
      <c r="F85" s="106"/>
      <c r="G85" s="106"/>
      <c r="H85" s="106"/>
      <c r="I85" s="106"/>
      <c r="J85" s="106"/>
      <c r="K85" s="106"/>
      <c r="L85" s="106"/>
      <c r="M85" s="106"/>
      <c r="N85" s="106"/>
      <c r="O85" s="106"/>
      <c r="P85" s="106"/>
      <c r="Q85" s="106"/>
      <c r="R85" s="107"/>
    </row>
    <row r="86" spans="1:18" ht="30" customHeight="1">
      <c r="A86" s="2955" t="s">
        <v>2959</v>
      </c>
      <c r="B86" s="2956"/>
      <c r="C86" s="2956"/>
      <c r="D86" s="2956"/>
      <c r="E86" s="2956"/>
      <c r="F86" s="2956"/>
      <c r="G86" s="2956"/>
      <c r="H86" s="2956"/>
      <c r="I86" s="2956"/>
      <c r="J86" s="2956"/>
      <c r="K86" s="2956"/>
      <c r="L86" s="2956"/>
      <c r="M86" s="2956"/>
      <c r="N86" s="2956"/>
      <c r="O86" s="2956"/>
      <c r="P86" s="2956"/>
      <c r="Q86" s="2956"/>
      <c r="R86" s="2957"/>
    </row>
    <row r="87" spans="1:18" ht="15" customHeight="1">
      <c r="A87" s="105"/>
      <c r="B87" s="106"/>
      <c r="C87" s="106"/>
      <c r="D87" s="106"/>
      <c r="E87" s="106"/>
      <c r="F87" s="106"/>
      <c r="G87" s="106"/>
      <c r="H87" s="106"/>
      <c r="I87" s="106"/>
      <c r="J87" s="106"/>
      <c r="K87" s="106"/>
      <c r="L87" s="106"/>
      <c r="M87" s="106"/>
      <c r="N87" s="106"/>
      <c r="O87" s="106"/>
      <c r="P87" s="106"/>
      <c r="Q87" s="106"/>
      <c r="R87" s="107"/>
    </row>
    <row r="88" spans="1:18" ht="31.5" customHeight="1">
      <c r="A88" s="2955" t="s">
        <v>206</v>
      </c>
      <c r="B88" s="2956"/>
      <c r="C88" s="2956"/>
      <c r="D88" s="2956"/>
      <c r="E88" s="2956"/>
      <c r="F88" s="2956"/>
      <c r="G88" s="2956"/>
      <c r="H88" s="2956"/>
      <c r="I88" s="2956"/>
      <c r="J88" s="2956"/>
      <c r="K88" s="2956"/>
      <c r="L88" s="2956"/>
      <c r="M88" s="2956"/>
      <c r="N88" s="2956"/>
      <c r="O88" s="2956"/>
      <c r="P88" s="2956"/>
      <c r="Q88" s="2956"/>
      <c r="R88" s="2957"/>
    </row>
    <row r="89" spans="1:18" ht="15" customHeight="1">
      <c r="A89" s="105"/>
      <c r="B89" s="106"/>
      <c r="C89" s="106"/>
      <c r="D89" s="106"/>
      <c r="E89" s="106"/>
      <c r="F89" s="106"/>
      <c r="G89" s="106"/>
      <c r="H89" s="106"/>
      <c r="I89" s="106"/>
      <c r="J89" s="106"/>
      <c r="K89" s="106"/>
      <c r="L89" s="106"/>
      <c r="M89" s="106"/>
      <c r="N89" s="106"/>
      <c r="O89" s="106"/>
      <c r="P89" s="106"/>
      <c r="Q89" s="106"/>
      <c r="R89" s="107"/>
    </row>
    <row r="90" spans="1:18" ht="30" customHeight="1">
      <c r="A90" s="2955" t="s">
        <v>207</v>
      </c>
      <c r="B90" s="2956"/>
      <c r="C90" s="2956"/>
      <c r="D90" s="2956"/>
      <c r="E90" s="2956"/>
      <c r="F90" s="2956"/>
      <c r="G90" s="2956"/>
      <c r="H90" s="2956"/>
      <c r="I90" s="2956"/>
      <c r="J90" s="2956"/>
      <c r="K90" s="2956"/>
      <c r="L90" s="2956"/>
      <c r="M90" s="2956"/>
      <c r="N90" s="2956"/>
      <c r="O90" s="2956"/>
      <c r="P90" s="2956"/>
      <c r="Q90" s="2956"/>
      <c r="R90" s="2957"/>
    </row>
    <row r="91" spans="1:18" ht="15" customHeight="1">
      <c r="A91" s="105"/>
      <c r="B91" s="106"/>
      <c r="C91" s="106"/>
      <c r="D91" s="106"/>
      <c r="E91" s="106"/>
      <c r="F91" s="106"/>
      <c r="G91" s="106"/>
      <c r="H91" s="106"/>
      <c r="I91" s="106"/>
      <c r="J91" s="106"/>
      <c r="K91" s="106"/>
      <c r="L91" s="106"/>
      <c r="M91" s="106"/>
      <c r="N91" s="106"/>
      <c r="O91" s="106"/>
      <c r="P91" s="106"/>
      <c r="Q91" s="106"/>
      <c r="R91" s="107"/>
    </row>
    <row r="92" spans="1:18" ht="33" customHeight="1">
      <c r="A92" s="2955" t="s">
        <v>2566</v>
      </c>
      <c r="B92" s="2956"/>
      <c r="C92" s="2956"/>
      <c r="D92" s="2956"/>
      <c r="E92" s="2956"/>
      <c r="F92" s="2956"/>
      <c r="G92" s="2956"/>
      <c r="H92" s="2956"/>
      <c r="I92" s="2956"/>
      <c r="J92" s="2956"/>
      <c r="K92" s="2956"/>
      <c r="L92" s="2956"/>
      <c r="M92" s="2956"/>
      <c r="N92" s="2956"/>
      <c r="O92" s="2956"/>
      <c r="P92" s="2956"/>
      <c r="Q92" s="2956"/>
      <c r="R92" s="2957"/>
    </row>
    <row r="93" spans="1:18" ht="15" customHeight="1">
      <c r="A93" s="105"/>
      <c r="B93" s="106"/>
      <c r="C93" s="106"/>
      <c r="D93" s="106"/>
      <c r="E93" s="106"/>
      <c r="F93" s="106"/>
      <c r="G93" s="106"/>
      <c r="H93" s="106"/>
      <c r="I93" s="106"/>
      <c r="J93" s="106"/>
      <c r="K93" s="106"/>
      <c r="L93" s="106"/>
      <c r="M93" s="106"/>
      <c r="N93" s="106"/>
      <c r="O93" s="106"/>
      <c r="P93" s="106"/>
      <c r="Q93" s="106"/>
      <c r="R93" s="107"/>
    </row>
    <row r="94" spans="1:18" ht="30" customHeight="1">
      <c r="A94" s="2955" t="s">
        <v>208</v>
      </c>
      <c r="B94" s="2956"/>
      <c r="C94" s="2956"/>
      <c r="D94" s="2956"/>
      <c r="E94" s="2956"/>
      <c r="F94" s="2956"/>
      <c r="G94" s="2956"/>
      <c r="H94" s="2956"/>
      <c r="I94" s="2956"/>
      <c r="J94" s="2956"/>
      <c r="K94" s="2956"/>
      <c r="L94" s="2956"/>
      <c r="M94" s="2956"/>
      <c r="N94" s="2956"/>
      <c r="O94" s="2956"/>
      <c r="P94" s="2956"/>
      <c r="Q94" s="2956"/>
      <c r="R94" s="2957"/>
    </row>
    <row r="95" spans="1:18" ht="15" customHeight="1">
      <c r="A95" s="105"/>
      <c r="B95" s="106"/>
      <c r="C95" s="106"/>
      <c r="D95" s="106"/>
      <c r="E95" s="106"/>
      <c r="F95" s="106"/>
      <c r="G95" s="106"/>
      <c r="H95" s="106"/>
      <c r="I95" s="106"/>
      <c r="J95" s="106"/>
      <c r="K95" s="106"/>
      <c r="L95" s="106"/>
      <c r="M95" s="106"/>
      <c r="N95" s="106"/>
      <c r="O95" s="106"/>
      <c r="P95" s="106"/>
      <c r="Q95" s="106"/>
      <c r="R95" s="107"/>
    </row>
    <row r="96" spans="1:18" ht="15" customHeight="1">
      <c r="A96" s="2955" t="s">
        <v>209</v>
      </c>
      <c r="B96" s="2956"/>
      <c r="C96" s="2956"/>
      <c r="D96" s="2956"/>
      <c r="E96" s="2956"/>
      <c r="F96" s="2956"/>
      <c r="G96" s="2956"/>
      <c r="H96" s="2956"/>
      <c r="I96" s="2956"/>
      <c r="J96" s="2956"/>
      <c r="K96" s="2956"/>
      <c r="L96" s="2956"/>
      <c r="M96" s="2956"/>
      <c r="N96" s="2956"/>
      <c r="O96" s="2956"/>
      <c r="P96" s="2956"/>
      <c r="Q96" s="2956"/>
      <c r="R96" s="2957"/>
    </row>
    <row r="97" spans="1:18" ht="15" customHeight="1">
      <c r="A97" s="105"/>
      <c r="B97" s="106"/>
      <c r="C97" s="106"/>
      <c r="D97" s="106"/>
      <c r="E97" s="106"/>
      <c r="F97" s="106"/>
      <c r="G97" s="106"/>
      <c r="H97" s="106"/>
      <c r="I97" s="106"/>
      <c r="J97" s="106"/>
      <c r="K97" s="106"/>
      <c r="L97" s="106"/>
      <c r="M97" s="106"/>
      <c r="N97" s="106"/>
      <c r="O97" s="106"/>
      <c r="P97" s="106"/>
      <c r="Q97" s="106"/>
      <c r="R97" s="107"/>
    </row>
    <row r="98" spans="1:18" ht="30" customHeight="1">
      <c r="A98" s="2955" t="s">
        <v>210</v>
      </c>
      <c r="B98" s="2956"/>
      <c r="C98" s="2956"/>
      <c r="D98" s="2956"/>
      <c r="E98" s="2956"/>
      <c r="F98" s="2956"/>
      <c r="G98" s="2956"/>
      <c r="H98" s="2956"/>
      <c r="I98" s="2956"/>
      <c r="J98" s="2956"/>
      <c r="K98" s="2956"/>
      <c r="L98" s="2956"/>
      <c r="M98" s="2956"/>
      <c r="N98" s="2956"/>
      <c r="O98" s="2956"/>
      <c r="P98" s="2956"/>
      <c r="Q98" s="2956"/>
      <c r="R98" s="2957"/>
    </row>
    <row r="99" spans="1:18" ht="15" customHeight="1">
      <c r="A99" s="105"/>
      <c r="B99" s="106"/>
      <c r="C99" s="106"/>
      <c r="D99" s="106"/>
      <c r="E99" s="106"/>
      <c r="F99" s="106"/>
      <c r="G99" s="106"/>
      <c r="H99" s="106"/>
      <c r="I99" s="106"/>
      <c r="J99" s="106"/>
      <c r="K99" s="106"/>
      <c r="L99" s="106"/>
      <c r="M99" s="106"/>
      <c r="N99" s="106"/>
      <c r="O99" s="106"/>
      <c r="P99" s="106"/>
      <c r="Q99" s="106"/>
      <c r="R99" s="107"/>
    </row>
    <row r="100" spans="1:18" ht="30" customHeight="1">
      <c r="A100" s="2955" t="s">
        <v>2960</v>
      </c>
      <c r="B100" s="2956"/>
      <c r="C100" s="2956"/>
      <c r="D100" s="2956"/>
      <c r="E100" s="2956"/>
      <c r="F100" s="2956"/>
      <c r="G100" s="2956"/>
      <c r="H100" s="2956"/>
      <c r="I100" s="2956"/>
      <c r="J100" s="2956"/>
      <c r="K100" s="2956"/>
      <c r="L100" s="2956"/>
      <c r="M100" s="2956"/>
      <c r="N100" s="2956"/>
      <c r="O100" s="2956"/>
      <c r="P100" s="2956"/>
      <c r="Q100" s="2956"/>
      <c r="R100" s="2957"/>
    </row>
    <row r="101" spans="1:18" ht="15" customHeight="1" thickBot="1">
      <c r="A101" s="2958"/>
      <c r="B101" s="2959"/>
      <c r="C101" s="2959"/>
      <c r="D101" s="2959"/>
      <c r="E101" s="2959"/>
      <c r="F101" s="2959"/>
      <c r="G101" s="2959"/>
      <c r="H101" s="2959"/>
      <c r="I101" s="2959"/>
      <c r="J101" s="2959"/>
      <c r="K101" s="2959"/>
      <c r="L101" s="2959"/>
      <c r="M101" s="2959"/>
      <c r="N101" s="2959"/>
      <c r="O101" s="2959"/>
      <c r="P101" s="2959"/>
      <c r="Q101" s="2959"/>
      <c r="R101" s="2960"/>
    </row>
  </sheetData>
  <sheetProtection algorithmName="SHA-512" hashValue="fafuA4EClEosyOHzsBW3x32ocP46SrnXZAVbTOADqJN9UGVWxLAFLfB5G73hivQVWdaq96mZANVVYuK94h/XVA==" saltValue="4607n7WPjYttuvqx7hWwMQ==" spinCount="100000" sheet="1" objects="1" scenarios="1" formatColumns="0" selectLockedCells="1"/>
  <mergeCells count="112">
    <mergeCell ref="F53:G53"/>
    <mergeCell ref="F54:G54"/>
    <mergeCell ref="A86:R86"/>
    <mergeCell ref="A61:R61"/>
    <mergeCell ref="C65:R65"/>
    <mergeCell ref="C67:R67"/>
    <mergeCell ref="C69:R69"/>
    <mergeCell ref="C71:R71"/>
    <mergeCell ref="C77:R77"/>
    <mergeCell ref="A80:R80"/>
    <mergeCell ref="A82:R82"/>
    <mergeCell ref="A84:R84"/>
    <mergeCell ref="C75:R75"/>
    <mergeCell ref="A56:E56"/>
    <mergeCell ref="F56:H56"/>
    <mergeCell ref="A58:E58"/>
    <mergeCell ref="F58:H58"/>
    <mergeCell ref="C63:H63"/>
    <mergeCell ref="K63:R63"/>
    <mergeCell ref="C73:O73"/>
    <mergeCell ref="P35:Q35"/>
    <mergeCell ref="A98:R98"/>
    <mergeCell ref="A100:R100"/>
    <mergeCell ref="A101:R101"/>
    <mergeCell ref="A88:R88"/>
    <mergeCell ref="A90:R90"/>
    <mergeCell ref="A92:R92"/>
    <mergeCell ref="A94:R94"/>
    <mergeCell ref="A96:R96"/>
    <mergeCell ref="A37:E37"/>
    <mergeCell ref="F37:H37"/>
    <mergeCell ref="A39:E39"/>
    <mergeCell ref="F39:H39"/>
    <mergeCell ref="A41:E41"/>
    <mergeCell ref="F41:H41"/>
    <mergeCell ref="F52:G52"/>
    <mergeCell ref="J52:L52"/>
    <mergeCell ref="A43:E43"/>
    <mergeCell ref="F43:H43"/>
    <mergeCell ref="A45:E45"/>
    <mergeCell ref="F45:H45"/>
    <mergeCell ref="A47:E47"/>
    <mergeCell ref="F47:H47"/>
    <mergeCell ref="A49:E49"/>
    <mergeCell ref="A51:E51"/>
    <mergeCell ref="F51:G51"/>
    <mergeCell ref="J51:L51"/>
    <mergeCell ref="A33:E33"/>
    <mergeCell ref="F33:H33"/>
    <mergeCell ref="A35:E35"/>
    <mergeCell ref="F35:H35"/>
    <mergeCell ref="K35:M35"/>
    <mergeCell ref="N35:O35"/>
    <mergeCell ref="I35:J35"/>
    <mergeCell ref="F49:H49"/>
    <mergeCell ref="F19:H19"/>
    <mergeCell ref="A20:E20"/>
    <mergeCell ref="A31:E31"/>
    <mergeCell ref="F31:H31"/>
    <mergeCell ref="A23:E23"/>
    <mergeCell ref="F23:H23"/>
    <mergeCell ref="O23:Q23"/>
    <mergeCell ref="A25:E25"/>
    <mergeCell ref="F25:H25"/>
    <mergeCell ref="A27:E27"/>
    <mergeCell ref="A29:E29"/>
    <mergeCell ref="F29:P29"/>
    <mergeCell ref="A21:E21"/>
    <mergeCell ref="F21:H21"/>
    <mergeCell ref="I21:K21"/>
    <mergeCell ref="A19:E19"/>
    <mergeCell ref="F27:H27"/>
    <mergeCell ref="J19:L19"/>
    <mergeCell ref="I23:J23"/>
    <mergeCell ref="K23:L23"/>
    <mergeCell ref="J25:R25"/>
    <mergeCell ref="A22:Q22"/>
    <mergeCell ref="J27:P27"/>
    <mergeCell ref="N21:O21"/>
    <mergeCell ref="A16:E16"/>
    <mergeCell ref="F16:H16"/>
    <mergeCell ref="A17:E17"/>
    <mergeCell ref="F17:H17"/>
    <mergeCell ref="Q17:Q18"/>
    <mergeCell ref="R17:R18"/>
    <mergeCell ref="A18:E18"/>
    <mergeCell ref="F18:H18"/>
    <mergeCell ref="J18:L18"/>
    <mergeCell ref="P21:R21"/>
    <mergeCell ref="A5:G5"/>
    <mergeCell ref="H1:K3"/>
    <mergeCell ref="H4:K4"/>
    <mergeCell ref="A4:G4"/>
    <mergeCell ref="L1:L2"/>
    <mergeCell ref="M1:N1"/>
    <mergeCell ref="O1:R1"/>
    <mergeCell ref="L3:R3"/>
    <mergeCell ref="A11:R11"/>
    <mergeCell ref="H5:R5"/>
    <mergeCell ref="A7:R7"/>
    <mergeCell ref="A8:R8"/>
    <mergeCell ref="A9:B9"/>
    <mergeCell ref="C9:E9"/>
    <mergeCell ref="A10:R10"/>
    <mergeCell ref="F9:K9"/>
    <mergeCell ref="L9:R9"/>
    <mergeCell ref="A6:B6"/>
    <mergeCell ref="C6:D6"/>
    <mergeCell ref="E6:R6"/>
    <mergeCell ref="A12:R12"/>
    <mergeCell ref="A14:R14"/>
    <mergeCell ref="A15:R15"/>
  </mergeCells>
  <conditionalFormatting sqref="H1">
    <cfRule type="expression" dxfId="2272" priority="21" stopIfTrue="1">
      <formula>levelStatement="This project has not met all the requirements for Bronze, Silver, Gold, or Emerald."</formula>
    </cfRule>
  </conditionalFormatting>
  <conditionalFormatting sqref="L21">
    <cfRule type="expression" dxfId="2271" priority="18" stopIfTrue="1">
      <formula>AND(OR(startSingleorMulti="Single-Family", startSingleorMulti=0),startMultiUnits&gt;0)</formula>
    </cfRule>
    <cfRule type="expression" dxfId="2270" priority="19" stopIfTrue="1">
      <formula>AND(startSingleorMulti="Multi-Unit",startMultiUnits=0)</formula>
    </cfRule>
    <cfRule type="expression" dxfId="2269" priority="20" stopIfTrue="1">
      <formula>AND(OR(startSingleorMulti="Single-Family",startSingleorMulti=0),startMultiUnits=0)</formula>
    </cfRule>
  </conditionalFormatting>
  <conditionalFormatting sqref="N4">
    <cfRule type="expression" dxfId="2268" priority="17" stopIfTrue="1">
      <formula>$N$4="Not Met"</formula>
    </cfRule>
  </conditionalFormatting>
  <conditionalFormatting sqref="K23:L23">
    <cfRule type="expression" dxfId="2267" priority="12">
      <formula>AND($F$23&lt;&gt;"",$K$23="")</formula>
    </cfRule>
    <cfRule type="expression" dxfId="2266" priority="16">
      <formula>AND($F$23="")</formula>
    </cfRule>
  </conditionalFormatting>
  <conditionalFormatting sqref="F21:H21">
    <cfRule type="expression" dxfId="2265" priority="15">
      <formula>AND($F$21="")</formula>
    </cfRule>
  </conditionalFormatting>
  <conditionalFormatting sqref="F23:H23">
    <cfRule type="expression" dxfId="2264" priority="14">
      <formula>AND($F$23="")</formula>
    </cfRule>
  </conditionalFormatting>
  <conditionalFormatting sqref="F25:H25">
    <cfRule type="expression" dxfId="2263" priority="11">
      <formula>AND($F$25="")</formula>
    </cfRule>
  </conditionalFormatting>
  <conditionalFormatting sqref="F33:H33">
    <cfRule type="expression" dxfId="2262" priority="10">
      <formula>AND($F$33="")</formula>
    </cfRule>
  </conditionalFormatting>
  <conditionalFormatting sqref="F35:H35">
    <cfRule type="expression" dxfId="2261" priority="9">
      <formula>AND($F$35="")</formula>
    </cfRule>
  </conditionalFormatting>
  <conditionalFormatting sqref="F37:H37">
    <cfRule type="expression" dxfId="2260" priority="8">
      <formula>AND($F$37="")</formula>
    </cfRule>
  </conditionalFormatting>
  <conditionalFormatting sqref="F43:H43">
    <cfRule type="expression" dxfId="2259" priority="7">
      <formula>AND($F$43="")</formula>
    </cfRule>
  </conditionalFormatting>
  <conditionalFormatting sqref="P21:R21">
    <cfRule type="expression" dxfId="2258" priority="2">
      <formula>AND(OR(startSingleorMulti="Single-Family", ISBLANK(startSingleorMulti)),startProjectName&lt;&gt;"")</formula>
    </cfRule>
    <cfRule type="expression" dxfId="2257" priority="3">
      <formula>AND(startSingleorMulti="Multi-Unit",startProjectName="")</formula>
    </cfRule>
    <cfRule type="expression" dxfId="2256" priority="4">
      <formula>AND(OR(startSingleorMulti="Single-Family",startSingleorMulti=0),startProjectName=0)</formula>
    </cfRule>
  </conditionalFormatting>
  <conditionalFormatting sqref="F31:H31">
    <cfRule type="expression" dxfId="2255" priority="1">
      <formula>AND($F$31="")</formula>
    </cfRule>
  </conditionalFormatting>
  <dataValidations count="22">
    <dataValidation type="list" allowBlank="1" showInputMessage="1" showErrorMessage="1" errorTitle="Invalid value" error="Select a value from the dropdown list." sqref="F33:H33" xr:uid="{00000000-0002-0000-0000-000000000000}">
      <formula1>ddFoundationTypes</formula1>
    </dataValidation>
    <dataValidation type="list" allowBlank="1" showInputMessage="1" showErrorMessage="1" errorTitle="Invalid value" error="Select a value from the dropdown list." sqref="F35:H35 P35 K35:M35" xr:uid="{00000000-0002-0000-0000-000001000000}">
      <formula1>ddHVACSystems</formula1>
    </dataValidation>
    <dataValidation type="list" allowBlank="1" showInputMessage="1" showErrorMessage="1" errorTitle="Invalid value" error="Select a value from the dropdown list." sqref="F37:H37" xr:uid="{00000000-0002-0000-0000-000002000000}">
      <formula1>ddHeatingFuel</formula1>
    </dataValidation>
    <dataValidation type="list" allowBlank="1" showInputMessage="1" showErrorMessage="1" errorTitle="Invalid value" error="Select a value from the dropdown list." sqref="F39:H39" xr:uid="{00000000-0002-0000-0000-000003000000}">
      <formula1>ddRenewableEnergy</formula1>
    </dataValidation>
    <dataValidation type="list" allowBlank="1" showInputMessage="1" showErrorMessage="1" errorTitle="Invalid value" error="Select a value from the dropdown list." sqref="F41:H41" xr:uid="{00000000-0002-0000-0000-000004000000}">
      <formula1>ddTEInsulation</formula1>
    </dataValidation>
    <dataValidation type="list" allowBlank="1" showInputMessage="1" showErrorMessage="1" errorTitle="Invalid value" error="Select a value from the dropdown list." sqref="F43:H43" xr:uid="{00000000-0002-0000-0000-000005000000}">
      <formula1>ddAtticType</formula1>
    </dataValidation>
    <dataValidation type="list" allowBlank="1" showInputMessage="1" showErrorMessage="1" errorTitle="Invalid value" error="Select a value from the dropdown list." sqref="F45:H45" xr:uid="{00000000-0002-0000-0000-000006000000}">
      <formula1>ddSFBurningAppliance</formula1>
    </dataValidation>
    <dataValidation type="list" allowBlank="1" showInputMessage="1" showErrorMessage="1" errorTitle="Invalid value" error="Select a value from the dropdown list." sqref="F49:H49" xr:uid="{00000000-0002-0000-0000-000007000000}">
      <formula1>ddRecessedLighting</formula1>
    </dataValidation>
    <dataValidation type="list" allowBlank="1" showInputMessage="1" showErrorMessage="1" sqref="H51" xr:uid="{00000000-0002-0000-0000-000008000000}">
      <formula1>ddPassiveSolar</formula1>
    </dataValidation>
    <dataValidation type="list" allowBlank="1" showInputMessage="1" showErrorMessage="1" sqref="H52:H54" xr:uid="{00000000-0002-0000-0000-000009000000}">
      <formula1>ddMassWalls</formula1>
    </dataValidation>
    <dataValidation type="list" allowBlank="1" showInputMessage="1" showErrorMessage="1" sqref="M51" xr:uid="{00000000-0002-0000-0000-00000A000000}">
      <formula1>ddTanklessWH</formula1>
    </dataValidation>
    <dataValidation type="list" allowBlank="1" showInputMessage="1" showErrorMessage="1" sqref="M52" xr:uid="{00000000-0002-0000-0000-00000B000000}">
      <formula1>ddCompostingToilet</formula1>
    </dataValidation>
    <dataValidation type="list" allowBlank="1" showInputMessage="1" showErrorMessage="1" errorTitle="Invalid value" error="Select a value from the dropdown list." sqref="F47:H47" xr:uid="{00000000-0002-0000-0000-00000C000000}">
      <formula1>ddAttachedGarage</formula1>
    </dataValidation>
    <dataValidation type="list" allowBlank="1" showInputMessage="1" showErrorMessage="1" sqref="F56:H56" xr:uid="{00000000-0002-0000-0000-00000D000000}">
      <formula1>startEnergyCode</formula1>
    </dataValidation>
    <dataValidation type="list" allowBlank="1" showInputMessage="1" showErrorMessage="1" sqref="F58:H58" xr:uid="{00000000-0002-0000-0000-00000E000000}">
      <formula1>startBuildingCode</formula1>
    </dataValidation>
    <dataValidation type="whole" operator="greaterThanOrEqual" allowBlank="1" showInputMessage="1" showErrorMessage="1" errorTitle="Invalid value" error="Multi-Unit projects must have 2 or more units. Enter whole numbers only." prompt="The number of units is required for Multi-Unit projects. Multi-Unit projects must have 2 or more units." sqref="L21" xr:uid="{00000000-0002-0000-0000-00000F000000}">
      <formula1>2</formula1>
    </dataValidation>
    <dataValidation type="list" allowBlank="1" showInputMessage="1" showErrorMessage="1" errorTitle="Invalid Entry" error="Select an option from the dropdown list provided." sqref="F21:H21" xr:uid="{00000000-0002-0000-0000-000010000000}">
      <formula1>ddSingleorMulti</formula1>
    </dataValidation>
    <dataValidation type="whole" operator="greaterThan" allowBlank="1" showInputMessage="1" showErrorMessage="1" errorTitle="Invalid value" error="Enter a whole number." sqref="F25:H25 F27:H27" xr:uid="{00000000-0002-0000-0000-000011000000}">
      <formula1>0</formula1>
    </dataValidation>
    <dataValidation type="whole" operator="greaterThan" allowBlank="1" showInputMessage="1" showErrorMessage="1" errorTitle="Invalid value" error="Enter a whole number greater than 1." sqref="M24" xr:uid="{00000000-0002-0000-0000-000012000000}">
      <formula1>0</formula1>
    </dataValidation>
    <dataValidation type="list" allowBlank="1" showInputMessage="1" showErrorMessage="1" errorTitle="Invalid Entry" error="Select an option from the dropdown list provided." sqref="F23:H23" xr:uid="{00000000-0002-0000-0000-000013000000}">
      <formula1>ddClimateZone</formula1>
    </dataValidation>
    <dataValidation type="list" allowBlank="1" showInputMessage="1" showErrorMessage="1" sqref="K23:L23" xr:uid="{00000000-0002-0000-0000-000014000000}">
      <formula1>INDIRECT(CZword)</formula1>
    </dataValidation>
    <dataValidation errorStyle="warning" operator="greaterThan" allowBlank="1" showInputMessage="1" showErrorMessage="1" error="Enter a  Multi-Unit Project Name " prompt="Project Name is required for Multi-Unit projects." sqref="P21:R21" xr:uid="{00000000-0002-0000-0000-000015000000}"/>
  </dataValidations>
  <hyperlinks>
    <hyperlink ref="O23" location="figure6_1" display="See Climate Zone Map." xr:uid="{00000000-0004-0000-0000-000000000000}"/>
    <hyperlink ref="A8:R8" r:id="rId1" display="Go to http://www.homeinnovation.com/greenscoring to download the latest version of the NGBS Scoring for New Construction spreadsheet." xr:uid="{00000000-0004-0000-0000-000001000000}"/>
  </hyperlinks>
  <pageMargins left="0.7" right="0.7" top="0.75" bottom="0.75" header="0.3" footer="0.3"/>
  <pageSetup scale="51" fitToHeight="3" orientation="portrait" r:id="rId2"/>
  <headerFooter>
    <oddFooter>&amp;C&amp;10(c) 2013 NAHB Research Center. All rights reserved.  This document is protected by U.S. copyright law.   Research Center authorizes use by those persons participating in the Research Center's Green Building Certification</oddFooter>
  </headerFooter>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pageSetUpPr fitToPage="1"/>
  </sheetPr>
  <dimension ref="A1:G102"/>
  <sheetViews>
    <sheetView showGridLines="0" zoomScaleNormal="100" workbookViewId="0">
      <pane ySplit="2" topLeftCell="A3" activePane="bottomLeft" state="frozen"/>
      <selection activeCell="A3" sqref="A1:K3"/>
      <selection pane="bottomLeft" activeCell="B2" sqref="B2:F2"/>
    </sheetView>
  </sheetViews>
  <sheetFormatPr baseColWidth="10" defaultColWidth="8.83203125" defaultRowHeight="15"/>
  <cols>
    <col min="1" max="1" width="66.83203125" customWidth="1"/>
    <col min="2" max="3" width="15.6640625" customWidth="1"/>
    <col min="4" max="4" width="24.5" bestFit="1" customWidth="1"/>
    <col min="5" max="6" width="25.6640625" customWidth="1"/>
  </cols>
  <sheetData>
    <row r="1" spans="1:7" s="32" customFormat="1" ht="45" customHeight="1">
      <c r="A1" s="328"/>
      <c r="B1" s="2323">
        <v>2012</v>
      </c>
      <c r="C1" s="4767" t="str">
        <f>CONCATENATE("Revised ",TEXT(startRevisionDate,"mmmm dd, yyyy"))</f>
        <v>Revised August 21, 2020</v>
      </c>
      <c r="D1" s="4767"/>
      <c r="E1" s="4799" t="str">
        <f>levelStatement</f>
        <v>This project has not met all the requirements for Bronze, Silver, Gold, or Emerald.</v>
      </c>
      <c r="F1" s="4799"/>
    </row>
    <row r="2" spans="1:7" s="32" customFormat="1" ht="50" customHeight="1">
      <c r="A2" s="760" t="s">
        <v>2594</v>
      </c>
      <c r="B2" s="2888" t="str">
        <f>CONCATENATE(copyright," All rights reserved.  This document is protected by U.S. copyright law. Requirements from ICC700-2012 National Green Building Standard™ © 2020 National Association of Home Builders of the U.S. - used by permission."," Home Innovation authorizes use of this document only by those individuals/organizations participating in Home Innovation's Green Building Certification and solely for purpose of seeking project certification from the Home Innovation Research Labs.")</f>
        <v>© 2020 Home Innovation Research Labs, Inc. All rights reserved.  This document is protected by U.S. copyright law. Requirements from ICC700-2012 National Green Building Standard™ © 2020 National Association of Home Builders of the U.S. - used by permission. Home Innovation authorizes use of this document only by those individuals/organizations participating in Home Innovation's Green Building Certification and solely for purpose of seeking project certification from the Home Innovation Research Labs.</v>
      </c>
      <c r="C2" s="2888"/>
      <c r="D2" s="2888"/>
      <c r="E2" s="2888"/>
      <c r="F2" s="2888"/>
    </row>
    <row r="3" spans="1:7" s="32" customFormat="1" ht="6" customHeight="1">
      <c r="A3" s="760"/>
      <c r="B3" s="2804"/>
      <c r="C3" s="2804"/>
      <c r="D3" s="2804"/>
      <c r="E3" s="2804"/>
      <c r="F3" s="2804"/>
    </row>
    <row r="4" spans="1:7" s="32" customFormat="1" ht="12" customHeight="1">
      <c r="A4" s="2806" t="s">
        <v>3106</v>
      </c>
      <c r="B4" s="4766" t="str">
        <f>IF(ISBLANK(startProjectName),"",startProjectName)</f>
        <v/>
      </c>
      <c r="C4" s="4766"/>
      <c r="D4" s="4766"/>
      <c r="E4" s="4766"/>
      <c r="F4" s="4766"/>
    </row>
    <row r="5" spans="1:7" s="32" customFormat="1" ht="14.25" customHeight="1">
      <c r="A5" s="2806" t="s">
        <v>3107</v>
      </c>
      <c r="B5" s="4766" t="str">
        <f>IF(startHomeAddress="", "", CONCATENATE(startHomeAddress, ", ", startHomeCity, ", ", startHomeState, " ", startHomeZip))</f>
        <v/>
      </c>
      <c r="C5" s="4766"/>
      <c r="D5" s="4766"/>
      <c r="E5" s="4766"/>
      <c r="F5" s="4766"/>
    </row>
    <row r="6" spans="1:7" s="32" customFormat="1" ht="6" customHeight="1">
      <c r="A6" s="2803"/>
      <c r="B6" s="2805"/>
      <c r="C6" s="2805"/>
      <c r="D6" s="2805"/>
      <c r="E6" s="2805"/>
      <c r="F6" s="2805"/>
    </row>
    <row r="7" spans="1:7" ht="18">
      <c r="A7" s="4800" t="s">
        <v>4</v>
      </c>
      <c r="B7" s="4801"/>
      <c r="C7" s="4801"/>
      <c r="D7" s="4801"/>
      <c r="E7" s="4801"/>
      <c r="F7" s="4802"/>
    </row>
    <row r="8" spans="1:7" ht="32">
      <c r="A8" s="329" t="s">
        <v>687</v>
      </c>
      <c r="B8" s="330" t="s">
        <v>688</v>
      </c>
      <c r="C8" s="330" t="s">
        <v>689</v>
      </c>
      <c r="D8" s="330" t="s">
        <v>690</v>
      </c>
      <c r="E8" s="330" t="s">
        <v>691</v>
      </c>
      <c r="F8" s="331" t="s">
        <v>692</v>
      </c>
      <c r="G8" s="332"/>
    </row>
    <row r="9" spans="1:7" ht="16">
      <c r="A9" s="333" t="s">
        <v>693</v>
      </c>
      <c r="B9" s="334">
        <v>50</v>
      </c>
      <c r="C9" s="337">
        <f>'Ch5'!N3</f>
        <v>0</v>
      </c>
      <c r="D9" s="334" t="str">
        <f t="shared" ref="D9:D14" si="0">IF(C9&gt;B9,C9-B9,"")</f>
        <v/>
      </c>
      <c r="E9" s="335">
        <f t="shared" ref="E9:E14" si="1">IF(C9-B9&gt;=0, "", C9-B9)</f>
        <v>-50</v>
      </c>
      <c r="F9" s="336" t="str">
        <f>'Ch5'!O3</f>
        <v>N/A</v>
      </c>
    </row>
    <row r="10" spans="1:7" ht="16">
      <c r="A10" s="333" t="s">
        <v>231</v>
      </c>
      <c r="B10" s="334">
        <v>43</v>
      </c>
      <c r="C10" s="337">
        <f>'Ch6'!O3</f>
        <v>0</v>
      </c>
      <c r="D10" s="337" t="str">
        <f t="shared" si="0"/>
        <v/>
      </c>
      <c r="E10" s="335">
        <f t="shared" si="1"/>
        <v>-43</v>
      </c>
      <c r="F10" s="336" t="str">
        <f>'Ch6'!P3</f>
        <v>Not Met</v>
      </c>
    </row>
    <row r="11" spans="1:7" ht="16">
      <c r="A11" s="333" t="s">
        <v>328</v>
      </c>
      <c r="B11" s="334">
        <v>30</v>
      </c>
      <c r="C11" s="337">
        <f>'Ch7'!O3</f>
        <v>0</v>
      </c>
      <c r="D11" s="334" t="str">
        <f t="shared" si="0"/>
        <v/>
      </c>
      <c r="E11" s="335">
        <f t="shared" si="1"/>
        <v>-30</v>
      </c>
      <c r="F11" s="336" t="str">
        <f>'Ch7'!P3</f>
        <v>Not Met</v>
      </c>
    </row>
    <row r="12" spans="1:7" ht="16">
      <c r="A12" s="333" t="s">
        <v>403</v>
      </c>
      <c r="B12" s="334">
        <v>25</v>
      </c>
      <c r="C12" s="337">
        <f>'Ch8'!N3</f>
        <v>0</v>
      </c>
      <c r="D12" s="334" t="str">
        <f t="shared" si="0"/>
        <v/>
      </c>
      <c r="E12" s="335">
        <f t="shared" si="1"/>
        <v>-25</v>
      </c>
      <c r="F12" s="336" t="str">
        <f>'Ch8'!O3</f>
        <v>N/A</v>
      </c>
    </row>
    <row r="13" spans="1:7" ht="16">
      <c r="A13" s="333" t="s">
        <v>425</v>
      </c>
      <c r="B13" s="334">
        <v>25</v>
      </c>
      <c r="C13" s="334">
        <f>'Ch9'!N3</f>
        <v>0</v>
      </c>
      <c r="D13" s="334" t="str">
        <f t="shared" si="0"/>
        <v/>
      </c>
      <c r="E13" s="335">
        <f t="shared" si="1"/>
        <v>-25</v>
      </c>
      <c r="F13" s="336" t="str">
        <f>'Ch9'!O3</f>
        <v>Not Met</v>
      </c>
    </row>
    <row r="14" spans="1:7" ht="17" thickBot="1">
      <c r="A14" s="338" t="s">
        <v>694</v>
      </c>
      <c r="B14" s="339">
        <v>8</v>
      </c>
      <c r="C14" s="340">
        <f>'Ch10'!N3</f>
        <v>0</v>
      </c>
      <c r="D14" s="339" t="str">
        <f t="shared" si="0"/>
        <v/>
      </c>
      <c r="E14" s="341">
        <f t="shared" si="1"/>
        <v>-8</v>
      </c>
      <c r="F14" s="342" t="str">
        <f>'Ch10'!O3</f>
        <v>Not Met</v>
      </c>
    </row>
    <row r="15" spans="1:7" ht="17" thickTop="1">
      <c r="A15" s="343" t="s">
        <v>695</v>
      </c>
      <c r="B15" s="344">
        <f>SUM(B9:B14)</f>
        <v>181</v>
      </c>
      <c r="C15" s="1634">
        <f>SUM(C9:C14)</f>
        <v>0</v>
      </c>
      <c r="D15" s="1634">
        <f>SUM(D9:D14)</f>
        <v>0</v>
      </c>
      <c r="E15" s="345">
        <f>SUM(E9:E14)</f>
        <v>-181</v>
      </c>
      <c r="F15" s="346"/>
    </row>
    <row r="16" spans="1:7" ht="17" thickBot="1">
      <c r="A16" s="347" t="s">
        <v>696</v>
      </c>
      <c r="B16" s="348">
        <f>bronzeMinimum-B15</f>
        <v>50</v>
      </c>
      <c r="C16" s="349"/>
      <c r="D16" s="1636">
        <f>D15</f>
        <v>0</v>
      </c>
      <c r="E16" s="350">
        <f>IF(D16&gt;B16,0,-(B16-D16))</f>
        <v>-50</v>
      </c>
      <c r="F16" s="351"/>
    </row>
    <row r="17" spans="1:7" ht="18" thickTop="1" thickBot="1">
      <c r="A17" s="352" t="s">
        <v>697</v>
      </c>
      <c r="B17" s="353">
        <f>SUM(B15:B16)</f>
        <v>231</v>
      </c>
      <c r="C17" s="1635">
        <f>SUM(C15:C16) +claim705.7</f>
        <v>0</v>
      </c>
      <c r="D17" s="354"/>
      <c r="E17" s="355">
        <f>SUM(E15:E16)</f>
        <v>-231</v>
      </c>
      <c r="F17" s="336"/>
    </row>
    <row r="18" spans="1:7" ht="16" thickTop="1">
      <c r="A18" s="356"/>
      <c r="B18" s="357"/>
      <c r="C18" s="357"/>
      <c r="D18" s="111"/>
      <c r="E18" s="358"/>
      <c r="F18" s="359"/>
    </row>
    <row r="19" spans="1:7">
      <c r="A19" s="4803" t="s">
        <v>698</v>
      </c>
      <c r="B19" s="4786"/>
      <c r="C19" s="4786"/>
      <c r="D19" s="4786"/>
      <c r="E19" s="4786"/>
      <c r="F19" s="4804"/>
    </row>
    <row r="20" spans="1:7" ht="15" customHeight="1">
      <c r="A20" s="360" t="s">
        <v>699</v>
      </c>
      <c r="B20" s="4779" t="str">
        <f>IF(projectValue&gt;0, "This requirement has been met.", "This requirement has not been met yet.")</f>
        <v>This requirement has not been met yet.</v>
      </c>
      <c r="C20" s="4779"/>
      <c r="D20" s="4779"/>
      <c r="E20" s="4779"/>
      <c r="F20" s="361"/>
    </row>
    <row r="21" spans="1:7" ht="15" customHeight="1">
      <c r="A21" s="360" t="s">
        <v>700</v>
      </c>
      <c r="B21" s="4779" t="str">
        <f>IF(D16&gt;=B16, "This requirement has been met.", "This requirement has not been met yet.")</f>
        <v>This requirement has not been met yet.</v>
      </c>
      <c r="C21" s="4779"/>
      <c r="D21" s="4779"/>
      <c r="E21" s="4779"/>
      <c r="F21" s="361"/>
    </row>
    <row r="22" spans="1:7" ht="15" customHeight="1">
      <c r="A22" s="360" t="s">
        <v>701</v>
      </c>
      <c r="B22" s="4779" t="str">
        <f>IF(mandatoryStatus="Met", "This requirement has been met.", "This requirement has not been met yet.")</f>
        <v>This requirement has not been met yet.</v>
      </c>
      <c r="C22" s="4779"/>
      <c r="D22" s="4779"/>
      <c r="E22" s="4779"/>
      <c r="F22" s="361"/>
    </row>
    <row r="23" spans="1:7" ht="16">
      <c r="A23" s="360" t="s">
        <v>702</v>
      </c>
      <c r="B23" s="362"/>
      <c r="C23" s="362"/>
      <c r="D23" s="362"/>
      <c r="E23" s="362"/>
      <c r="F23" s="361"/>
    </row>
    <row r="24" spans="1:7" ht="45" customHeight="1">
      <c r="A24" s="363" t="s">
        <v>703</v>
      </c>
      <c r="B24" s="4779" t="str">
        <f>IF(energypath="Alternative Bronze", "You chose the Alternative Bronze Compliance Path.", IF(section702req="meets","You have met the Performance Path minimum points requirement.", IF(section703req="meets", "You have met the Prescriptive Path minimum points requirement.", "You have not met any energy path minimum points requirements yet.")))</f>
        <v>You have not met any energy path minimum points requirements yet.</v>
      </c>
      <c r="C24" s="4779"/>
      <c r="D24" s="4779"/>
      <c r="E24" s="4779"/>
      <c r="F24" s="364"/>
    </row>
    <row r="25" spans="1:7" ht="15.75" customHeight="1" thickBot="1">
      <c r="A25" s="365" t="s">
        <v>704</v>
      </c>
      <c r="B25" s="4805" t="str">
        <f>IF(energypath="Alternative Bronze", "You do not need to select 2 items from Section 704.", IF(AND(energypath&lt;&gt;"Alternative Bronze",section704req="meets"),"You have met the minimum 2 required items from Section 704.","You have not met the minimum 2 required items from Section 704."))</f>
        <v>You have not met the minimum 2 required items from Section 704.</v>
      </c>
      <c r="C25" s="4805"/>
      <c r="D25" s="4805"/>
      <c r="E25" s="4805"/>
      <c r="F25" s="366"/>
    </row>
    <row r="26" spans="1:7" ht="17" thickTop="1" thickBot="1">
      <c r="A26" s="332"/>
      <c r="B26" s="332"/>
      <c r="C26" s="332"/>
      <c r="D26" s="332"/>
      <c r="E26" s="332"/>
      <c r="F26" s="332"/>
    </row>
    <row r="27" spans="1:7" ht="19" thickTop="1">
      <c r="A27" s="4806" t="s">
        <v>5</v>
      </c>
      <c r="B27" s="4807"/>
      <c r="C27" s="4807"/>
      <c r="D27" s="4807"/>
      <c r="E27" s="4807"/>
      <c r="F27" s="4808"/>
    </row>
    <row r="28" spans="1:7" ht="32">
      <c r="A28" s="367" t="s">
        <v>687</v>
      </c>
      <c r="B28" s="368" t="s">
        <v>688</v>
      </c>
      <c r="C28" s="368" t="s">
        <v>689</v>
      </c>
      <c r="D28" s="368" t="s">
        <v>705</v>
      </c>
      <c r="E28" s="368" t="s">
        <v>691</v>
      </c>
      <c r="F28" s="369" t="s">
        <v>692</v>
      </c>
      <c r="G28" s="332"/>
    </row>
    <row r="29" spans="1:7" ht="16">
      <c r="A29" s="370" t="s">
        <v>693</v>
      </c>
      <c r="B29" s="334">
        <v>64</v>
      </c>
      <c r="C29" s="337">
        <f>'Ch5'!N3</f>
        <v>0</v>
      </c>
      <c r="D29" s="334" t="str">
        <f t="shared" ref="D29:D34" si="2">IF(C29&gt;B29,C29-B29,"")</f>
        <v/>
      </c>
      <c r="E29" s="335">
        <f t="shared" ref="E29:E34" si="3">IF(C29-B29&gt;=0, "", C29-B29)</f>
        <v>-64</v>
      </c>
      <c r="F29" s="371" t="str">
        <f>'Ch5'!O3</f>
        <v>N/A</v>
      </c>
    </row>
    <row r="30" spans="1:7" ht="16">
      <c r="A30" s="370" t="s">
        <v>231</v>
      </c>
      <c r="B30" s="334">
        <v>59</v>
      </c>
      <c r="C30" s="337">
        <f>'Ch6'!O3</f>
        <v>0</v>
      </c>
      <c r="D30" s="337" t="str">
        <f t="shared" si="2"/>
        <v/>
      </c>
      <c r="E30" s="335">
        <f t="shared" si="3"/>
        <v>-59</v>
      </c>
      <c r="F30" s="371" t="str">
        <f>'Ch6'!P3</f>
        <v>Not Met</v>
      </c>
    </row>
    <row r="31" spans="1:7" ht="16">
      <c r="A31" s="370" t="s">
        <v>328</v>
      </c>
      <c r="B31" s="334">
        <v>60</v>
      </c>
      <c r="C31" s="337">
        <f>'Ch7'!O3</f>
        <v>0</v>
      </c>
      <c r="D31" s="334" t="str">
        <f t="shared" si="2"/>
        <v/>
      </c>
      <c r="E31" s="335">
        <f t="shared" si="3"/>
        <v>-60</v>
      </c>
      <c r="F31" s="371" t="str">
        <f>'Ch7'!P3</f>
        <v>Not Met</v>
      </c>
    </row>
    <row r="32" spans="1:7" ht="16">
      <c r="A32" s="370" t="s">
        <v>403</v>
      </c>
      <c r="B32" s="334">
        <v>39</v>
      </c>
      <c r="C32" s="337">
        <f>'Ch8'!N3</f>
        <v>0</v>
      </c>
      <c r="D32" s="334" t="str">
        <f t="shared" si="2"/>
        <v/>
      </c>
      <c r="E32" s="335">
        <f t="shared" si="3"/>
        <v>-39</v>
      </c>
      <c r="F32" s="371" t="str">
        <f>'Ch8'!O3</f>
        <v>N/A</v>
      </c>
    </row>
    <row r="33" spans="1:6" ht="16">
      <c r="A33" s="370" t="s">
        <v>425</v>
      </c>
      <c r="B33" s="334">
        <v>42</v>
      </c>
      <c r="C33" s="334">
        <f>'Ch9'!N3</f>
        <v>0</v>
      </c>
      <c r="D33" s="334" t="str">
        <f t="shared" si="2"/>
        <v/>
      </c>
      <c r="E33" s="335">
        <f t="shared" si="3"/>
        <v>-42</v>
      </c>
      <c r="F33" s="371" t="str">
        <f>'Ch9'!O3</f>
        <v>Not Met</v>
      </c>
    </row>
    <row r="34" spans="1:6" ht="17" thickBot="1">
      <c r="A34" s="372" t="s">
        <v>694</v>
      </c>
      <c r="B34" s="339">
        <v>10</v>
      </c>
      <c r="C34" s="340">
        <f>'Ch10'!N3</f>
        <v>0</v>
      </c>
      <c r="D34" s="339" t="str">
        <f t="shared" si="2"/>
        <v/>
      </c>
      <c r="E34" s="341">
        <f t="shared" si="3"/>
        <v>-10</v>
      </c>
      <c r="F34" s="373" t="str">
        <f>'Ch10'!O3</f>
        <v>Not Met</v>
      </c>
    </row>
    <row r="35" spans="1:6" ht="17" thickTop="1">
      <c r="A35" s="374" t="s">
        <v>695</v>
      </c>
      <c r="B35" s="344">
        <f>SUM(B29:B34)</f>
        <v>274</v>
      </c>
      <c r="C35" s="1634">
        <f>SUM(C29:C34)</f>
        <v>0</v>
      </c>
      <c r="D35" s="1634">
        <f>SUM(D29:D34)</f>
        <v>0</v>
      </c>
      <c r="E35" s="345">
        <f>SUM(E29:E34)</f>
        <v>-274</v>
      </c>
      <c r="F35" s="375"/>
    </row>
    <row r="36" spans="1:6" ht="17" thickBot="1">
      <c r="A36" s="376" t="s">
        <v>706</v>
      </c>
      <c r="B36" s="348">
        <f>silverMinimum-B35</f>
        <v>75</v>
      </c>
      <c r="C36" s="349"/>
      <c r="D36" s="1636">
        <f>D35</f>
        <v>0</v>
      </c>
      <c r="E36" s="350">
        <f>IF(D36&gt;B36,0,-(B36-D36))</f>
        <v>-75</v>
      </c>
      <c r="F36" s="371"/>
    </row>
    <row r="37" spans="1:6" ht="17" thickBot="1">
      <c r="A37" s="376" t="s">
        <v>697</v>
      </c>
      <c r="B37" s="377">
        <f>SUM(B35:B36)</f>
        <v>349</v>
      </c>
      <c r="C37" s="1636">
        <f>SUM(C35:C36) + claim705.7</f>
        <v>0</v>
      </c>
      <c r="D37" s="378"/>
      <c r="E37" s="379">
        <f>SUM(E35:E36)</f>
        <v>-349</v>
      </c>
      <c r="F37" s="371"/>
    </row>
    <row r="38" spans="1:6" ht="16" thickTop="1">
      <c r="A38" s="380"/>
      <c r="B38" s="357"/>
      <c r="C38" s="357"/>
      <c r="D38" s="111"/>
      <c r="E38" s="358"/>
      <c r="F38" s="381"/>
    </row>
    <row r="39" spans="1:6">
      <c r="A39" s="4797" t="s">
        <v>707</v>
      </c>
      <c r="B39" s="4786"/>
      <c r="C39" s="4786"/>
      <c r="D39" s="4786"/>
      <c r="E39" s="4786"/>
      <c r="F39" s="4798"/>
    </row>
    <row r="40" spans="1:6" ht="16">
      <c r="A40" s="382" t="s">
        <v>708</v>
      </c>
      <c r="B40" s="4779" t="str">
        <f>IF(projectValue&gt;1, "This requirement has been met.", "This requirement has not been met yet.")</f>
        <v>This requirement has not been met yet.</v>
      </c>
      <c r="C40" s="4779"/>
      <c r="D40" s="4779"/>
      <c r="E40" s="4779"/>
      <c r="F40" s="383"/>
    </row>
    <row r="41" spans="1:6" ht="16">
      <c r="A41" s="382" t="s">
        <v>700</v>
      </c>
      <c r="B41" s="4779" t="str">
        <f>IF(D36&gt;=B36, "This requirement has been met.", "This requirement has not been met yet.")</f>
        <v>This requirement has not been met yet.</v>
      </c>
      <c r="C41" s="4779"/>
      <c r="D41" s="4779"/>
      <c r="E41" s="4779"/>
      <c r="F41" s="384"/>
    </row>
    <row r="42" spans="1:6" ht="16">
      <c r="A42" s="382" t="s">
        <v>701</v>
      </c>
      <c r="B42" s="4779" t="str">
        <f>IF(mandatoryStatus="Met", "This requirement has been met.", "This requirement has not been met yet.")</f>
        <v>This requirement has not been met yet.</v>
      </c>
      <c r="C42" s="4779"/>
      <c r="D42" s="4779"/>
      <c r="E42" s="4779"/>
      <c r="F42" s="384"/>
    </row>
    <row r="43" spans="1:6" ht="16">
      <c r="A43" s="382" t="s">
        <v>702</v>
      </c>
      <c r="B43" s="362"/>
      <c r="C43" s="362"/>
      <c r="D43" s="362"/>
      <c r="E43" s="362"/>
      <c r="F43" s="384"/>
    </row>
    <row r="44" spans="1:6" ht="30" customHeight="1">
      <c r="A44" s="385" t="s">
        <v>709</v>
      </c>
      <c r="B44" s="4779" t="str">
        <f>IF(energypath="Alternative Bronze", "You chose the Alternative Bronze Compliance Path. Your project cannot achieve any level greater than Bronze.", IF(section702req="meets","You have met the Performance Path minimum points requirement.", IF(section703req="meets", "You have met the Prescriptive Path minimum points requirement.", "You have not met any energy path minimum points requirements yet.")))</f>
        <v>You have not met any energy path minimum points requirements yet.</v>
      </c>
      <c r="C44" s="4779"/>
      <c r="D44" s="4779"/>
      <c r="E44" s="4779"/>
      <c r="F44" s="4788"/>
    </row>
    <row r="45" spans="1:6" ht="17" thickBot="1">
      <c r="A45" s="386" t="s">
        <v>710</v>
      </c>
      <c r="B45" s="4789" t="str">
        <f>IF(energypath="Alternative Bronze", "", IF(AND(energypath&lt;&gt;"Alternative Bronze",section704req="meets"),"You have met the minimum 2 required items from Section 704.","You have not met the minimum 2 required items from Section 704."))</f>
        <v>You have not met the minimum 2 required items from Section 704.</v>
      </c>
      <c r="C45" s="4789"/>
      <c r="D45" s="4789"/>
      <c r="E45" s="4789"/>
      <c r="F45" s="387"/>
    </row>
    <row r="46" spans="1:6" ht="17" thickTop="1" thickBot="1">
      <c r="A46" s="332"/>
      <c r="B46" s="332"/>
      <c r="C46" s="332"/>
      <c r="D46" s="332"/>
      <c r="E46" s="332"/>
      <c r="F46" s="332"/>
    </row>
    <row r="47" spans="1:6" ht="19" thickTop="1">
      <c r="A47" s="4790" t="s">
        <v>6</v>
      </c>
      <c r="B47" s="4791"/>
      <c r="C47" s="4791"/>
      <c r="D47" s="4791"/>
      <c r="E47" s="4791"/>
      <c r="F47" s="4792"/>
    </row>
    <row r="48" spans="1:6" ht="32">
      <c r="A48" s="388" t="s">
        <v>687</v>
      </c>
      <c r="B48" s="389" t="s">
        <v>688</v>
      </c>
      <c r="C48" s="389" t="s">
        <v>689</v>
      </c>
      <c r="D48" s="389" t="s">
        <v>711</v>
      </c>
      <c r="E48" s="389" t="s">
        <v>691</v>
      </c>
      <c r="F48" s="390" t="s">
        <v>692</v>
      </c>
    </row>
    <row r="49" spans="1:6" ht="16">
      <c r="A49" s="391" t="s">
        <v>693</v>
      </c>
      <c r="B49" s="334">
        <v>93</v>
      </c>
      <c r="C49" s="337">
        <f>'Ch5'!N3</f>
        <v>0</v>
      </c>
      <c r="D49" s="334" t="str">
        <f t="shared" ref="D49:D54" si="4">IF(C49&gt;B49,C49-B49,"")</f>
        <v/>
      </c>
      <c r="E49" s="335">
        <f t="shared" ref="E49:E54" si="5">IF(C49-B49&gt;=0, "", C49-B49)</f>
        <v>-93</v>
      </c>
      <c r="F49" s="392" t="str">
        <f>'Ch5'!O3</f>
        <v>N/A</v>
      </c>
    </row>
    <row r="50" spans="1:6" ht="16">
      <c r="A50" s="391" t="s">
        <v>231</v>
      </c>
      <c r="B50" s="334">
        <v>89</v>
      </c>
      <c r="C50" s="337">
        <f>'Ch6'!O3</f>
        <v>0</v>
      </c>
      <c r="D50" s="337" t="str">
        <f t="shared" si="4"/>
        <v/>
      </c>
      <c r="E50" s="335">
        <f t="shared" si="5"/>
        <v>-89</v>
      </c>
      <c r="F50" s="392" t="str">
        <f>'Ch6'!P3</f>
        <v>Not Met</v>
      </c>
    </row>
    <row r="51" spans="1:6" ht="16">
      <c r="A51" s="391" t="s">
        <v>328</v>
      </c>
      <c r="B51" s="334">
        <v>80</v>
      </c>
      <c r="C51" s="337">
        <f>'Ch7'!O3</f>
        <v>0</v>
      </c>
      <c r="D51" s="334" t="str">
        <f t="shared" si="4"/>
        <v/>
      </c>
      <c r="E51" s="335">
        <f t="shared" si="5"/>
        <v>-80</v>
      </c>
      <c r="F51" s="392" t="str">
        <f>'Ch7'!P3</f>
        <v>Not Met</v>
      </c>
    </row>
    <row r="52" spans="1:6" ht="16">
      <c r="A52" s="391" t="s">
        <v>403</v>
      </c>
      <c r="B52" s="334">
        <v>67</v>
      </c>
      <c r="C52" s="337">
        <f>'Ch8'!N3</f>
        <v>0</v>
      </c>
      <c r="D52" s="334" t="str">
        <f t="shared" si="4"/>
        <v/>
      </c>
      <c r="E52" s="335">
        <f t="shared" si="5"/>
        <v>-67</v>
      </c>
      <c r="F52" s="392" t="str">
        <f>'Ch8'!O3</f>
        <v>N/A</v>
      </c>
    </row>
    <row r="53" spans="1:6" ht="16">
      <c r="A53" s="391" t="s">
        <v>425</v>
      </c>
      <c r="B53" s="334">
        <v>69</v>
      </c>
      <c r="C53" s="334">
        <f>'Ch9'!N3</f>
        <v>0</v>
      </c>
      <c r="D53" s="334" t="str">
        <f t="shared" si="4"/>
        <v/>
      </c>
      <c r="E53" s="335">
        <f t="shared" si="5"/>
        <v>-69</v>
      </c>
      <c r="F53" s="392" t="str">
        <f>'Ch9'!O3</f>
        <v>Not Met</v>
      </c>
    </row>
    <row r="54" spans="1:6" ht="17" thickBot="1">
      <c r="A54" s="393" t="s">
        <v>694</v>
      </c>
      <c r="B54" s="339">
        <v>11</v>
      </c>
      <c r="C54" s="340">
        <f>'Ch10'!N3</f>
        <v>0</v>
      </c>
      <c r="D54" s="339" t="str">
        <f t="shared" si="4"/>
        <v/>
      </c>
      <c r="E54" s="341">
        <f t="shared" si="5"/>
        <v>-11</v>
      </c>
      <c r="F54" s="394" t="str">
        <f>'Ch10'!O3</f>
        <v>Not Met</v>
      </c>
    </row>
    <row r="55" spans="1:6" ht="17" thickTop="1">
      <c r="A55" s="395" t="s">
        <v>695</v>
      </c>
      <c r="B55" s="344">
        <f>SUM(B49:B54)</f>
        <v>409</v>
      </c>
      <c r="C55" s="1634">
        <f>SUM(C49:C54)</f>
        <v>0</v>
      </c>
      <c r="D55" s="1634">
        <f>SUM(D49:D54)</f>
        <v>0</v>
      </c>
      <c r="E55" s="345">
        <f>SUM(E49:E54)</f>
        <v>-409</v>
      </c>
      <c r="F55" s="396"/>
    </row>
    <row r="56" spans="1:6" ht="17" thickBot="1">
      <c r="A56" s="397" t="s">
        <v>712</v>
      </c>
      <c r="B56" s="348">
        <f>goldMinimum-B55</f>
        <v>100</v>
      </c>
      <c r="C56" s="349"/>
      <c r="D56" s="1636">
        <f>D55</f>
        <v>0</v>
      </c>
      <c r="E56" s="350">
        <f>IF(D56&gt;B56,0,-(B56-D56))</f>
        <v>-100</v>
      </c>
      <c r="F56" s="392"/>
    </row>
    <row r="57" spans="1:6" ht="17" thickBot="1">
      <c r="A57" s="397" t="s">
        <v>697</v>
      </c>
      <c r="B57" s="377">
        <f>SUM(B55:B56)</f>
        <v>509</v>
      </c>
      <c r="C57" s="1636">
        <f>SUM(C55:C56) + claim705.7</f>
        <v>0</v>
      </c>
      <c r="D57" s="378"/>
      <c r="E57" s="379">
        <f>SUM(E55:E56)</f>
        <v>-509</v>
      </c>
      <c r="F57" s="392"/>
    </row>
    <row r="58" spans="1:6" ht="16" thickTop="1">
      <c r="A58" s="398"/>
      <c r="B58" s="357"/>
      <c r="C58" s="357"/>
      <c r="D58" s="111"/>
      <c r="E58" s="358"/>
      <c r="F58" s="399"/>
    </row>
    <row r="59" spans="1:6">
      <c r="A59" s="4793" t="s">
        <v>713</v>
      </c>
      <c r="B59" s="4786"/>
      <c r="C59" s="4786"/>
      <c r="D59" s="4786"/>
      <c r="E59" s="4786"/>
      <c r="F59" s="4794"/>
    </row>
    <row r="60" spans="1:6" ht="16">
      <c r="A60" s="400" t="s">
        <v>714</v>
      </c>
      <c r="B60" s="4779" t="str">
        <f>IF(projectValue&gt;2, "This requirement has been met.", "This requirement has not been met yet.")</f>
        <v>This requirement has not been met yet.</v>
      </c>
      <c r="C60" s="4779"/>
      <c r="D60" s="4779"/>
      <c r="E60" s="4779"/>
      <c r="F60" s="401"/>
    </row>
    <row r="61" spans="1:6" ht="16">
      <c r="A61" s="400" t="s">
        <v>700</v>
      </c>
      <c r="B61" s="4779" t="str">
        <f>IF(D56&gt;=B56, "This requirement has been met.", "This requirement has not been met yet.")</f>
        <v>This requirement has not been met yet.</v>
      </c>
      <c r="C61" s="4779"/>
      <c r="D61" s="4779"/>
      <c r="E61" s="4779"/>
      <c r="F61" s="402"/>
    </row>
    <row r="62" spans="1:6" ht="16">
      <c r="A62" s="400" t="s">
        <v>701</v>
      </c>
      <c r="B62" s="4779" t="str">
        <f>IF(mandatoryStatus="Met", "This requirement has been met.", "This requirement has not been met yet.")</f>
        <v>This requirement has not been met yet.</v>
      </c>
      <c r="C62" s="4779"/>
      <c r="D62" s="4779"/>
      <c r="E62" s="4779"/>
      <c r="F62" s="402"/>
    </row>
    <row r="63" spans="1:6" ht="16">
      <c r="A63" s="400" t="s">
        <v>2513</v>
      </c>
      <c r="B63" s="4780" t="str">
        <f>IF(HEToilets="Met", "This requirement has been met.", "This requirement has not been met yet.")</f>
        <v>This requirement has not been met yet.</v>
      </c>
      <c r="C63" s="4780"/>
      <c r="D63" s="4780"/>
      <c r="E63" s="4780"/>
      <c r="F63" s="401"/>
    </row>
    <row r="64" spans="1:6" ht="16">
      <c r="A64" s="400" t="s">
        <v>702</v>
      </c>
      <c r="B64" s="362"/>
      <c r="C64" s="362"/>
      <c r="D64" s="362"/>
      <c r="E64" s="362"/>
      <c r="F64" s="402"/>
    </row>
    <row r="65" spans="1:6" ht="30" customHeight="1">
      <c r="A65" s="403" t="s">
        <v>709</v>
      </c>
      <c r="B65" s="4779" t="str">
        <f>IF(energypath="Alternative Bronze", "You chose the Alternative Bronze Compliance Path. Your project cannot achieve any level greater than Bronze.", IF(section702req="meets","You have met the Performance Path minimum points requirement.", IF(section703req="meets", "You have met the Prescriptive Path minimum points requirement.", "You have not met any energy path minimum points requirements yet.")))</f>
        <v>You have not met any energy path minimum points requirements yet.</v>
      </c>
      <c r="C65" s="4779"/>
      <c r="D65" s="4779"/>
      <c r="E65" s="4779"/>
      <c r="F65" s="4809"/>
    </row>
    <row r="66" spans="1:6" ht="17" thickBot="1">
      <c r="A66" s="404" t="s">
        <v>710</v>
      </c>
      <c r="B66" s="4773" t="str">
        <f>IF(energypath="Alternative Bronze", "", IF(AND(energypath&lt;&gt;"Alternative Bronze",section704req="meets"),"You have met the minimum 2 required items from Section 704.","You have not met the minimum 2 required items from Section 704."))</f>
        <v>You have not met the minimum 2 required items from Section 704.</v>
      </c>
      <c r="C66" s="4773"/>
      <c r="D66" s="4773"/>
      <c r="E66" s="4773"/>
      <c r="F66" s="405"/>
    </row>
    <row r="67" spans="1:6" ht="17" thickTop="1" thickBot="1">
      <c r="A67" s="332"/>
      <c r="B67" s="332"/>
      <c r="C67" s="332"/>
      <c r="D67" s="332"/>
      <c r="E67" s="332"/>
      <c r="F67" s="332"/>
    </row>
    <row r="68" spans="1:6" ht="19" thickTop="1">
      <c r="A68" s="4774" t="s">
        <v>7</v>
      </c>
      <c r="B68" s="4775"/>
      <c r="C68" s="4775"/>
      <c r="D68" s="4775"/>
      <c r="E68" s="4775"/>
      <c r="F68" s="4776"/>
    </row>
    <row r="69" spans="1:6" ht="32">
      <c r="A69" s="406" t="s">
        <v>687</v>
      </c>
      <c r="B69" s="407" t="s">
        <v>688</v>
      </c>
      <c r="C69" s="407" t="s">
        <v>689</v>
      </c>
      <c r="D69" s="407" t="s">
        <v>715</v>
      </c>
      <c r="E69" s="407" t="s">
        <v>691</v>
      </c>
      <c r="F69" s="408" t="s">
        <v>692</v>
      </c>
    </row>
    <row r="70" spans="1:6" ht="16">
      <c r="A70" s="409" t="s">
        <v>693</v>
      </c>
      <c r="B70" s="334">
        <v>121</v>
      </c>
      <c r="C70" s="337">
        <f>'Ch5'!N3</f>
        <v>0</v>
      </c>
      <c r="D70" s="334" t="str">
        <f t="shared" ref="D70:D75" si="6">IF(C70&gt;B70,C70-B70,"")</f>
        <v/>
      </c>
      <c r="E70" s="335">
        <f t="shared" ref="E70:E75" si="7">IF(C70-B70&gt;=0, "", C70-B70)</f>
        <v>-121</v>
      </c>
      <c r="F70" s="410" t="str">
        <f>'Ch5'!O3</f>
        <v>N/A</v>
      </c>
    </row>
    <row r="71" spans="1:6" ht="16">
      <c r="A71" s="409" t="s">
        <v>231</v>
      </c>
      <c r="B71" s="334">
        <v>119</v>
      </c>
      <c r="C71" s="337">
        <f>'Ch6'!O3</f>
        <v>0</v>
      </c>
      <c r="D71" s="337" t="str">
        <f t="shared" si="6"/>
        <v/>
      </c>
      <c r="E71" s="335">
        <f t="shared" si="7"/>
        <v>-119</v>
      </c>
      <c r="F71" s="410" t="str">
        <f>'Ch6'!P3</f>
        <v>Not Met</v>
      </c>
    </row>
    <row r="72" spans="1:6" ht="16">
      <c r="A72" s="409" t="s">
        <v>328</v>
      </c>
      <c r="B72" s="334">
        <v>100</v>
      </c>
      <c r="C72" s="337">
        <f>'Ch7'!O3</f>
        <v>0</v>
      </c>
      <c r="D72" s="334" t="str">
        <f t="shared" si="6"/>
        <v/>
      </c>
      <c r="E72" s="335">
        <f t="shared" si="7"/>
        <v>-100</v>
      </c>
      <c r="F72" s="410" t="str">
        <f>'Ch7'!P3</f>
        <v>Not Met</v>
      </c>
    </row>
    <row r="73" spans="1:6" ht="16">
      <c r="A73" s="409" t="s">
        <v>403</v>
      </c>
      <c r="B73" s="334">
        <v>92</v>
      </c>
      <c r="C73" s="337">
        <f>'Ch8'!N3</f>
        <v>0</v>
      </c>
      <c r="D73" s="334" t="str">
        <f t="shared" si="6"/>
        <v/>
      </c>
      <c r="E73" s="335">
        <f t="shared" si="7"/>
        <v>-92</v>
      </c>
      <c r="F73" s="410" t="str">
        <f>'Ch8'!O3</f>
        <v>N/A</v>
      </c>
    </row>
    <row r="74" spans="1:6" ht="16">
      <c r="A74" s="409" t="s">
        <v>425</v>
      </c>
      <c r="B74" s="334">
        <v>97</v>
      </c>
      <c r="C74" s="334">
        <f>'Ch9'!N3</f>
        <v>0</v>
      </c>
      <c r="D74" s="334" t="str">
        <f t="shared" si="6"/>
        <v/>
      </c>
      <c r="E74" s="335">
        <f t="shared" si="7"/>
        <v>-97</v>
      </c>
      <c r="F74" s="410" t="str">
        <f>'Ch9'!O3</f>
        <v>Not Met</v>
      </c>
    </row>
    <row r="75" spans="1:6" ht="17" thickBot="1">
      <c r="A75" s="411" t="s">
        <v>694</v>
      </c>
      <c r="B75" s="339">
        <v>12</v>
      </c>
      <c r="C75" s="340">
        <f>'Ch10'!N3</f>
        <v>0</v>
      </c>
      <c r="D75" s="339" t="str">
        <f t="shared" si="6"/>
        <v/>
      </c>
      <c r="E75" s="341">
        <f t="shared" si="7"/>
        <v>-12</v>
      </c>
      <c r="F75" s="412" t="str">
        <f>'Ch10'!O3</f>
        <v>Not Met</v>
      </c>
    </row>
    <row r="76" spans="1:6" ht="17" thickTop="1">
      <c r="A76" s="413" t="s">
        <v>695</v>
      </c>
      <c r="B76" s="344">
        <f>SUM(B70:B75)</f>
        <v>541</v>
      </c>
      <c r="C76" s="1634">
        <f>SUM(C70:C75)</f>
        <v>0</v>
      </c>
      <c r="D76" s="1634">
        <f>SUM(D70:D75)</f>
        <v>0</v>
      </c>
      <c r="E76" s="414">
        <f>SUM(E70:E75)</f>
        <v>-541</v>
      </c>
      <c r="F76" s="415"/>
    </row>
    <row r="77" spans="1:6" ht="17" thickBot="1">
      <c r="A77" s="416" t="s">
        <v>716</v>
      </c>
      <c r="B77" s="348">
        <f>emeraldMinimum-B76</f>
        <v>100</v>
      </c>
      <c r="C77" s="349"/>
      <c r="D77" s="1636">
        <f>D76</f>
        <v>0</v>
      </c>
      <c r="E77" s="350">
        <f>IF(D77&gt;B77,0,-(B77-D77))</f>
        <v>-100</v>
      </c>
      <c r="F77" s="410"/>
    </row>
    <row r="78" spans="1:6" ht="17" thickBot="1">
      <c r="A78" s="416" t="s">
        <v>697</v>
      </c>
      <c r="B78" s="377">
        <f>SUM(B76:B77)</f>
        <v>641</v>
      </c>
      <c r="C78" s="1636">
        <f>SUM(C76:C77) + claim705.7</f>
        <v>0</v>
      </c>
      <c r="D78" s="378"/>
      <c r="E78" s="379">
        <f>SUM(E76:E77)</f>
        <v>-641</v>
      </c>
      <c r="F78" s="410"/>
    </row>
    <row r="79" spans="1:6" ht="16" thickTop="1">
      <c r="A79" s="417"/>
      <c r="B79" s="357"/>
      <c r="C79" s="357"/>
      <c r="D79" s="357"/>
      <c r="E79" s="357"/>
      <c r="F79" s="418"/>
    </row>
    <row r="80" spans="1:6">
      <c r="A80" s="4785" t="s">
        <v>717</v>
      </c>
      <c r="B80" s="4786"/>
      <c r="C80" s="4786"/>
      <c r="D80" s="4786"/>
      <c r="E80" s="4786"/>
      <c r="F80" s="4787"/>
    </row>
    <row r="81" spans="1:6" ht="16">
      <c r="A81" s="419" t="s">
        <v>718</v>
      </c>
      <c r="B81" s="4779" t="str">
        <f>IF(projectValue&gt;3, "This requirement has been met.", "This requirement has not been met yet.")</f>
        <v>This requirement has not been met yet.</v>
      </c>
      <c r="C81" s="4779"/>
      <c r="D81" s="4779"/>
      <c r="E81" s="4779"/>
      <c r="F81" s="420"/>
    </row>
    <row r="82" spans="1:6" ht="16">
      <c r="A82" s="419" t="s">
        <v>700</v>
      </c>
      <c r="B82" s="4779" t="str">
        <f>IF(D77&gt;=B77, "This requirement has been met.", "This requirement has not been met yet.")</f>
        <v>This requirement has not been met yet.</v>
      </c>
      <c r="C82" s="4779"/>
      <c r="D82" s="4779"/>
      <c r="E82" s="4779"/>
      <c r="F82" s="421"/>
    </row>
    <row r="83" spans="1:6" ht="16">
      <c r="A83" s="419" t="s">
        <v>701</v>
      </c>
      <c r="B83" s="4779" t="str">
        <f>IF(mandatoryStatus="Met", "This requirement has been met.", "This requirement has not been met yet.")</f>
        <v>This requirement has not been met yet.</v>
      </c>
      <c r="C83" s="4779"/>
      <c r="D83" s="4779"/>
      <c r="E83" s="4779"/>
      <c r="F83" s="421"/>
    </row>
    <row r="84" spans="1:6" ht="16">
      <c r="A84" s="419" t="s">
        <v>2513</v>
      </c>
      <c r="B84" s="4780" t="str">
        <f>IF(HEToilets="Met", "This requirement has been met.", "This requirement has not been met yet.")</f>
        <v>This requirement has not been met yet.</v>
      </c>
      <c r="C84" s="4780"/>
      <c r="D84" s="4780"/>
      <c r="E84" s="4780"/>
      <c r="F84" s="420"/>
    </row>
    <row r="85" spans="1:6" ht="16">
      <c r="A85" s="419" t="s">
        <v>702</v>
      </c>
      <c r="B85" s="362"/>
      <c r="C85" s="362"/>
      <c r="D85" s="362"/>
      <c r="E85" s="362"/>
      <c r="F85" s="421"/>
    </row>
    <row r="86" spans="1:6" ht="15" customHeight="1">
      <c r="A86" s="422" t="s">
        <v>719</v>
      </c>
      <c r="B86" s="4780" t="str">
        <f>IF(energypath="Alternative Bronze", "You chose the Alternative Bronze Compliance Path. Your project cannot achieve any level greater than Bronze.", IF(section702req="meets","You have met the Performance Path minimum points requirement.", IF(energypath="Prescriptive Path", "You have chosen the Prescriptive Path. Your project cannot achieve greater than Gold.", "You have not met this energy path requirement yet.")))</f>
        <v>You have not met this energy path requirement yet.</v>
      </c>
      <c r="C86" s="4780"/>
      <c r="D86" s="4780"/>
      <c r="E86" s="4780"/>
      <c r="F86" s="4781"/>
    </row>
    <row r="87" spans="1:6" ht="17" thickBot="1">
      <c r="A87" s="423" t="s">
        <v>710</v>
      </c>
      <c r="B87" s="4782" t="str">
        <f>IF(energypath="Alternative Bronze", "", IF(AND(energypath&lt;&gt;"Alternative Bronze",section704req="meets"),"You have met the minimum 2 required items from Section 704.","You have not met the minimum 2 required items from Section 704."))</f>
        <v>You have not met the minimum 2 required items from Section 704.</v>
      </c>
      <c r="C87" s="4782"/>
      <c r="D87" s="4782"/>
      <c r="E87" s="4782"/>
      <c r="F87" s="424"/>
    </row>
    <row r="88" spans="1:6" ht="17" thickTop="1" thickBot="1"/>
    <row r="89" spans="1:6" ht="33" customHeight="1" thickTop="1">
      <c r="A89" s="425" t="s">
        <v>720</v>
      </c>
      <c r="B89" s="4777" t="s">
        <v>721</v>
      </c>
      <c r="C89" s="4777"/>
      <c r="D89" s="4777"/>
      <c r="E89" s="4777" t="s">
        <v>2514</v>
      </c>
      <c r="F89" s="4778"/>
    </row>
    <row r="90" spans="1:6" ht="60" customHeight="1">
      <c r="A90" s="426" t="s">
        <v>722</v>
      </c>
      <c r="B90" s="4771" t="str">
        <f>CONCATENATE("Energy Path chosen = ",energypath)</f>
        <v>Energy Path chosen = 0</v>
      </c>
      <c r="C90" s="4771"/>
      <c r="D90" s="4771"/>
      <c r="E90" s="4771" t="s">
        <v>2515</v>
      </c>
      <c r="F90" s="4772"/>
    </row>
    <row r="91" spans="1:6" ht="16">
      <c r="A91" s="427" t="s">
        <v>723</v>
      </c>
      <c r="B91" s="4769" t="s">
        <v>723</v>
      </c>
      <c r="C91" s="4769"/>
      <c r="D91" s="4769"/>
      <c r="E91" s="4769" t="s">
        <v>723</v>
      </c>
      <c r="F91" s="4770"/>
    </row>
    <row r="92" spans="1:6" ht="60" customHeight="1">
      <c r="A92" s="426" t="str">
        <f>IF(startSquareFootage="", "Square footage needed to accurately calculate Additional Points. See the Start Here! worksheet.", CONCATENATE(startSquareFootage, " square feet"))</f>
        <v>Square footage needed to accurately calculate Additional Points. See the Start Here! worksheet.</v>
      </c>
      <c r="B92" s="4771" t="str">
        <f>IF(energypath="Prescriptive Path","Because this project follows the Prescriptive Path, the highest level that can be achieved in Energy Efficiency is Gold. The Performance Path must be followed to achieve Emerald.",IF(energypath="Performance Path", "Because this project follows the Performance Path, it is eligible to attain the Emerald level.", IF(energypath="Alternative Bronze", "Because this project follows the Alternative Bronze Path, the highest level that can be achieved in Energy Efficiency is Bronze. Therefore, the highest level that can be achieved for this project is Bronze.", "An Energy Efficiency Path has not been chosen yet.  See Chapter 7.")))</f>
        <v>An Energy Efficiency Path has not been chosen yet.  See Chapter 7.</v>
      </c>
      <c r="C92" s="4771"/>
      <c r="D92" s="4771"/>
      <c r="E92" s="4771" t="str">
        <f>IF(claim801.5_1="Met","Your project meets this requirement, and is eligible for Gold or Emerald.", "Your project does not meet this requirement, and is eligible for Bronze or Silver only.")</f>
        <v>Your project does not meet this requirement, and is eligible for Bronze or Silver only.</v>
      </c>
      <c r="F92" s="4772"/>
    </row>
    <row r="93" spans="1:6" ht="45" customHeight="1">
      <c r="A93" s="426" t="str">
        <f>CONCATENATE(50+additionalPoints, " Additional Points needed for Bronze.")</f>
        <v>50 Additional Points needed for Bronze.</v>
      </c>
      <c r="B93" s="4771" t="str">
        <f>IF(energypath="Prescriptive Path",CONCATENATE("A minimum of 30 points from Section 703 are required for certification - Your project ",section703req," this requirement."),IF(energypath="Performance Path",CONCATENATE("A minimum of 30 points from Section 702 are required for certification - Your project ",section702req," this requirement."),IF(energypath="Alternative Bronze", "","")))</f>
        <v/>
      </c>
      <c r="C93" s="4771"/>
      <c r="D93" s="4771"/>
      <c r="E93" s="4771"/>
      <c r="F93" s="4772"/>
    </row>
    <row r="94" spans="1:6" s="1866" customFormat="1" ht="45" customHeight="1" thickBot="1">
      <c r="A94" s="428" t="str">
        <f>CONCATENATE(75+additionalPoints, " Additional Points needed for Silver.")</f>
        <v>75 Additional Points needed for Silver.</v>
      </c>
      <c r="B94" s="4783" t="str">
        <f>IF(OR(energypath="Prescriptive Path",energypath="Performance Path"), CONCATENATE("A minimum of 2 items from Section 704 are required for certification - Your project ",section704req," this requirement."), "")</f>
        <v/>
      </c>
      <c r="C94" s="4783"/>
      <c r="D94" s="4783"/>
      <c r="E94" s="4795"/>
      <c r="F94" s="4796"/>
    </row>
    <row r="95" spans="1:6" ht="45" customHeight="1" thickTop="1" thickBot="1">
      <c r="A95" s="428" t="str">
        <f>CONCATENATE(100+additionalPoints, " Additional Points needed for Gold or Emerald.")</f>
        <v>100 Additional Points needed for Gold or Emerald.</v>
      </c>
      <c r="B95" s="4783" t="str">
        <f>IF(OR(energypath="Prescriptive Path",energypath="Performance Path"), CONCATENATE("A minimum of 2 items from Section 704 are required for certification - Your project ",section704req," this requirement."), "")</f>
        <v/>
      </c>
      <c r="C95" s="4783"/>
      <c r="D95" s="4783"/>
      <c r="E95" s="4783"/>
      <c r="F95" s="4784"/>
    </row>
    <row r="96" spans="1:6" ht="16" thickTop="1">
      <c r="B96" s="4768"/>
      <c r="C96" s="4768"/>
      <c r="D96" s="4768"/>
      <c r="E96" s="4768"/>
      <c r="F96" s="4768"/>
    </row>
    <row r="97" spans="1:6">
      <c r="A97" s="429"/>
      <c r="B97" s="4768"/>
      <c r="C97" s="4768"/>
      <c r="D97" s="4768"/>
      <c r="E97" s="4768"/>
      <c r="F97" s="4768"/>
    </row>
    <row r="98" spans="1:6">
      <c r="A98" s="429"/>
      <c r="B98" s="4768"/>
      <c r="C98" s="4768"/>
      <c r="D98" s="4768"/>
      <c r="E98" s="4768"/>
      <c r="F98" s="4768"/>
    </row>
    <row r="99" spans="1:6">
      <c r="A99" s="429"/>
      <c r="B99" s="4768"/>
      <c r="C99" s="4768"/>
      <c r="D99" s="4768"/>
      <c r="E99" s="4768"/>
      <c r="F99" s="4768"/>
    </row>
    <row r="100" spans="1:6">
      <c r="A100" s="429"/>
      <c r="B100" s="4768"/>
      <c r="C100" s="4768"/>
      <c r="D100" s="4768"/>
      <c r="E100" s="4768"/>
      <c r="F100" s="4768"/>
    </row>
    <row r="101" spans="1:6">
      <c r="B101" s="430"/>
    </row>
    <row r="102" spans="1:6">
      <c r="B102" s="430"/>
    </row>
  </sheetData>
  <sheetProtection algorithmName="SHA-512" hashValue="BuZYX64gA2ZY3KmYLd4bNOxLNAv6RMSxmDk26Vdh6xMoJhZ/CTHTiWoYmjTKnvCa93ZvYwox5uJAgp1tHlVheQ==" saltValue="vlfP5LUVxnk+7+sD907D3w==" spinCount="100000" sheet="1" objects="1" scenarios="1" selectLockedCells="1"/>
  <mergeCells count="59">
    <mergeCell ref="B4:F4"/>
    <mergeCell ref="B94:D94"/>
    <mergeCell ref="E94:F94"/>
    <mergeCell ref="A39:F39"/>
    <mergeCell ref="E1:F1"/>
    <mergeCell ref="B2:F2"/>
    <mergeCell ref="A7:F7"/>
    <mergeCell ref="A19:F19"/>
    <mergeCell ref="B20:E20"/>
    <mergeCell ref="B21:E21"/>
    <mergeCell ref="B22:E22"/>
    <mergeCell ref="B24:E24"/>
    <mergeCell ref="B25:E25"/>
    <mergeCell ref="A27:F27"/>
    <mergeCell ref="B65:F65"/>
    <mergeCell ref="B40:E40"/>
    <mergeCell ref="A80:F80"/>
    <mergeCell ref="B41:E41"/>
    <mergeCell ref="B42:E42"/>
    <mergeCell ref="B44:F44"/>
    <mergeCell ref="B45:E45"/>
    <mergeCell ref="A47:F47"/>
    <mergeCell ref="A59:F59"/>
    <mergeCell ref="B60:E60"/>
    <mergeCell ref="B61:E61"/>
    <mergeCell ref="B62:E62"/>
    <mergeCell ref="B63:E63"/>
    <mergeCell ref="B100:D100"/>
    <mergeCell ref="E100:F100"/>
    <mergeCell ref="B95:D95"/>
    <mergeCell ref="E95:F95"/>
    <mergeCell ref="B96:D96"/>
    <mergeCell ref="E96:F96"/>
    <mergeCell ref="B97:D97"/>
    <mergeCell ref="E97:F97"/>
    <mergeCell ref="B89:D89"/>
    <mergeCell ref="E89:F89"/>
    <mergeCell ref="B81:E81"/>
    <mergeCell ref="B82:E82"/>
    <mergeCell ref="B83:E83"/>
    <mergeCell ref="B84:E84"/>
    <mergeCell ref="B86:F86"/>
    <mergeCell ref="B87:E87"/>
    <mergeCell ref="B5:F5"/>
    <mergeCell ref="C1:D1"/>
    <mergeCell ref="B98:D98"/>
    <mergeCell ref="E98:F98"/>
    <mergeCell ref="B99:D99"/>
    <mergeCell ref="E99:F99"/>
    <mergeCell ref="B91:D91"/>
    <mergeCell ref="E91:F91"/>
    <mergeCell ref="B92:D92"/>
    <mergeCell ref="E92:F92"/>
    <mergeCell ref="B93:D93"/>
    <mergeCell ref="E93:F93"/>
    <mergeCell ref="B90:D90"/>
    <mergeCell ref="E90:F90"/>
    <mergeCell ref="B66:E66"/>
    <mergeCell ref="A68:F68"/>
  </mergeCells>
  <conditionalFormatting sqref="A4:F4">
    <cfRule type="expression" dxfId="1061" priority="1">
      <formula xml:space="preserve"> startSingleorMulti &lt;&gt;"Multi-Unit"</formula>
    </cfRule>
  </conditionalFormatting>
  <pageMargins left="0.7" right="0.7" top="0.75" bottom="0.75" header="0.3" footer="0.3"/>
  <pageSetup scale="52" fitToHeight="0" orientation="portrait" r:id="rId1"/>
  <headerFooter>
    <oddFooter xml:space="preserve">&amp;C&amp;8© 2013 Home Innovation Research Labs.  Practices of ICC700-2012 © 2013 National Association of Home Builders- used by permission.   Home Innovation authorizes use by those persons participating in the Home Innovation’s Green Building Certification.&amp;R
</oddFooter>
  </headerFooter>
  <rowBreaks count="1" manualBreakCount="1">
    <brk id="46" max="5"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pageSetUpPr fitToPage="1"/>
  </sheetPr>
  <dimension ref="A1:AZ878"/>
  <sheetViews>
    <sheetView tabSelected="1" topLeftCell="C1" zoomScaleNormal="100" workbookViewId="0">
      <pane ySplit="11" topLeftCell="A355" activePane="bottomLeft" state="frozen"/>
      <selection activeCell="A3" sqref="A1:K3"/>
      <selection pane="bottomLeft" activeCell="J364" sqref="J364:J365"/>
    </sheetView>
  </sheetViews>
  <sheetFormatPr baseColWidth="10" defaultColWidth="9.1640625" defaultRowHeight="15"/>
  <cols>
    <col min="1" max="1" width="4.5" style="32" hidden="1" customWidth="1"/>
    <col min="2" max="2" width="5.5" style="32" hidden="1" customWidth="1"/>
    <col min="3" max="3" width="3.83203125" style="2142" customWidth="1"/>
    <col min="4" max="4" width="3.1640625" style="433" customWidth="1"/>
    <col min="5" max="5" width="61.5" style="32" customWidth="1"/>
    <col min="6" max="6" width="26.33203125" style="326" bestFit="1" customWidth="1"/>
    <col min="7" max="9" width="9.83203125" style="327" customWidth="1"/>
    <col min="10" max="10" width="44.33203125" style="327" customWidth="1"/>
    <col min="11" max="11" width="14.5" style="182" customWidth="1"/>
    <col min="12" max="12" width="33.1640625" style="32" customWidth="1"/>
    <col min="13" max="13" width="5.33203125" style="32" hidden="1" customWidth="1"/>
    <col min="14" max="23" width="9.1640625" style="2675" hidden="1" customWidth="1"/>
    <col min="24" max="25" width="9.1640625" style="32" hidden="1" customWidth="1"/>
    <col min="26" max="26" width="9.6640625" style="32" hidden="1" customWidth="1"/>
    <col min="27" max="52" width="9.1640625" style="32" hidden="1" customWidth="1"/>
    <col min="53" max="100" width="9.1640625" style="32" customWidth="1"/>
    <col min="101" max="16384" width="9.1640625" style="32"/>
  </cols>
  <sheetData>
    <row r="1" spans="3:41" ht="46.5" customHeight="1" thickBot="1">
      <c r="C1" s="2305"/>
      <c r="D1" s="2305"/>
      <c r="E1" s="2367"/>
      <c r="F1" s="2669">
        <v>2012</v>
      </c>
      <c r="G1" s="5457" t="str">
        <f xml:space="preserve"> CONCATENATE("Revised ",TEXT(startRevisionDate,"mmmm dd, yyyy"))</f>
        <v>Revised August 21, 2020</v>
      </c>
      <c r="H1" s="5457"/>
      <c r="I1" s="5460" t="s">
        <v>2988</v>
      </c>
      <c r="J1" s="5460"/>
      <c r="K1" s="5458" t="str">
        <f>CONCATENATE(copyright," All rights reserved.  See full notice at bottom of this sheet")</f>
        <v>© 2020 Home Innovation Research Labs, Inc. All rights reserved.  See full notice at bottom of this sheet</v>
      </c>
      <c r="L1" s="5459"/>
      <c r="M1" s="2701">
        <f>SUBTOTAL(3,E12:L823)</f>
        <v>2318</v>
      </c>
      <c r="N1" s="2704"/>
      <c r="O1" s="2704"/>
      <c r="P1" s="2704"/>
      <c r="Q1" s="2704"/>
      <c r="R1" s="2704"/>
      <c r="S1" s="2704"/>
      <c r="T1" s="2704"/>
      <c r="U1" s="2704"/>
      <c r="V1" s="2704"/>
      <c r="W1" s="2704"/>
      <c r="X1" s="2049" t="s">
        <v>2651</v>
      </c>
      <c r="Y1" s="2049" t="s">
        <v>2652</v>
      </c>
      <c r="Z1" s="2014" t="s">
        <v>2687</v>
      </c>
      <c r="AA1" s="2014" t="s">
        <v>2697</v>
      </c>
      <c r="AB1" s="2049" t="s">
        <v>2653</v>
      </c>
      <c r="AC1" s="1981" t="s">
        <v>2654</v>
      </c>
      <c r="AD1" s="1981" t="s">
        <v>2655</v>
      </c>
      <c r="AE1" s="1981" t="s">
        <v>2762</v>
      </c>
      <c r="AN1" s="228" t="s">
        <v>558</v>
      </c>
      <c r="AO1" s="229" t="str">
        <f>finalLevelReached</f>
        <v>Nothing</v>
      </c>
    </row>
    <row r="2" spans="3:41" ht="2.25" customHeight="1">
      <c r="C2" s="5452" t="s">
        <v>2792</v>
      </c>
      <c r="D2" s="5454" t="s">
        <v>2793</v>
      </c>
      <c r="E2" s="5312"/>
      <c r="F2" s="5313"/>
      <c r="G2" s="5313"/>
      <c r="H2" s="5313"/>
      <c r="I2" s="5313"/>
      <c r="J2" s="5313"/>
      <c r="K2" s="5313"/>
      <c r="L2" s="5314"/>
      <c r="M2" s="2142"/>
    </row>
    <row r="3" spans="3:41">
      <c r="C3" s="5453"/>
      <c r="D3" s="5455"/>
      <c r="E3" s="2368" t="s">
        <v>560</v>
      </c>
      <c r="F3" s="5330" t="str">
        <f>IF(startBuilderName="","",startBuilderName)</f>
        <v/>
      </c>
      <c r="G3" s="5331"/>
      <c r="H3" s="5331"/>
      <c r="I3" s="5331"/>
      <c r="J3" s="1913" t="s">
        <v>563</v>
      </c>
      <c r="K3" s="5054" t="str">
        <f>IF(ISBLANK(startSingleorMulti),"",startSingleorMulti)</f>
        <v/>
      </c>
      <c r="L3" s="5055"/>
      <c r="M3" s="2702"/>
      <c r="AB3" s="32">
        <f>IF(BldgType="",1,0)</f>
        <v>1</v>
      </c>
    </row>
    <row r="4" spans="3:41" ht="15" customHeight="1">
      <c r="C4" s="5453"/>
      <c r="D4" s="5455"/>
      <c r="E4" s="2369" t="s">
        <v>562</v>
      </c>
      <c r="F4" s="3993" t="str">
        <f>IF(startHomeAddress="", "", CONCATENATE(startHomeAddress, ", ", startHomeCity, ", ", startHomeState, " ", startHomeZip))</f>
        <v/>
      </c>
      <c r="G4" s="3993"/>
      <c r="H4" s="3993"/>
      <c r="I4" s="3993"/>
      <c r="J4" s="1912" t="str">
        <f>IF(BldgType="Multi-Unit","# of units:","")</f>
        <v/>
      </c>
      <c r="K4" s="3993" t="str">
        <f>IF(ISBLANK(startMultiUnits),"",startMultiUnits)</f>
        <v/>
      </c>
      <c r="L4" s="3993"/>
      <c r="M4" s="2702"/>
      <c r="AB4" s="32">
        <f>IF(AND(K4="",BldgType="Multi-Unit"),1,0)</f>
        <v>0</v>
      </c>
    </row>
    <row r="5" spans="3:41">
      <c r="C5" s="5453"/>
      <c r="D5" s="5455"/>
      <c r="E5" s="2783" t="s">
        <v>3098</v>
      </c>
      <c r="F5" s="5319" t="str">
        <f>IF(startLot="", "", startLot)</f>
        <v/>
      </c>
      <c r="G5" s="5319"/>
      <c r="H5" s="5319"/>
      <c r="I5" s="5319"/>
      <c r="J5" s="2781" t="s">
        <v>3000</v>
      </c>
      <c r="K5" s="5328"/>
      <c r="L5" s="5329"/>
      <c r="M5" s="2702"/>
    </row>
    <row r="6" spans="3:41">
      <c r="C6" s="5453"/>
      <c r="D6" s="5455"/>
      <c r="E6" s="2368" t="s">
        <v>565</v>
      </c>
      <c r="F6" s="3993" t="str">
        <f>IF(ISBLANK(startClimateZone),"",startClimateZone)</f>
        <v/>
      </c>
      <c r="G6" s="3993"/>
      <c r="H6" s="2151" t="s">
        <v>2081</v>
      </c>
      <c r="I6" s="2757" t="str">
        <f>IF(startClimateType="","",startClimateType)</f>
        <v/>
      </c>
      <c r="J6" s="1912" t="s">
        <v>567</v>
      </c>
      <c r="K6" s="3993" t="str">
        <f>IF(startProjectDesc="","",startProjectDesc)</f>
        <v/>
      </c>
      <c r="L6" s="5056"/>
      <c r="M6" s="2702"/>
      <c r="AB6" s="32">
        <f>IF(VCZ="",1,0)</f>
        <v>1</v>
      </c>
      <c r="AC6" s="32">
        <f>IF(I6="",1,0)</f>
        <v>1</v>
      </c>
    </row>
    <row r="7" spans="3:41" ht="16" thickBot="1">
      <c r="C7" s="5453"/>
      <c r="D7" s="5455"/>
      <c r="E7" s="2370" t="s">
        <v>2059</v>
      </c>
      <c r="F7" s="5319" t="str">
        <f>IF(startCounty="","",startCounty)</f>
        <v/>
      </c>
      <c r="G7" s="5319"/>
      <c r="H7" s="1916"/>
      <c r="I7" s="1943" t="s">
        <v>2586</v>
      </c>
      <c r="J7" s="1911" t="s">
        <v>3121</v>
      </c>
      <c r="K7" s="5315" t="str">
        <f>IF(ISBLANK(startHERSIndex),"Missing Info on Start Here! tab",startHERSIndex)</f>
        <v>Missing Info on Start Here! tab</v>
      </c>
      <c r="L7" s="5316"/>
      <c r="M7" s="2702"/>
      <c r="AB7" s="32">
        <f>IF(HERS="Missing Info on Start Here! tab",1,0)</f>
        <v>1</v>
      </c>
    </row>
    <row r="8" spans="3:41" ht="17" thickTop="1" thickBot="1">
      <c r="C8" s="5453"/>
      <c r="D8" s="5455"/>
      <c r="E8" s="2717" t="s">
        <v>3097</v>
      </c>
      <c r="F8" s="2802" t="s">
        <v>3139</v>
      </c>
      <c r="G8" s="2365"/>
      <c r="H8" s="1944"/>
      <c r="I8" s="2062" t="s">
        <v>2687</v>
      </c>
      <c r="J8" s="1946" t="s">
        <v>2587</v>
      </c>
      <c r="K8" s="5317" t="str">
        <f>IF(ReportType="Final",IF(AB11&gt;0,"This Report is NOT Ready To Submit",CONCATENATE("Ready to Submit for ",vlevel)),IF(AC11&gt;0,"This Report is NOT Ready To Submit","Ready to Submit"))</f>
        <v>This Report is NOT Ready To Submit</v>
      </c>
      <c r="L8" s="5318"/>
      <c r="M8" s="2703"/>
      <c r="N8" s="2676"/>
      <c r="O8" s="2676"/>
      <c r="P8" s="2676"/>
      <c r="Q8" s="2676"/>
      <c r="R8" s="2676"/>
      <c r="S8" s="2676"/>
      <c r="T8" s="2676"/>
      <c r="U8" s="2676"/>
      <c r="V8" s="2676"/>
      <c r="AB8" s="32">
        <f>IF(ReportType="",1,0)</f>
        <v>0</v>
      </c>
      <c r="AC8" s="32">
        <f>IF(F8="",1,0)</f>
        <v>0</v>
      </c>
    </row>
    <row r="9" spans="3:41" ht="14.25" customHeight="1" thickTop="1">
      <c r="C9" s="5453"/>
      <c r="D9" s="5455"/>
      <c r="E9" s="5332" t="s">
        <v>568</v>
      </c>
      <c r="F9" s="5322" t="s">
        <v>13</v>
      </c>
      <c r="G9" s="5322" t="s">
        <v>14</v>
      </c>
      <c r="H9" s="5320" t="s">
        <v>2581</v>
      </c>
      <c r="I9" s="5321"/>
      <c r="J9" s="5322" t="s">
        <v>2583</v>
      </c>
      <c r="K9" s="5461" t="s">
        <v>2582</v>
      </c>
      <c r="L9" s="5462"/>
      <c r="M9" s="2702"/>
    </row>
    <row r="10" spans="3:41" ht="1.5" customHeight="1">
      <c r="E10" s="5333"/>
      <c r="F10" s="5323"/>
      <c r="G10" s="5323"/>
      <c r="H10" s="2371"/>
      <c r="I10" s="2372"/>
      <c r="J10" s="5323"/>
      <c r="K10" s="5463"/>
      <c r="L10" s="5464"/>
      <c r="M10" s="2702"/>
      <c r="AB10" s="2085" t="s">
        <v>2697</v>
      </c>
      <c r="AC10" s="2085" t="s">
        <v>2687</v>
      </c>
    </row>
    <row r="11" spans="3:41" ht="15" customHeight="1">
      <c r="C11" s="433"/>
      <c r="E11" s="5334"/>
      <c r="F11" s="5324"/>
      <c r="G11" s="5324"/>
      <c r="H11" s="2641" t="s">
        <v>2857</v>
      </c>
      <c r="I11" s="2648" t="s">
        <v>2858</v>
      </c>
      <c r="J11" s="5323"/>
      <c r="K11" s="5463"/>
      <c r="L11" s="5464"/>
      <c r="M11" s="2702"/>
      <c r="X11" s="1979" t="s">
        <v>2650</v>
      </c>
      <c r="AB11" s="32" t="e">
        <f>SUM(X15:AE826)+SUM(AB3:AC8)</f>
        <v>#N/A</v>
      </c>
      <c r="AC11" s="32">
        <f>SUM(Y15:Z826)+SUM(AB15:AE283)+SUM(AB3:AC8)</f>
        <v>24</v>
      </c>
    </row>
    <row r="12" spans="3:41">
      <c r="E12" s="2373" t="s">
        <v>569</v>
      </c>
      <c r="F12" s="2374"/>
      <c r="G12" s="2374"/>
      <c r="H12" s="2375"/>
      <c r="I12" s="2376"/>
      <c r="J12" s="2649"/>
      <c r="K12" s="2649"/>
      <c r="L12" s="2650"/>
      <c r="M12" s="2702"/>
      <c r="Z12" s="2014" t="s">
        <v>2687</v>
      </c>
      <c r="AA12" s="2014" t="s">
        <v>2697</v>
      </c>
    </row>
    <row r="13" spans="3:41">
      <c r="E13" s="2377" t="s">
        <v>570</v>
      </c>
      <c r="F13" s="2147"/>
      <c r="G13" s="2147"/>
      <c r="H13" s="2148"/>
      <c r="I13" s="2149"/>
      <c r="J13" s="2649"/>
      <c r="K13" s="2651"/>
      <c r="L13" s="2652"/>
      <c r="M13" s="2702"/>
      <c r="X13" s="1979" t="s">
        <v>2651</v>
      </c>
      <c r="Y13" s="1979" t="s">
        <v>2652</v>
      </c>
      <c r="Z13" s="2014" t="s">
        <v>3</v>
      </c>
      <c r="AA13" s="2014" t="s">
        <v>3</v>
      </c>
      <c r="AB13" s="1979" t="s">
        <v>2653</v>
      </c>
      <c r="AC13" s="1981" t="s">
        <v>2654</v>
      </c>
      <c r="AD13" s="1981" t="s">
        <v>2655</v>
      </c>
    </row>
    <row r="14" spans="3:41" ht="16.5" customHeight="1">
      <c r="D14" s="433" t="s">
        <v>2795</v>
      </c>
      <c r="E14" s="5234" t="s">
        <v>1273</v>
      </c>
      <c r="F14" s="5235"/>
      <c r="G14" s="5235"/>
      <c r="H14" s="5235"/>
      <c r="I14" s="5236"/>
      <c r="J14" s="1826"/>
      <c r="K14" s="4687"/>
      <c r="L14" s="5325"/>
      <c r="M14" s="2702"/>
    </row>
    <row r="15" spans="3:41" ht="15.75" customHeight="1">
      <c r="C15" s="2142" t="str">
        <f>IF(G15&gt;0,"P","")</f>
        <v/>
      </c>
      <c r="D15" s="433" t="s">
        <v>2795</v>
      </c>
      <c r="E15" s="5278" t="s">
        <v>1274</v>
      </c>
      <c r="F15" s="4719">
        <v>6</v>
      </c>
      <c r="G15" s="4592">
        <f>claim501.1_1</f>
        <v>0</v>
      </c>
      <c r="H15" s="4957"/>
      <c r="I15" s="4898"/>
      <c r="J15" s="2061" t="str">
        <f>IF(SUM(H15:I16)&gt;=6,"Enter Community Name","")</f>
        <v/>
      </c>
      <c r="K15" s="4902" t="str">
        <f>IF(note501.1_1&lt;&gt;"",note501.1_1,"")</f>
        <v/>
      </c>
      <c r="L15" s="4903"/>
      <c r="M15" s="2702" t="str">
        <f t="shared" ref="M15:M78" si="0">IF(AND(ReportType="Rough",SUM(X15,Y15,Z15,AB15,AC15,AD15,AE15)&gt;0),"!",IF(AND(ReportType="Final", SUM(X15,Y15,AA15,AB15,AC15,AD15,AE15)&gt;0),"!",""))</f>
        <v/>
      </c>
      <c r="X15" s="32">
        <f>IF(AND(H15&gt;0,I15&gt;0),1,0)</f>
        <v>0</v>
      </c>
      <c r="Y15" s="32">
        <f>IF(AND(J15&lt;&gt;"",J16=""),1,0)</f>
        <v>0</v>
      </c>
    </row>
    <row r="16" spans="3:41">
      <c r="C16" s="2142" t="str">
        <f t="shared" ref="C16:C20" si="1">IF(G16&gt;0,"P","")</f>
        <v/>
      </c>
      <c r="D16" s="433" t="s">
        <v>2795</v>
      </c>
      <c r="E16" s="5279"/>
      <c r="F16" s="4488"/>
      <c r="G16" s="4593"/>
      <c r="H16" s="4981"/>
      <c r="I16" s="4899"/>
      <c r="J16" s="1877"/>
      <c r="K16" s="4572"/>
      <c r="L16" s="4953"/>
      <c r="M16" s="2702" t="str">
        <f t="shared" si="0"/>
        <v/>
      </c>
    </row>
    <row r="17" spans="3:25">
      <c r="C17" s="2142" t="str">
        <f t="shared" si="1"/>
        <v/>
      </c>
      <c r="D17" s="433" t="s">
        <v>2795</v>
      </c>
      <c r="E17" s="2378" t="s">
        <v>1275</v>
      </c>
      <c r="F17" s="2379">
        <v>8</v>
      </c>
      <c r="G17" s="2380">
        <f>claim501.1_2</f>
        <v>0</v>
      </c>
      <c r="H17" s="2381"/>
      <c r="I17" s="2382"/>
      <c r="J17" s="2381"/>
      <c r="K17" s="5326" t="str">
        <f>IF(note501.1_2&lt;&gt;"",note501.1_2,"")</f>
        <v/>
      </c>
      <c r="L17" s="5327"/>
      <c r="M17" s="2702" t="str">
        <f t="shared" si="0"/>
        <v/>
      </c>
      <c r="X17" s="32">
        <f>IF(AND(H17&gt;0,I17&gt;0),1,0)</f>
        <v>0</v>
      </c>
    </row>
    <row r="18" spans="3:25">
      <c r="C18" s="2142" t="str">
        <f t="shared" si="1"/>
        <v/>
      </c>
      <c r="D18" s="433" t="s">
        <v>2795</v>
      </c>
      <c r="E18" s="2378" t="s">
        <v>1276</v>
      </c>
      <c r="F18" s="2379">
        <v>7</v>
      </c>
      <c r="G18" s="2380">
        <f>claim501.1_3</f>
        <v>0</v>
      </c>
      <c r="H18" s="2381"/>
      <c r="I18" s="2382"/>
      <c r="J18" s="2383"/>
      <c r="K18" s="4857">
        <f>note501.1_3</f>
        <v>0</v>
      </c>
      <c r="L18" s="4858"/>
      <c r="M18" s="2702" t="str">
        <f t="shared" si="0"/>
        <v/>
      </c>
      <c r="X18" s="32">
        <f>IF(AND(H18&gt;0,I18&gt;0),1,0)</f>
        <v>0</v>
      </c>
    </row>
    <row r="19" spans="3:25">
      <c r="C19" s="2142" t="str">
        <f t="shared" si="1"/>
        <v/>
      </c>
      <c r="D19" s="433" t="s">
        <v>2795</v>
      </c>
      <c r="E19" s="2378" t="s">
        <v>1277</v>
      </c>
      <c r="F19" s="2379">
        <v>9</v>
      </c>
      <c r="G19" s="2380">
        <f>claim501.1_4</f>
        <v>0</v>
      </c>
      <c r="H19" s="2381"/>
      <c r="I19" s="2382"/>
      <c r="J19" s="2381"/>
      <c r="K19" s="4857">
        <f>note501.1_4</f>
        <v>0</v>
      </c>
      <c r="L19" s="4858"/>
      <c r="M19" s="2702" t="str">
        <f t="shared" si="0"/>
        <v/>
      </c>
      <c r="X19" s="32">
        <f>IF(AND(H19&gt;0,I19&gt;0),1,0)</f>
        <v>0</v>
      </c>
    </row>
    <row r="20" spans="3:25" ht="16" thickBot="1">
      <c r="C20" s="2142" t="str">
        <f t="shared" si="1"/>
        <v/>
      </c>
      <c r="D20" s="433" t="s">
        <v>2795</v>
      </c>
      <c r="E20" s="2384" t="s">
        <v>1278</v>
      </c>
      <c r="F20" s="2342">
        <v>9</v>
      </c>
      <c r="G20" s="2334">
        <f>claim501.1_5</f>
        <v>0</v>
      </c>
      <c r="H20" s="2381"/>
      <c r="I20" s="2382"/>
      <c r="J20" s="2350"/>
      <c r="K20" s="4902">
        <f>note501.1_5</f>
        <v>0</v>
      </c>
      <c r="L20" s="4903"/>
      <c r="M20" s="2702" t="str">
        <f t="shared" si="0"/>
        <v/>
      </c>
      <c r="X20" s="32">
        <f>IF(AND(H20&gt;0,I20&gt;0),1,0)</f>
        <v>0</v>
      </c>
    </row>
    <row r="21" spans="3:25" ht="18.75" customHeight="1" thickTop="1">
      <c r="D21" s="433" t="s">
        <v>2795</v>
      </c>
      <c r="E21" s="4991" t="s">
        <v>1279</v>
      </c>
      <c r="F21" s="4992"/>
      <c r="G21" s="4992"/>
      <c r="H21" s="4992"/>
      <c r="I21" s="4993"/>
      <c r="J21" s="1827"/>
      <c r="K21" s="4642"/>
      <c r="L21" s="4952"/>
      <c r="M21" s="2702" t="str">
        <f t="shared" si="0"/>
        <v/>
      </c>
    </row>
    <row r="22" spans="3:25" ht="45">
      <c r="C22" s="2142" t="str">
        <f t="shared" ref="C22:C25" si="2">IF(G22&gt;0,"P","")</f>
        <v/>
      </c>
      <c r="D22" s="433" t="s">
        <v>2795</v>
      </c>
      <c r="E22" s="2378" t="s">
        <v>2995</v>
      </c>
      <c r="F22" s="2379">
        <v>4</v>
      </c>
      <c r="G22" s="2380">
        <f>claim501.2_1</f>
        <v>0</v>
      </c>
      <c r="H22" s="2381"/>
      <c r="I22" s="2382"/>
      <c r="J22" s="2381"/>
      <c r="K22" s="4857">
        <f>note501.2_1</f>
        <v>0</v>
      </c>
      <c r="L22" s="4858"/>
      <c r="M22" s="2702" t="str">
        <f t="shared" si="0"/>
        <v/>
      </c>
      <c r="X22" s="32">
        <f>IF(AND(H22&gt;0,I22&gt;0),1,0)</f>
        <v>0</v>
      </c>
    </row>
    <row r="23" spans="3:25" ht="45">
      <c r="C23" s="2142" t="str">
        <f t="shared" si="2"/>
        <v/>
      </c>
      <c r="D23" s="433" t="s">
        <v>2795</v>
      </c>
      <c r="E23" s="2378" t="s">
        <v>1281</v>
      </c>
      <c r="F23" s="2379">
        <v>5</v>
      </c>
      <c r="G23" s="2380">
        <f>claim501.2_2</f>
        <v>0</v>
      </c>
      <c r="H23" s="2381"/>
      <c r="I23" s="2382"/>
      <c r="J23" s="2381"/>
      <c r="K23" s="4857">
        <f>note501.2_2</f>
        <v>0</v>
      </c>
      <c r="L23" s="4858"/>
      <c r="M23" s="2702" t="str">
        <f t="shared" si="0"/>
        <v/>
      </c>
      <c r="X23" s="32">
        <f>IF(AND(H23&gt;0,I23&gt;0),1,0)</f>
        <v>0</v>
      </c>
    </row>
    <row r="24" spans="3:25" ht="60">
      <c r="C24" s="2142" t="str">
        <f t="shared" si="2"/>
        <v/>
      </c>
      <c r="D24" s="433" t="s">
        <v>2795</v>
      </c>
      <c r="E24" s="2384" t="s">
        <v>1282</v>
      </c>
      <c r="F24" s="2342">
        <v>4</v>
      </c>
      <c r="G24" s="2334">
        <f>claim501.2_3</f>
        <v>0</v>
      </c>
      <c r="H24" s="2381"/>
      <c r="I24" s="2382"/>
      <c r="J24" s="2350"/>
      <c r="K24" s="4857">
        <f>note501.2_3</f>
        <v>0</v>
      </c>
      <c r="L24" s="4858"/>
      <c r="M24" s="2702" t="str">
        <f t="shared" si="0"/>
        <v/>
      </c>
      <c r="X24" s="32">
        <f>IF(AND(H24&gt;0,I24&gt;0),1,0)</f>
        <v>0</v>
      </c>
    </row>
    <row r="25" spans="3:25" ht="60">
      <c r="C25" s="2142" t="str">
        <f t="shared" si="2"/>
        <v/>
      </c>
      <c r="D25" s="433" t="s">
        <v>2795</v>
      </c>
      <c r="E25" s="2384" t="s">
        <v>1283</v>
      </c>
      <c r="F25" s="2342">
        <v>5</v>
      </c>
      <c r="G25" s="2334">
        <f>claim501.2_4</f>
        <v>0</v>
      </c>
      <c r="H25" s="2381"/>
      <c r="I25" s="2382"/>
      <c r="J25" s="2350"/>
      <c r="K25" s="4902">
        <f>note501.2_4</f>
        <v>0</v>
      </c>
      <c r="L25" s="4903"/>
      <c r="M25" s="2702" t="str">
        <f t="shared" si="0"/>
        <v/>
      </c>
      <c r="X25" s="32">
        <f>IF(AND(H25&gt;0,I25&gt;0),1,0)</f>
        <v>0</v>
      </c>
    </row>
    <row r="26" spans="3:25">
      <c r="E26" s="4918"/>
      <c r="F26" s="4919"/>
      <c r="G26" s="4919"/>
      <c r="H26" s="4919"/>
      <c r="I26" s="4919"/>
      <c r="J26" s="4919"/>
      <c r="K26" s="4919"/>
      <c r="L26" s="4920"/>
      <c r="M26" s="2702" t="str">
        <f t="shared" si="0"/>
        <v/>
      </c>
    </row>
    <row r="27" spans="3:25">
      <c r="C27" s="2142" t="str">
        <f>IF(G27&gt;0,"P","")</f>
        <v/>
      </c>
      <c r="D27" s="433" t="s">
        <v>2796</v>
      </c>
      <c r="E27" s="5297" t="s">
        <v>2691</v>
      </c>
      <c r="F27" s="4719">
        <v>4</v>
      </c>
      <c r="G27" s="4592">
        <f>claim502.1</f>
        <v>0</v>
      </c>
      <c r="H27" s="4910"/>
      <c r="I27" s="4898"/>
      <c r="J27" s="1872" t="str">
        <f>IF(AND(H27="",I27&gt;0),"Explain verification at Final","")</f>
        <v/>
      </c>
      <c r="K27" s="5199">
        <f>note502.1</f>
        <v>0</v>
      </c>
      <c r="L27" s="4903"/>
      <c r="M27" s="2702" t="str">
        <f t="shared" si="0"/>
        <v/>
      </c>
      <c r="X27" s="32">
        <f>IF(AND(H27&gt;0,I27&gt;0),1,0)</f>
        <v>0</v>
      </c>
      <c r="Y27" s="32">
        <f>IF(AND(J27&lt;&gt;"",J28=""),1,0)</f>
        <v>0</v>
      </c>
    </row>
    <row r="28" spans="3:25" ht="37.5" customHeight="1">
      <c r="C28" s="2142" t="str">
        <f>IF(G27&gt;0,"P","")</f>
        <v/>
      </c>
      <c r="D28" s="433" t="s">
        <v>2796</v>
      </c>
      <c r="E28" s="5298"/>
      <c r="F28" s="4488"/>
      <c r="G28" s="4593"/>
      <c r="H28" s="4951"/>
      <c r="I28" s="4899"/>
      <c r="J28" s="1876"/>
      <c r="K28" s="5303"/>
      <c r="L28" s="5304"/>
      <c r="M28" s="2702" t="str">
        <f t="shared" si="0"/>
        <v/>
      </c>
    </row>
    <row r="29" spans="3:25">
      <c r="E29" s="4918" t="s">
        <v>572</v>
      </c>
      <c r="F29" s="4919"/>
      <c r="G29" s="4919"/>
      <c r="H29" s="4919"/>
      <c r="I29" s="4919"/>
      <c r="J29" s="4919"/>
      <c r="K29" s="4919"/>
      <c r="L29" s="4920"/>
      <c r="M29" s="2702" t="str">
        <f t="shared" si="0"/>
        <v/>
      </c>
    </row>
    <row r="30" spans="3:25" ht="17.25" customHeight="1">
      <c r="C30" s="2142" t="str">
        <f>IF(SUM(G31:G38)&gt;0,"P","")</f>
        <v/>
      </c>
      <c r="D30" s="433" t="s">
        <v>2796</v>
      </c>
      <c r="E30" s="5128" t="s">
        <v>1285</v>
      </c>
      <c r="F30" s="5189"/>
      <c r="G30" s="5189"/>
      <c r="H30" s="5189"/>
      <c r="I30" s="5190"/>
      <c r="J30" s="1828"/>
      <c r="K30" s="4698"/>
      <c r="L30" s="5299"/>
      <c r="M30" s="2702" t="str">
        <f t="shared" si="0"/>
        <v/>
      </c>
    </row>
    <row r="31" spans="3:25">
      <c r="C31" s="2142" t="str">
        <f t="shared" ref="C31:C38" si="3">IF(G31&gt;0,"P","")</f>
        <v/>
      </c>
      <c r="D31" s="433" t="s">
        <v>2796</v>
      </c>
      <c r="E31" s="4897" t="s">
        <v>1286</v>
      </c>
      <c r="F31" s="4719">
        <v>5</v>
      </c>
      <c r="G31" s="4592">
        <f>claim503.1_1</f>
        <v>0</v>
      </c>
      <c r="H31" s="5284"/>
      <c r="I31" s="5282"/>
      <c r="J31" s="2385" t="str">
        <f>IF(AND(H31="",I31&gt;0),"Explain verification at Final","")</f>
        <v/>
      </c>
      <c r="K31" s="4902">
        <f>note503.1_1</f>
        <v>0</v>
      </c>
      <c r="L31" s="5305"/>
      <c r="M31" s="2702" t="str">
        <f t="shared" si="0"/>
        <v/>
      </c>
      <c r="X31" s="32">
        <f>IF(AND(H31&gt;0,I31&gt;0),1,0)</f>
        <v>0</v>
      </c>
      <c r="Y31" s="32">
        <f>IF(AND(J31&lt;&gt;"",J32=""),1,0)</f>
        <v>0</v>
      </c>
    </row>
    <row r="32" spans="3:25">
      <c r="C32" s="2142" t="str">
        <f>IF(G31&gt;0,"P","")</f>
        <v/>
      </c>
      <c r="D32" s="433" t="s">
        <v>2796</v>
      </c>
      <c r="E32" s="5300"/>
      <c r="F32" s="5302"/>
      <c r="G32" s="5302"/>
      <c r="H32" s="5285"/>
      <c r="I32" s="5301"/>
      <c r="J32" s="1877"/>
      <c r="K32" s="5306"/>
      <c r="L32" s="5307"/>
      <c r="M32" s="2702" t="str">
        <f t="shared" si="0"/>
        <v/>
      </c>
    </row>
    <row r="33" spans="3:31" ht="30">
      <c r="C33" s="2142" t="str">
        <f t="shared" si="3"/>
        <v/>
      </c>
      <c r="D33" s="433" t="s">
        <v>2796</v>
      </c>
      <c r="E33" s="2386" t="s">
        <v>1287</v>
      </c>
      <c r="F33" s="2379">
        <v>6</v>
      </c>
      <c r="G33" s="2380">
        <f>claim503.1_2</f>
        <v>0</v>
      </c>
      <c r="H33" s="2381"/>
      <c r="I33" s="2387"/>
      <c r="J33" s="2383"/>
      <c r="K33" s="4857">
        <f>note503.1_2</f>
        <v>0</v>
      </c>
      <c r="L33" s="4858"/>
      <c r="M33" s="2702" t="str">
        <f t="shared" si="0"/>
        <v/>
      </c>
      <c r="X33" s="32">
        <f t="shared" ref="X33:X43" si="4">IF(AND(H33&gt;0,I33&gt;0),1,0)</f>
        <v>0</v>
      </c>
    </row>
    <row r="34" spans="3:31" ht="30">
      <c r="C34" s="2142" t="str">
        <f t="shared" si="3"/>
        <v/>
      </c>
      <c r="D34" s="433" t="s">
        <v>2796</v>
      </c>
      <c r="E34" s="2386" t="s">
        <v>1288</v>
      </c>
      <c r="F34" s="2379">
        <v>4</v>
      </c>
      <c r="G34" s="2380">
        <f>claim503.1_3</f>
        <v>0</v>
      </c>
      <c r="H34" s="2381"/>
      <c r="I34" s="2387"/>
      <c r="J34" s="2383"/>
      <c r="K34" s="4857">
        <f>note503.1_3</f>
        <v>0</v>
      </c>
      <c r="L34" s="4858"/>
      <c r="M34" s="2702" t="str">
        <f t="shared" si="0"/>
        <v/>
      </c>
      <c r="X34" s="32">
        <f t="shared" si="4"/>
        <v>0</v>
      </c>
    </row>
    <row r="35" spans="3:31" ht="30">
      <c r="C35" s="2142" t="str">
        <f t="shared" si="3"/>
        <v/>
      </c>
      <c r="D35" s="433" t="s">
        <v>2796</v>
      </c>
      <c r="E35" s="2386" t="s">
        <v>1289</v>
      </c>
      <c r="F35" s="2379">
        <v>4</v>
      </c>
      <c r="G35" s="2380">
        <f>claim503.1_4</f>
        <v>0</v>
      </c>
      <c r="H35" s="2381"/>
      <c r="I35" s="2387"/>
      <c r="J35" s="2383"/>
      <c r="K35" s="4857">
        <f>note503.1_4</f>
        <v>0</v>
      </c>
      <c r="L35" s="4858"/>
      <c r="M35" s="2702" t="str">
        <f t="shared" si="0"/>
        <v/>
      </c>
      <c r="X35" s="32">
        <f t="shared" si="4"/>
        <v>0</v>
      </c>
    </row>
    <row r="36" spans="3:31">
      <c r="C36" s="2142" t="str">
        <f t="shared" si="3"/>
        <v/>
      </c>
      <c r="D36" s="433" t="s">
        <v>2796</v>
      </c>
      <c r="E36" s="2386" t="s">
        <v>1290</v>
      </c>
      <c r="F36" s="2379">
        <v>3</v>
      </c>
      <c r="G36" s="2380">
        <f>claim503.1_5</f>
        <v>0</v>
      </c>
      <c r="H36" s="2381"/>
      <c r="I36" s="2387"/>
      <c r="J36" s="2383"/>
      <c r="K36" s="4857">
        <f>note503.1_5</f>
        <v>0</v>
      </c>
      <c r="L36" s="4858"/>
      <c r="M36" s="2702" t="str">
        <f t="shared" si="0"/>
        <v/>
      </c>
      <c r="X36" s="32">
        <f t="shared" si="4"/>
        <v>0</v>
      </c>
    </row>
    <row r="37" spans="3:31" ht="30">
      <c r="C37" s="2142" t="str">
        <f t="shared" si="3"/>
        <v/>
      </c>
      <c r="D37" s="433" t="s">
        <v>2796</v>
      </c>
      <c r="E37" s="2388" t="s">
        <v>1291</v>
      </c>
      <c r="F37" s="2342">
        <v>4</v>
      </c>
      <c r="G37" s="2334">
        <f>claim503.1_6</f>
        <v>0</v>
      </c>
      <c r="H37" s="2381"/>
      <c r="I37" s="2387"/>
      <c r="J37" s="2389"/>
      <c r="K37" s="4857">
        <f>note503.1_6</f>
        <v>0</v>
      </c>
      <c r="L37" s="4858"/>
      <c r="M37" s="2702" t="str">
        <f t="shared" si="0"/>
        <v/>
      </c>
      <c r="X37" s="32">
        <f t="shared" si="4"/>
        <v>0</v>
      </c>
    </row>
    <row r="38" spans="3:31" ht="31" thickBot="1">
      <c r="C38" s="2142" t="str">
        <f t="shared" si="3"/>
        <v/>
      </c>
      <c r="D38" s="433" t="s">
        <v>2796</v>
      </c>
      <c r="E38" s="2388" t="s">
        <v>1292</v>
      </c>
      <c r="F38" s="2342">
        <v>5</v>
      </c>
      <c r="G38" s="2334">
        <f>claim503.1_7</f>
        <v>0</v>
      </c>
      <c r="H38" s="2381"/>
      <c r="I38" s="2387"/>
      <c r="J38" s="2389"/>
      <c r="K38" s="4902">
        <f>note503.1_7</f>
        <v>0</v>
      </c>
      <c r="L38" s="4903"/>
      <c r="M38" s="2702" t="str">
        <f t="shared" si="0"/>
        <v/>
      </c>
      <c r="X38" s="32">
        <f t="shared" si="4"/>
        <v>0</v>
      </c>
    </row>
    <row r="39" spans="3:31" s="221" customFormat="1" ht="16" thickTop="1">
      <c r="C39" s="2143" t="str">
        <f>IF(SUM(G40:G47)&gt;0,"P","")</f>
        <v/>
      </c>
      <c r="D39" s="2141" t="s">
        <v>2795</v>
      </c>
      <c r="E39" s="4991" t="s">
        <v>1293</v>
      </c>
      <c r="F39" s="4992"/>
      <c r="G39" s="4992"/>
      <c r="H39" s="4992"/>
      <c r="I39" s="4993"/>
      <c r="J39" s="1827"/>
      <c r="K39" s="4642"/>
      <c r="L39" s="4952"/>
      <c r="M39" s="2702" t="str">
        <f t="shared" si="0"/>
        <v/>
      </c>
      <c r="N39" s="2675"/>
      <c r="O39" s="2675"/>
      <c r="P39" s="2675"/>
      <c r="Q39" s="2675"/>
      <c r="R39" s="2675"/>
      <c r="S39" s="2675"/>
      <c r="T39" s="2675"/>
      <c r="U39" s="2675"/>
      <c r="V39" s="2675"/>
      <c r="W39" s="2677"/>
      <c r="X39" s="32">
        <f t="shared" si="4"/>
        <v>0</v>
      </c>
      <c r="Y39" s="32"/>
      <c r="Z39" s="32"/>
      <c r="AA39" s="32"/>
      <c r="AB39" s="32"/>
      <c r="AC39" s="32"/>
      <c r="AD39" s="32"/>
      <c r="AE39" s="32"/>
    </row>
    <row r="40" spans="3:31" ht="30">
      <c r="C40" s="2142" t="str">
        <f t="shared" ref="C40:C41" si="5">IF(G40&gt;0,"P","")</f>
        <v/>
      </c>
      <c r="D40" s="433" t="s">
        <v>2796</v>
      </c>
      <c r="E40" s="2378" t="s">
        <v>1294</v>
      </c>
      <c r="F40" s="2390">
        <v>5</v>
      </c>
      <c r="G40" s="2391">
        <f>claim503.2_1</f>
        <v>0</v>
      </c>
      <c r="H40" s="2381"/>
      <c r="I40" s="2387"/>
      <c r="J40" s="2392"/>
      <c r="K40" s="5308">
        <f>note503.2_1</f>
        <v>0</v>
      </c>
      <c r="L40" s="5309"/>
      <c r="M40" s="2702" t="str">
        <f t="shared" si="0"/>
        <v/>
      </c>
      <c r="X40" s="32">
        <f t="shared" si="4"/>
        <v>0</v>
      </c>
    </row>
    <row r="41" spans="3:31" ht="30">
      <c r="C41" s="2142" t="str">
        <f t="shared" si="5"/>
        <v/>
      </c>
      <c r="D41" s="433" t="s">
        <v>2796</v>
      </c>
      <c r="E41" s="2378" t="s">
        <v>2846</v>
      </c>
      <c r="F41" s="2379">
        <v>4</v>
      </c>
      <c r="G41" s="2380">
        <f>claim503.2_2</f>
        <v>0</v>
      </c>
      <c r="H41" s="2381"/>
      <c r="I41" s="2387"/>
      <c r="J41" s="2381"/>
      <c r="K41" s="4857">
        <f>note503.2_2</f>
        <v>0</v>
      </c>
      <c r="L41" s="4858"/>
      <c r="M41" s="2702" t="str">
        <f t="shared" si="0"/>
        <v/>
      </c>
      <c r="X41" s="32">
        <f t="shared" si="4"/>
        <v>0</v>
      </c>
    </row>
    <row r="42" spans="3:31" ht="15" customHeight="1">
      <c r="C42" s="2142" t="str">
        <f>IF(SUM(G43:G45)&gt;0,"P","")</f>
        <v/>
      </c>
      <c r="D42" s="433" t="s">
        <v>2796</v>
      </c>
      <c r="E42" s="5128" t="s">
        <v>1296</v>
      </c>
      <c r="F42" s="5189"/>
      <c r="G42" s="5189"/>
      <c r="H42" s="5189"/>
      <c r="I42" s="5190"/>
      <c r="J42" s="2393"/>
      <c r="K42" s="5073"/>
      <c r="L42" s="5074"/>
      <c r="M42" s="2702" t="str">
        <f t="shared" si="0"/>
        <v/>
      </c>
      <c r="X42" s="32">
        <f t="shared" si="4"/>
        <v>0</v>
      </c>
    </row>
    <row r="43" spans="3:31">
      <c r="C43" s="2142" t="str">
        <f t="shared" ref="C43:C87" si="6">IF(G43&gt;0,"P","")</f>
        <v/>
      </c>
      <c r="D43" s="433" t="s">
        <v>2796</v>
      </c>
      <c r="E43" s="2394" t="s">
        <v>1297</v>
      </c>
      <c r="F43" s="2379">
        <v>3</v>
      </c>
      <c r="G43" s="2380">
        <f>IF(claim503.2_3=3,3,0)</f>
        <v>0</v>
      </c>
      <c r="H43" s="4910"/>
      <c r="I43" s="4898"/>
      <c r="J43" s="4910"/>
      <c r="K43" s="4902">
        <f>note503.2_3</f>
        <v>0</v>
      </c>
      <c r="L43" s="4903"/>
      <c r="M43" s="2702" t="str">
        <f t="shared" si="0"/>
        <v/>
      </c>
      <c r="X43" s="32">
        <f t="shared" si="4"/>
        <v>0</v>
      </c>
    </row>
    <row r="44" spans="3:31">
      <c r="C44" s="2142" t="str">
        <f t="shared" si="6"/>
        <v/>
      </c>
      <c r="D44" s="433" t="s">
        <v>2796</v>
      </c>
      <c r="E44" s="2394" t="s">
        <v>1298</v>
      </c>
      <c r="F44" s="2379">
        <v>4</v>
      </c>
      <c r="G44" s="2380">
        <f>IF(claim503.2_3=4,4,0)</f>
        <v>0</v>
      </c>
      <c r="H44" s="4946"/>
      <c r="I44" s="5143"/>
      <c r="J44" s="4946"/>
      <c r="K44" s="4566"/>
      <c r="L44" s="4904"/>
      <c r="M44" s="2702" t="str">
        <f t="shared" si="0"/>
        <v/>
      </c>
    </row>
    <row r="45" spans="3:31">
      <c r="C45" s="2142" t="str">
        <f t="shared" si="6"/>
        <v/>
      </c>
      <c r="D45" s="433" t="s">
        <v>2796</v>
      </c>
      <c r="E45" s="2394" t="s">
        <v>1299</v>
      </c>
      <c r="F45" s="2379">
        <v>6</v>
      </c>
      <c r="G45" s="2380">
        <f>IF(claim503.2_3=6,6,0)</f>
        <v>0</v>
      </c>
      <c r="H45" s="4951"/>
      <c r="I45" s="4899"/>
      <c r="J45" s="4951"/>
      <c r="K45" s="4572"/>
      <c r="L45" s="4953"/>
      <c r="M45" s="2702" t="str">
        <f t="shared" si="0"/>
        <v/>
      </c>
    </row>
    <row r="46" spans="3:31" ht="45">
      <c r="C46" s="2142" t="str">
        <f t="shared" si="6"/>
        <v/>
      </c>
      <c r="D46" s="433" t="s">
        <v>2795</v>
      </c>
      <c r="E46" s="2378" t="s">
        <v>1300</v>
      </c>
      <c r="F46" s="2379">
        <v>5</v>
      </c>
      <c r="G46" s="2380">
        <f>claim503.2_4</f>
        <v>0</v>
      </c>
      <c r="H46" s="2381"/>
      <c r="I46" s="2395"/>
      <c r="J46" s="2381"/>
      <c r="K46" s="4857">
        <f>note503.2_4</f>
        <v>0</v>
      </c>
      <c r="L46" s="4858"/>
      <c r="M46" s="2702" t="str">
        <f t="shared" si="0"/>
        <v/>
      </c>
      <c r="X46" s="32">
        <f t="shared" ref="X46:X51" si="7">IF(AND(H46&gt;0,I46&gt;0),1,0)</f>
        <v>0</v>
      </c>
    </row>
    <row r="47" spans="3:31" ht="16" thickBot="1">
      <c r="C47" s="2142" t="str">
        <f t="shared" si="6"/>
        <v/>
      </c>
      <c r="D47" s="433" t="s">
        <v>2796</v>
      </c>
      <c r="E47" s="2384" t="s">
        <v>1301</v>
      </c>
      <c r="F47" s="2342">
        <v>5</v>
      </c>
      <c r="G47" s="2334">
        <f>claim503.2_5</f>
        <v>0</v>
      </c>
      <c r="H47" s="2381"/>
      <c r="I47" s="2387"/>
      <c r="J47" s="2350"/>
      <c r="K47" s="4902">
        <f>note503.2_5</f>
        <v>0</v>
      </c>
      <c r="L47" s="4903"/>
      <c r="M47" s="2702" t="str">
        <f t="shared" si="0"/>
        <v/>
      </c>
      <c r="X47" s="32">
        <f t="shared" si="7"/>
        <v>0</v>
      </c>
    </row>
    <row r="48" spans="3:31" ht="26.25" customHeight="1" thickTop="1">
      <c r="C48" s="2142" t="str">
        <f>IF(SUM(G49:G51)&gt;0,"P","")</f>
        <v/>
      </c>
      <c r="D48" s="433" t="s">
        <v>2796</v>
      </c>
      <c r="E48" s="5292" t="s">
        <v>1302</v>
      </c>
      <c r="F48" s="5293"/>
      <c r="G48" s="5293"/>
      <c r="H48" s="5293"/>
      <c r="I48" s="5294"/>
      <c r="J48" s="1829"/>
      <c r="K48" s="4694"/>
      <c r="L48" s="5281"/>
      <c r="M48" s="2702" t="str">
        <f t="shared" si="0"/>
        <v/>
      </c>
      <c r="X48" s="32">
        <f t="shared" si="7"/>
        <v>0</v>
      </c>
    </row>
    <row r="49" spans="3:28" ht="30">
      <c r="C49" s="2142" t="str">
        <f t="shared" si="6"/>
        <v/>
      </c>
      <c r="D49" s="433" t="s">
        <v>2796</v>
      </c>
      <c r="E49" s="2378" t="s">
        <v>1303</v>
      </c>
      <c r="F49" s="2396">
        <v>5</v>
      </c>
      <c r="G49" s="2380">
        <f>claim503.3_1</f>
        <v>0</v>
      </c>
      <c r="H49" s="2381"/>
      <c r="I49" s="2387"/>
      <c r="J49" s="2381"/>
      <c r="K49" s="4857">
        <f>note503.3_1</f>
        <v>0</v>
      </c>
      <c r="L49" s="4858"/>
      <c r="M49" s="2702" t="str">
        <f t="shared" si="0"/>
        <v/>
      </c>
      <c r="X49" s="32">
        <f t="shared" si="7"/>
        <v>0</v>
      </c>
    </row>
    <row r="50" spans="3:28" ht="93.75" customHeight="1">
      <c r="C50" s="2142" t="str">
        <f t="shared" si="6"/>
        <v/>
      </c>
      <c r="D50" s="433" t="s">
        <v>2796</v>
      </c>
      <c r="E50" s="2378" t="s">
        <v>1304</v>
      </c>
      <c r="F50" s="2397">
        <v>5</v>
      </c>
      <c r="G50" s="2073">
        <f>claim503.3_2</f>
        <v>0</v>
      </c>
      <c r="H50" s="2381"/>
      <c r="I50" s="2387"/>
      <c r="J50" s="2395"/>
      <c r="K50" s="4857">
        <f>note503.3_2</f>
        <v>0</v>
      </c>
      <c r="L50" s="4858"/>
      <c r="M50" s="2702" t="str">
        <f t="shared" si="0"/>
        <v/>
      </c>
      <c r="X50" s="32">
        <f t="shared" si="7"/>
        <v>0</v>
      </c>
    </row>
    <row r="51" spans="3:28" ht="16" thickBot="1">
      <c r="C51" s="2142" t="str">
        <f t="shared" si="6"/>
        <v/>
      </c>
      <c r="D51" s="433" t="s">
        <v>2796</v>
      </c>
      <c r="E51" s="2384" t="s">
        <v>1305</v>
      </c>
      <c r="F51" s="2345">
        <v>5</v>
      </c>
      <c r="G51" s="2334">
        <f>claim503.3_3</f>
        <v>0</v>
      </c>
      <c r="H51" s="2381"/>
      <c r="I51" s="2387"/>
      <c r="J51" s="2350"/>
      <c r="K51" s="4902">
        <f>note503.3_3</f>
        <v>0</v>
      </c>
      <c r="L51" s="4903"/>
      <c r="M51" s="2702" t="str">
        <f t="shared" si="0"/>
        <v/>
      </c>
      <c r="X51" s="32">
        <f t="shared" si="7"/>
        <v>0</v>
      </c>
    </row>
    <row r="52" spans="3:28" ht="55.5" customHeight="1" thickTop="1">
      <c r="C52" s="2142" t="str">
        <f>IF(SUM(G53:G54,G56:G61)&gt;0,"P","")</f>
        <v/>
      </c>
      <c r="D52" s="433" t="s">
        <v>2796</v>
      </c>
      <c r="E52" s="4991" t="s">
        <v>2665</v>
      </c>
      <c r="F52" s="4992"/>
      <c r="G52" s="4992"/>
      <c r="H52" s="4992"/>
      <c r="I52" s="4993"/>
      <c r="J52" s="1830"/>
      <c r="K52" s="4642"/>
      <c r="L52" s="4952"/>
      <c r="M52" s="2702" t="str">
        <f t="shared" si="0"/>
        <v/>
      </c>
    </row>
    <row r="53" spans="3:28" ht="18" customHeight="1">
      <c r="C53" s="2142" t="str">
        <f t="shared" si="6"/>
        <v/>
      </c>
      <c r="D53" s="433" t="s">
        <v>2796</v>
      </c>
      <c r="E53" s="2398" t="s">
        <v>1307</v>
      </c>
      <c r="F53" s="2396">
        <v>6</v>
      </c>
      <c r="G53" s="2380">
        <f>claim503.4_1</f>
        <v>0</v>
      </c>
      <c r="H53" s="2381"/>
      <c r="I53" s="2387"/>
      <c r="J53" s="2381"/>
      <c r="K53" s="4857">
        <f>note503.4_1</f>
        <v>0</v>
      </c>
      <c r="L53" s="4858"/>
      <c r="M53" s="2702" t="str">
        <f t="shared" si="0"/>
        <v/>
      </c>
      <c r="X53" s="32">
        <f>IF(AND(H53&gt;0,I53&gt;0),1,0)</f>
        <v>0</v>
      </c>
    </row>
    <row r="54" spans="3:28" ht="43.5" customHeight="1">
      <c r="C54" s="2142" t="str">
        <f t="shared" si="6"/>
        <v/>
      </c>
      <c r="D54" s="433" t="s">
        <v>2796</v>
      </c>
      <c r="E54" s="2398" t="s">
        <v>1308</v>
      </c>
      <c r="F54" s="2396">
        <v>7</v>
      </c>
      <c r="G54" s="2380">
        <f>claim503.4_2</f>
        <v>0</v>
      </c>
      <c r="H54" s="2381"/>
      <c r="I54" s="2387"/>
      <c r="J54" s="2381"/>
      <c r="K54" s="4857">
        <f>note503.4_2</f>
        <v>0</v>
      </c>
      <c r="L54" s="4858"/>
      <c r="M54" s="2702" t="str">
        <f t="shared" si="0"/>
        <v/>
      </c>
      <c r="X54" s="32">
        <f>IF(AND(H54&gt;0,I54&gt;0),1,0)</f>
        <v>0</v>
      </c>
    </row>
    <row r="55" spans="3:28" ht="27.75" customHeight="1">
      <c r="C55" s="2142" t="str">
        <f>IF(SUM(G56:G58)&gt;0,"P","")</f>
        <v/>
      </c>
      <c r="D55" s="433" t="s">
        <v>2797</v>
      </c>
      <c r="E55" s="5128" t="s">
        <v>573</v>
      </c>
      <c r="F55" s="5189"/>
      <c r="G55" s="5189"/>
      <c r="H55" s="5189"/>
      <c r="I55" s="5190"/>
      <c r="J55" s="2399"/>
      <c r="K55" s="5073"/>
      <c r="L55" s="5074"/>
      <c r="M55" s="2702" t="str">
        <f t="shared" si="0"/>
        <v/>
      </c>
    </row>
    <row r="56" spans="3:28">
      <c r="C56" s="2142" t="str">
        <f t="shared" si="6"/>
        <v/>
      </c>
      <c r="D56" s="433" t="s">
        <v>2797</v>
      </c>
      <c r="E56" s="2394" t="s">
        <v>1309</v>
      </c>
      <c r="F56" s="2396">
        <v>2</v>
      </c>
      <c r="G56" s="2380">
        <f>IF(claim503.4_3=2,2,0)</f>
        <v>0</v>
      </c>
      <c r="H56" s="4898"/>
      <c r="I56" s="4910"/>
      <c r="J56" s="4910"/>
      <c r="K56" s="4902">
        <f>note503.4_3</f>
        <v>0</v>
      </c>
      <c r="L56" s="4903"/>
      <c r="M56" s="2702" t="str">
        <f t="shared" si="0"/>
        <v/>
      </c>
      <c r="X56" s="32">
        <f>IF(AND(H56&gt;0,I56&gt;0),1,0)</f>
        <v>0</v>
      </c>
    </row>
    <row r="57" spans="3:28">
      <c r="C57" s="2142" t="str">
        <f t="shared" si="6"/>
        <v/>
      </c>
      <c r="D57" s="433" t="s">
        <v>2797</v>
      </c>
      <c r="E57" s="2394" t="s">
        <v>1310</v>
      </c>
      <c r="F57" s="2396">
        <v>4</v>
      </c>
      <c r="G57" s="2380">
        <f>IF(claim503.4_3=4,4,0)</f>
        <v>0</v>
      </c>
      <c r="H57" s="5143"/>
      <c r="I57" s="4946"/>
      <c r="J57" s="4946"/>
      <c r="K57" s="4566"/>
      <c r="L57" s="4904"/>
      <c r="M57" s="2702" t="str">
        <f t="shared" si="0"/>
        <v/>
      </c>
    </row>
    <row r="58" spans="3:28">
      <c r="C58" s="2142" t="str">
        <f t="shared" si="6"/>
        <v/>
      </c>
      <c r="D58" s="433" t="s">
        <v>2797</v>
      </c>
      <c r="E58" s="2394" t="s">
        <v>1311</v>
      </c>
      <c r="F58" s="2396">
        <v>6</v>
      </c>
      <c r="G58" s="2380">
        <f>IF(claim503.4_3=6,6,0)</f>
        <v>0</v>
      </c>
      <c r="H58" s="4899"/>
      <c r="I58" s="4951"/>
      <c r="J58" s="4951"/>
      <c r="K58" s="4572"/>
      <c r="L58" s="4953"/>
      <c r="M58" s="2702" t="str">
        <f t="shared" si="0"/>
        <v/>
      </c>
    </row>
    <row r="59" spans="3:28" ht="45">
      <c r="C59" s="2142" t="str">
        <f t="shared" si="6"/>
        <v/>
      </c>
      <c r="D59" s="433" t="s">
        <v>2796</v>
      </c>
      <c r="E59" s="2388" t="s">
        <v>2844</v>
      </c>
      <c r="F59" s="2345">
        <v>5</v>
      </c>
      <c r="G59" s="2334">
        <f>claim503.4_4</f>
        <v>0</v>
      </c>
      <c r="H59" s="2381"/>
      <c r="I59" s="2387"/>
      <c r="J59" s="2350"/>
      <c r="K59" s="4857">
        <f>note503.4_4</f>
        <v>0</v>
      </c>
      <c r="L59" s="4858"/>
      <c r="M59" s="2702" t="str">
        <f t="shared" si="0"/>
        <v/>
      </c>
      <c r="X59" s="32">
        <f>IF(AND(H59&gt;0,I59&gt;0),1,0)</f>
        <v>0</v>
      </c>
    </row>
    <row r="60" spans="3:28" ht="45">
      <c r="C60" s="2142" t="str">
        <f t="shared" si="6"/>
        <v/>
      </c>
      <c r="D60" s="433" t="s">
        <v>2796</v>
      </c>
      <c r="E60" s="2388" t="s">
        <v>2845</v>
      </c>
      <c r="F60" s="2345">
        <v>6</v>
      </c>
      <c r="G60" s="2334">
        <f>claim503.4_5</f>
        <v>0</v>
      </c>
      <c r="H60" s="2381"/>
      <c r="I60" s="2387"/>
      <c r="J60" s="2350"/>
      <c r="K60" s="4857">
        <f>note503.4_5</f>
        <v>0</v>
      </c>
      <c r="L60" s="4858"/>
      <c r="M60" s="2702" t="str">
        <f t="shared" si="0"/>
        <v/>
      </c>
      <c r="X60" s="32">
        <f>IF(AND(H60&gt;0,I60&gt;0),1,0)</f>
        <v>0</v>
      </c>
    </row>
    <row r="61" spans="3:28" ht="70.5" customHeight="1" thickBot="1">
      <c r="C61" s="2142" t="str">
        <f t="shared" si="6"/>
        <v/>
      </c>
      <c r="D61" s="433" t="s">
        <v>2796</v>
      </c>
      <c r="E61" s="2388" t="s">
        <v>2596</v>
      </c>
      <c r="F61" s="2345">
        <v>7</v>
      </c>
      <c r="G61" s="2334">
        <f>claim503.4_6</f>
        <v>0</v>
      </c>
      <c r="H61" s="2381"/>
      <c r="I61" s="2387"/>
      <c r="J61" s="2350"/>
      <c r="K61" s="4902">
        <f>note503.4_6</f>
        <v>0</v>
      </c>
      <c r="L61" s="4903"/>
      <c r="M61" s="2702" t="str">
        <f t="shared" si="0"/>
        <v/>
      </c>
      <c r="X61" s="32">
        <f>IF(AND(H61&gt;0,I61&gt;0),1,0)</f>
        <v>0</v>
      </c>
    </row>
    <row r="62" spans="3:28" ht="61" thickTop="1">
      <c r="C62" s="2142" t="str">
        <f>IF(F62&lt;&gt;"","P","")</f>
        <v>P</v>
      </c>
      <c r="D62" s="433" t="s">
        <v>2797</v>
      </c>
      <c r="E62" s="2400" t="s">
        <v>1314</v>
      </c>
      <c r="F62" s="4692" t="str">
        <f>IF(choice503.5_type="","No landscape plan type selected.",CONCATENATE(choice503.5_type," selected"))</f>
        <v>No landscape plan type selected.</v>
      </c>
      <c r="G62" s="4693"/>
      <c r="H62" s="5290"/>
      <c r="I62" s="5291"/>
      <c r="J62" s="2002"/>
      <c r="K62" s="5286"/>
      <c r="L62" s="5287"/>
      <c r="M62" s="2702" t="str">
        <f t="shared" si="0"/>
        <v/>
      </c>
      <c r="Y62" s="32">
        <f>IF(AND(SUM(H63:I76)&gt;0,H62=""),1,0)</f>
        <v>0</v>
      </c>
      <c r="AB62" s="32">
        <f>IF(AND(H62="",SUM(H63:I66,H68:I75)&gt;0),1,0)</f>
        <v>0</v>
      </c>
    </row>
    <row r="63" spans="3:28" ht="14.25" customHeight="1">
      <c r="C63" s="2142" t="str">
        <f t="shared" si="6"/>
        <v/>
      </c>
      <c r="D63" s="433" t="s">
        <v>2797</v>
      </c>
      <c r="E63" s="4897" t="s">
        <v>2884</v>
      </c>
      <c r="F63" s="5295" t="str">
        <f>IF(points503.5_1=0,"0",points503.5_1)</f>
        <v>0</v>
      </c>
      <c r="G63" s="4592">
        <f>claim503.5_1</f>
        <v>0</v>
      </c>
      <c r="H63" s="5282"/>
      <c r="I63" s="5284"/>
      <c r="J63" s="1975" t="str">
        <f>IF(H63&gt;0,"Explain verification at rough:","")</f>
        <v/>
      </c>
      <c r="K63" s="4902">
        <f>note503.5_1</f>
        <v>0</v>
      </c>
      <c r="L63" s="4903"/>
      <c r="M63" s="2702" t="str">
        <f t="shared" si="0"/>
        <v/>
      </c>
      <c r="X63" s="32">
        <f>IF(AND(H63&gt;0,I63&gt;0),1,0)</f>
        <v>0</v>
      </c>
      <c r="Y63" s="32">
        <f>IF(AND(J63&lt;&gt;"",J64=""),1,0)</f>
        <v>0</v>
      </c>
    </row>
    <row r="64" spans="3:28" ht="42.75" customHeight="1">
      <c r="C64" s="2142" t="str">
        <f>IF(G63&gt;0,"P","")</f>
        <v/>
      </c>
      <c r="D64" s="433" t="s">
        <v>2797</v>
      </c>
      <c r="E64" s="4878"/>
      <c r="F64" s="5296"/>
      <c r="G64" s="4593"/>
      <c r="H64" s="5283"/>
      <c r="I64" s="5285"/>
      <c r="J64" s="1976"/>
      <c r="K64" s="4572"/>
      <c r="L64" s="4953"/>
      <c r="M64" s="2702" t="str">
        <f t="shared" si="0"/>
        <v/>
      </c>
      <c r="AB64" s="32">
        <f>IF(AND($H$62&lt;&gt;"Full Landscape Plan",$I$63&lt;&gt;3,I63&gt;0),1,0)</f>
        <v>0</v>
      </c>
    </row>
    <row r="65" spans="3:28" ht="13.5" customHeight="1">
      <c r="C65" s="2142" t="str">
        <f t="shared" si="6"/>
        <v/>
      </c>
      <c r="D65" s="433" t="s">
        <v>2797</v>
      </c>
      <c r="E65" s="4897" t="s">
        <v>1316</v>
      </c>
      <c r="F65" s="5295" t="str">
        <f>IF(points503.5_2=0,"0",points503.5_2)</f>
        <v>0</v>
      </c>
      <c r="G65" s="4592">
        <f>claim503.5_2</f>
        <v>0</v>
      </c>
      <c r="H65" s="5282"/>
      <c r="I65" s="5284"/>
      <c r="J65" s="2347" t="str">
        <f>IF(H65&gt;0,"Explain verification at rough","")</f>
        <v/>
      </c>
      <c r="K65" s="4902">
        <f>note503.5_2</f>
        <v>0</v>
      </c>
      <c r="L65" s="4903"/>
      <c r="M65" s="2702" t="str">
        <f t="shared" si="0"/>
        <v/>
      </c>
      <c r="X65" s="32">
        <f>IF(AND(H65&gt;0,I65&gt;0),1,0)</f>
        <v>0</v>
      </c>
      <c r="Y65" s="32">
        <f>IF(AND(J65&lt;&gt;"",J66=""),1,0)</f>
        <v>0</v>
      </c>
      <c r="AB65" s="32">
        <f>IF(AND($H$62&lt;&gt;"Full Landscape Plan",$I$65&lt;&gt;2,I65&gt;0),1,0)</f>
        <v>0</v>
      </c>
    </row>
    <row r="66" spans="3:28" ht="26.25" customHeight="1">
      <c r="C66" s="2142" t="str">
        <f>IF(G65&gt;0,"P","")</f>
        <v/>
      </c>
      <c r="D66" s="433" t="s">
        <v>2797</v>
      </c>
      <c r="E66" s="4878"/>
      <c r="F66" s="5296"/>
      <c r="G66" s="4593"/>
      <c r="H66" s="5283"/>
      <c r="I66" s="5285"/>
      <c r="J66" s="2351"/>
      <c r="K66" s="4572"/>
      <c r="L66" s="4953"/>
      <c r="M66" s="2702" t="str">
        <f t="shared" si="0"/>
        <v/>
      </c>
    </row>
    <row r="67" spans="3:28" ht="26.25" customHeight="1">
      <c r="C67" s="2142" t="str">
        <f>IF(SUM(G68:G72)&gt;0,"P","")</f>
        <v/>
      </c>
      <c r="D67" s="433" t="s">
        <v>2797</v>
      </c>
      <c r="E67" s="5128" t="s">
        <v>1317</v>
      </c>
      <c r="F67" s="5189"/>
      <c r="G67" s="5189"/>
      <c r="H67" s="5189"/>
      <c r="I67" s="5190"/>
      <c r="J67" s="2401"/>
      <c r="K67" s="5073"/>
      <c r="L67" s="5074"/>
      <c r="M67" s="2702" t="str">
        <f t="shared" si="0"/>
        <v/>
      </c>
    </row>
    <row r="68" spans="3:28">
      <c r="C68" s="2142" t="str">
        <f>IF(SUM(G68:G72)&gt;0,"P","")</f>
        <v/>
      </c>
      <c r="D68" s="433" t="s">
        <v>2797</v>
      </c>
      <c r="E68" s="5102" t="s">
        <v>1318</v>
      </c>
      <c r="F68" s="5295" t="str">
        <f>IF(points503.5_3a=0,"0",points503.5_3a)</f>
        <v>0</v>
      </c>
      <c r="G68" s="5375">
        <f>IF(choice503.5_3="0% or WaterSense",claim503.5_3,0)</f>
        <v>0</v>
      </c>
      <c r="H68" s="5377"/>
      <c r="I68" s="5372"/>
      <c r="J68" s="1977" t="str">
        <f>IF(H68&gt;0,"Explain verification at rough","")</f>
        <v/>
      </c>
      <c r="K68" s="4902">
        <f>note503.5_3</f>
        <v>0</v>
      </c>
      <c r="L68" s="4903"/>
      <c r="M68" s="2702" t="str">
        <f t="shared" si="0"/>
        <v/>
      </c>
      <c r="X68" s="32">
        <f>IF(AND(H68&gt;0,I68&gt;0),1,0)</f>
        <v>0</v>
      </c>
      <c r="Y68" s="32">
        <f>IF(AND(J68&lt;&gt;"",J69=""),1,0)</f>
        <v>0</v>
      </c>
      <c r="AB68" s="32">
        <f>IF(AND($H$62&lt;&gt;"Full Landscape Plan",$I$68&lt;&gt;2,I68&gt;0),1,0)</f>
        <v>0</v>
      </c>
    </row>
    <row r="69" spans="3:28">
      <c r="C69" s="2142" t="str">
        <f>IF(SUM(G68:G72)&gt;0,"P","")</f>
        <v/>
      </c>
      <c r="D69" s="433" t="s">
        <v>2797</v>
      </c>
      <c r="E69" s="5104"/>
      <c r="F69" s="5296"/>
      <c r="G69" s="5376"/>
      <c r="H69" s="5378"/>
      <c r="I69" s="5373"/>
      <c r="J69" s="5288"/>
      <c r="K69" s="4566"/>
      <c r="L69" s="4904"/>
      <c r="M69" s="2702" t="str">
        <f t="shared" si="0"/>
        <v/>
      </c>
    </row>
    <row r="70" spans="3:28">
      <c r="C70" s="2142" t="str">
        <f t="shared" si="6"/>
        <v/>
      </c>
      <c r="D70" s="433" t="s">
        <v>2797</v>
      </c>
      <c r="E70" s="2394" t="s">
        <v>1319</v>
      </c>
      <c r="F70" s="2402" t="str">
        <f>IF(points503.5_3b=0,"0",points503.5_3b)</f>
        <v>0</v>
      </c>
      <c r="G70" s="2403">
        <f>IF(choice503.5_3="&gt;0% - &lt;20%",claim503.5_3,0)</f>
        <v>0</v>
      </c>
      <c r="H70" s="5378"/>
      <c r="I70" s="5373"/>
      <c r="J70" s="5288"/>
      <c r="K70" s="4566"/>
      <c r="L70" s="4904"/>
      <c r="M70" s="2702" t="str">
        <f t="shared" si="0"/>
        <v/>
      </c>
    </row>
    <row r="71" spans="3:28">
      <c r="C71" s="2142" t="str">
        <f t="shared" si="6"/>
        <v/>
      </c>
      <c r="D71" s="433" t="s">
        <v>2797</v>
      </c>
      <c r="E71" s="2394" t="s">
        <v>1320</v>
      </c>
      <c r="F71" s="2402" t="str">
        <f>IF(points503.5_3c=0,"0",points503.5_3c)</f>
        <v>0</v>
      </c>
      <c r="G71" s="2403">
        <f>IF(choice503.5_3="20% - &lt;40%",claim503.5_3,0)</f>
        <v>0</v>
      </c>
      <c r="H71" s="5378"/>
      <c r="I71" s="5373"/>
      <c r="J71" s="5288"/>
      <c r="K71" s="4566"/>
      <c r="L71" s="4904"/>
      <c r="M71" s="2702" t="str">
        <f t="shared" si="0"/>
        <v/>
      </c>
    </row>
    <row r="72" spans="3:28">
      <c r="C72" s="2142" t="str">
        <f t="shared" si="6"/>
        <v/>
      </c>
      <c r="D72" s="433" t="s">
        <v>2797</v>
      </c>
      <c r="E72" s="2394" t="s">
        <v>1321</v>
      </c>
      <c r="F72" s="2402" t="str">
        <f>IF(points503.5_3d=0,"0",points503.5_3d)</f>
        <v>0</v>
      </c>
      <c r="G72" s="2403">
        <f>IF(choice503.5_3="40% - 60%",claim503.5_3,0)</f>
        <v>0</v>
      </c>
      <c r="H72" s="5379"/>
      <c r="I72" s="5374"/>
      <c r="J72" s="5289"/>
      <c r="K72" s="4572"/>
      <c r="L72" s="4953"/>
      <c r="M72" s="2702" t="str">
        <f t="shared" si="0"/>
        <v/>
      </c>
    </row>
    <row r="73" spans="3:28">
      <c r="C73" s="2142" t="str">
        <f t="shared" si="6"/>
        <v/>
      </c>
      <c r="D73" s="433" t="s">
        <v>2797</v>
      </c>
      <c r="E73" s="4897" t="s">
        <v>1322</v>
      </c>
      <c r="F73" s="4719" t="str">
        <f>IF(points503.5_4=0,"0",points503.5_4)</f>
        <v>0</v>
      </c>
      <c r="G73" s="4592">
        <f>claim503.5_4</f>
        <v>0</v>
      </c>
      <c r="H73" s="5282"/>
      <c r="I73" s="5284"/>
      <c r="J73" s="1978" t="str">
        <f>IF(H73&gt;0,"Explain verification at rough","")</f>
        <v/>
      </c>
      <c r="K73" s="4902">
        <f>note503.5_4</f>
        <v>0</v>
      </c>
      <c r="L73" s="4903"/>
      <c r="M73" s="2702" t="str">
        <f t="shared" si="0"/>
        <v/>
      </c>
      <c r="X73" s="32">
        <f>IF(AND(H73&gt;0,I73&gt;0),1,0)</f>
        <v>0</v>
      </c>
      <c r="Y73" s="32">
        <f>IF(AND(J73&lt;&gt;"",J74=""),1,0)</f>
        <v>0</v>
      </c>
      <c r="AB73" s="32">
        <f>IF(AND($H$62&lt;&gt;"Full Landscape Plan",I73&lt;&gt;2,I73&gt;0),1,0)</f>
        <v>0</v>
      </c>
    </row>
    <row r="74" spans="3:28">
      <c r="C74" s="2142" t="str">
        <f>IF(G73&gt;0,"P","")</f>
        <v/>
      </c>
      <c r="D74" s="433" t="s">
        <v>2797</v>
      </c>
      <c r="E74" s="4878"/>
      <c r="F74" s="4488"/>
      <c r="G74" s="4593"/>
      <c r="H74" s="5283"/>
      <c r="I74" s="5285"/>
      <c r="J74" s="1877"/>
      <c r="K74" s="4572"/>
      <c r="L74" s="4953"/>
      <c r="M74" s="2702" t="str">
        <f t="shared" si="0"/>
        <v/>
      </c>
    </row>
    <row r="75" spans="3:28">
      <c r="C75" s="2142" t="str">
        <f t="shared" si="6"/>
        <v/>
      </c>
      <c r="D75" s="433" t="s">
        <v>2797</v>
      </c>
      <c r="E75" s="4897" t="s">
        <v>1323</v>
      </c>
      <c r="F75" s="4719" t="str">
        <f>IF(points503.5_5=0,"0",points503.5_5)</f>
        <v>0</v>
      </c>
      <c r="G75" s="4592">
        <f>claim503.5_5</f>
        <v>0</v>
      </c>
      <c r="H75" s="5282"/>
      <c r="I75" s="5284"/>
      <c r="J75" s="1978" t="str">
        <f>IF(H75&gt;0,"Explain verification at rough","")</f>
        <v/>
      </c>
      <c r="K75" s="4902">
        <f>note503.5_5</f>
        <v>0</v>
      </c>
      <c r="L75" s="4903"/>
      <c r="M75" s="2702" t="str">
        <f t="shared" si="0"/>
        <v/>
      </c>
      <c r="X75" s="32">
        <f>IF(AND(H75&gt;0,I75&gt;0),1,0)</f>
        <v>0</v>
      </c>
      <c r="Y75" s="32">
        <f>IF(AND(J75&lt;&gt;"",J76=""),1,0)</f>
        <v>0</v>
      </c>
      <c r="AB75" s="32">
        <f>IF(AND($H$62&lt;&gt;"Full Landscape Plan",I75&lt;&gt;2,I75&gt;0),1,0)</f>
        <v>0</v>
      </c>
    </row>
    <row r="76" spans="3:28" ht="54" customHeight="1">
      <c r="C76" s="2142" t="str">
        <f>IF(G75&gt;0,"P","")</f>
        <v/>
      </c>
      <c r="D76" s="433" t="s">
        <v>2797</v>
      </c>
      <c r="E76" s="4878"/>
      <c r="F76" s="4488"/>
      <c r="G76" s="4593"/>
      <c r="H76" s="5283"/>
      <c r="I76" s="5285"/>
      <c r="J76" s="1877"/>
      <c r="K76" s="4572"/>
      <c r="L76" s="4953"/>
      <c r="M76" s="2702" t="str">
        <f t="shared" si="0"/>
        <v/>
      </c>
    </row>
    <row r="77" spans="3:28" ht="30">
      <c r="C77" s="2142" t="str">
        <f t="shared" si="6"/>
        <v/>
      </c>
      <c r="D77" s="433" t="s">
        <v>2795</v>
      </c>
      <c r="E77" s="2386" t="s">
        <v>1324</v>
      </c>
      <c r="F77" s="2379" t="str">
        <f>IF(points503.5_6=0,"0",points503.5_6)</f>
        <v>0</v>
      </c>
      <c r="G77" s="2380">
        <f>claim503.5_6</f>
        <v>0</v>
      </c>
      <c r="H77" s="2381"/>
      <c r="I77" s="2387"/>
      <c r="J77" s="2381"/>
      <c r="K77" s="4857">
        <f>note503.5_6</f>
        <v>0</v>
      </c>
      <c r="L77" s="4858"/>
      <c r="M77" s="2702" t="str">
        <f t="shared" si="0"/>
        <v/>
      </c>
      <c r="X77" s="32">
        <f>IF(AND(H77&gt;0,I77&gt;0),1,0)</f>
        <v>0</v>
      </c>
    </row>
    <row r="78" spans="3:28" ht="45">
      <c r="C78" s="2142" t="str">
        <f t="shared" si="6"/>
        <v/>
      </c>
      <c r="D78" s="433" t="s">
        <v>2795</v>
      </c>
      <c r="E78" s="2386" t="s">
        <v>1325</v>
      </c>
      <c r="F78" s="2396">
        <v>3</v>
      </c>
      <c r="G78" s="2380">
        <f>claim503.5_7</f>
        <v>0</v>
      </c>
      <c r="H78" s="2381"/>
      <c r="I78" s="2387"/>
      <c r="J78" s="2381"/>
      <c r="K78" s="4857">
        <f>note503.5_7</f>
        <v>0</v>
      </c>
      <c r="L78" s="4858"/>
      <c r="M78" s="2702" t="str">
        <f t="shared" si="0"/>
        <v/>
      </c>
      <c r="X78" s="32">
        <f>IF(AND(H78&gt;0,I78&gt;0),1,0)</f>
        <v>0</v>
      </c>
    </row>
    <row r="79" spans="3:28" ht="31" thickBot="1">
      <c r="C79" s="2142" t="str">
        <f t="shared" si="6"/>
        <v/>
      </c>
      <c r="D79" s="433" t="s">
        <v>2795</v>
      </c>
      <c r="E79" s="2404" t="s">
        <v>2648</v>
      </c>
      <c r="F79" s="259">
        <v>4</v>
      </c>
      <c r="G79" s="253">
        <f>claim503.5_8</f>
        <v>0</v>
      </c>
      <c r="H79" s="2381"/>
      <c r="I79" s="2387"/>
      <c r="J79" s="2350"/>
      <c r="K79" s="4902">
        <f>note503.5_8</f>
        <v>0</v>
      </c>
      <c r="L79" s="4903"/>
      <c r="M79" s="2702" t="str">
        <f t="shared" ref="M79:M142" si="8">IF(AND(ReportType="Rough",SUM(X79,Y79,Z79,AB79,AC79,AD79,AE79)&gt;0),"!",IF(AND(ReportType="Final", SUM(X79,Y79,AA79,AB79,AC79,AD79,AE79)&gt;0),"!",""))</f>
        <v/>
      </c>
      <c r="X79" s="32">
        <f>IF(AND(H79&gt;0,I79&gt;0),1,0)</f>
        <v>0</v>
      </c>
    </row>
    <row r="80" spans="3:28" ht="21" customHeight="1" thickTop="1">
      <c r="C80" s="2142" t="str">
        <f>IF(SUM(G81:G88)&gt;0,"P","")</f>
        <v/>
      </c>
      <c r="D80" s="433" t="s">
        <v>2797</v>
      </c>
      <c r="E80" s="4991" t="s">
        <v>2248</v>
      </c>
      <c r="F80" s="4992"/>
      <c r="G80" s="4992"/>
      <c r="H80" s="4992"/>
      <c r="I80" s="4993"/>
      <c r="J80" s="1831"/>
      <c r="K80" s="4528"/>
      <c r="L80" s="4901"/>
      <c r="M80" s="2702" t="str">
        <f t="shared" si="8"/>
        <v/>
      </c>
    </row>
    <row r="81" spans="3:25">
      <c r="C81" s="2142" t="str">
        <f t="shared" si="6"/>
        <v/>
      </c>
      <c r="D81" s="433" t="s">
        <v>2797</v>
      </c>
      <c r="E81" s="4897" t="s">
        <v>1327</v>
      </c>
      <c r="F81" s="5044">
        <v>3</v>
      </c>
      <c r="G81" s="4592">
        <f>claim503.6_1</f>
        <v>0</v>
      </c>
      <c r="H81" s="4898"/>
      <c r="I81" s="4957"/>
      <c r="J81" s="1978" t="str">
        <f>IF(H81&gt;0,"Explain verification at rough","")</f>
        <v/>
      </c>
      <c r="K81" s="4902">
        <f>note503.6_1</f>
        <v>0</v>
      </c>
      <c r="L81" s="4903"/>
      <c r="M81" s="2702" t="str">
        <f t="shared" si="8"/>
        <v/>
      </c>
      <c r="X81" s="32">
        <f>IF(AND(H81&gt;0,I81&gt;0),1,0)</f>
        <v>0</v>
      </c>
      <c r="Y81" s="32">
        <f>IF(AND(J81&lt;&gt;"",J82=""),1,0)</f>
        <v>0</v>
      </c>
    </row>
    <row r="82" spans="3:25">
      <c r="C82" s="2142" t="str">
        <f>IF(G81&gt;0,"P","")</f>
        <v/>
      </c>
      <c r="D82" s="433" t="s">
        <v>2797</v>
      </c>
      <c r="E82" s="4878"/>
      <c r="F82" s="5045"/>
      <c r="G82" s="4593"/>
      <c r="H82" s="4899"/>
      <c r="I82" s="4981"/>
      <c r="J82" s="1877"/>
      <c r="K82" s="4572"/>
      <c r="L82" s="4953"/>
      <c r="M82" s="2702" t="str">
        <f t="shared" si="8"/>
        <v/>
      </c>
    </row>
    <row r="83" spans="3:25">
      <c r="C83" s="2142" t="str">
        <f t="shared" si="6"/>
        <v/>
      </c>
      <c r="D83" s="433" t="s">
        <v>2797</v>
      </c>
      <c r="E83" s="4897" t="s">
        <v>1328</v>
      </c>
      <c r="F83" s="5044">
        <v>3</v>
      </c>
      <c r="G83" s="4592">
        <f>claim503.6_2</f>
        <v>0</v>
      </c>
      <c r="H83" s="4898"/>
      <c r="I83" s="4957"/>
      <c r="J83" s="1978" t="str">
        <f>IF(H83&gt;0,"Explain verification at rough","")</f>
        <v/>
      </c>
      <c r="K83" s="4902">
        <f>note503.6_2</f>
        <v>0</v>
      </c>
      <c r="L83" s="4903"/>
      <c r="M83" s="2702" t="str">
        <f t="shared" si="8"/>
        <v/>
      </c>
      <c r="X83" s="32">
        <f>IF(AND(H83&gt;0,I83&gt;0),1,0)</f>
        <v>0</v>
      </c>
    </row>
    <row r="84" spans="3:25">
      <c r="C84" s="2142" t="str">
        <f>IF(G83&gt;0,"P","")</f>
        <v/>
      </c>
      <c r="D84" s="433" t="s">
        <v>2797</v>
      </c>
      <c r="E84" s="4878"/>
      <c r="F84" s="5045"/>
      <c r="G84" s="4593"/>
      <c r="H84" s="4899"/>
      <c r="I84" s="4981"/>
      <c r="J84" s="2351"/>
      <c r="K84" s="4572"/>
      <c r="L84" s="4953"/>
      <c r="M84" s="2702" t="str">
        <f t="shared" si="8"/>
        <v/>
      </c>
    </row>
    <row r="85" spans="3:25">
      <c r="C85" s="2142" t="str">
        <f t="shared" si="6"/>
        <v/>
      </c>
      <c r="D85" s="433" t="s">
        <v>2797</v>
      </c>
      <c r="E85" s="5278" t="s">
        <v>1329</v>
      </c>
      <c r="F85" s="5044">
        <v>3</v>
      </c>
      <c r="G85" s="4592">
        <f>claim503.6_3</f>
        <v>0</v>
      </c>
      <c r="H85" s="4898"/>
      <c r="I85" s="4957"/>
      <c r="J85" s="1978" t="str">
        <f>IF(H85&gt;0,"Explain verification at rough","")</f>
        <v/>
      </c>
      <c r="K85" s="4902">
        <f>note503.6_3</f>
        <v>0</v>
      </c>
      <c r="L85" s="4903"/>
      <c r="M85" s="2702" t="str">
        <f t="shared" si="8"/>
        <v/>
      </c>
      <c r="X85" s="32">
        <f>IF(AND(H85&gt;0,I85&gt;0),1,0)</f>
        <v>0</v>
      </c>
      <c r="Y85" s="32">
        <f>IF(AND(J85&lt;&gt;"",J86=""),1,0)</f>
        <v>0</v>
      </c>
    </row>
    <row r="86" spans="3:25" ht="20.25" customHeight="1">
      <c r="C86" s="2142" t="str">
        <f>IF(G85&gt;0,"P","")</f>
        <v/>
      </c>
      <c r="D86" s="433" t="s">
        <v>2797</v>
      </c>
      <c r="E86" s="5279"/>
      <c r="F86" s="5045"/>
      <c r="G86" s="4593"/>
      <c r="H86" s="4899"/>
      <c r="I86" s="4981"/>
      <c r="J86" s="2351"/>
      <c r="K86" s="4572"/>
      <c r="L86" s="4953"/>
      <c r="M86" s="2702" t="str">
        <f t="shared" si="8"/>
        <v/>
      </c>
    </row>
    <row r="87" spans="3:25" ht="19.5" customHeight="1">
      <c r="C87" s="2142" t="str">
        <f t="shared" si="6"/>
        <v/>
      </c>
      <c r="D87" s="433" t="s">
        <v>2797</v>
      </c>
      <c r="E87" s="5278" t="s">
        <v>1330</v>
      </c>
      <c r="F87" s="5044">
        <v>3</v>
      </c>
      <c r="G87" s="4592">
        <f>claim503.6_4</f>
        <v>0</v>
      </c>
      <c r="H87" s="4898"/>
      <c r="I87" s="4957"/>
      <c r="J87" s="1978" t="str">
        <f>IF(H87&gt;0,"Explain verification at rough","")</f>
        <v/>
      </c>
      <c r="K87" s="4902">
        <f>note503.6_4</f>
        <v>0</v>
      </c>
      <c r="L87" s="4903"/>
      <c r="M87" s="2702" t="str">
        <f t="shared" si="8"/>
        <v/>
      </c>
      <c r="X87" s="32">
        <f>IF(AND(H87&gt;0,I87&gt;0),1,0)</f>
        <v>0</v>
      </c>
      <c r="Y87" s="32">
        <f>IF(AND(J87&lt;&gt;"",J88=""),1,0)</f>
        <v>0</v>
      </c>
    </row>
    <row r="88" spans="3:25" ht="16" thickBot="1">
      <c r="C88" s="2142" t="str">
        <f>IF(G87&gt;0,"P","")</f>
        <v/>
      </c>
      <c r="D88" s="433" t="s">
        <v>2797</v>
      </c>
      <c r="E88" s="5380"/>
      <c r="F88" s="5280"/>
      <c r="G88" s="4889"/>
      <c r="H88" s="4899"/>
      <c r="I88" s="4981"/>
      <c r="J88" s="2405"/>
      <c r="K88" s="4905"/>
      <c r="L88" s="4906"/>
      <c r="M88" s="2702" t="str">
        <f t="shared" si="8"/>
        <v/>
      </c>
    </row>
    <row r="89" spans="3:25" ht="16" thickTop="1">
      <c r="D89" s="433" t="s">
        <v>2795</v>
      </c>
      <c r="E89" s="5271" t="s">
        <v>1331</v>
      </c>
      <c r="F89" s="5272"/>
      <c r="G89" s="5272"/>
      <c r="H89" s="5272"/>
      <c r="I89" s="5273"/>
      <c r="J89" s="1828"/>
      <c r="K89" s="5274"/>
      <c r="L89" s="5275"/>
      <c r="M89" s="2702" t="str">
        <f t="shared" si="8"/>
        <v/>
      </c>
    </row>
    <row r="90" spans="3:25" ht="30">
      <c r="C90" s="2142" t="str">
        <f t="shared" ref="C90:C91" si="9">IF(G90&gt;0,"P","")</f>
        <v/>
      </c>
      <c r="D90" s="433" t="s">
        <v>2796</v>
      </c>
      <c r="E90" s="2386" t="s">
        <v>1332</v>
      </c>
      <c r="F90" s="2396">
        <v>4</v>
      </c>
      <c r="G90" s="2380">
        <f>claim503.7_1</f>
        <v>0</v>
      </c>
      <c r="H90" s="2381"/>
      <c r="I90" s="2387"/>
      <c r="J90" s="2381"/>
      <c r="K90" s="4857">
        <f>note503.7_1</f>
        <v>0</v>
      </c>
      <c r="L90" s="4858"/>
      <c r="M90" s="2702" t="str">
        <f t="shared" si="8"/>
        <v/>
      </c>
      <c r="X90" s="32">
        <f>IF(AND(H90&gt;0,I90&gt;0),1,0)</f>
        <v>0</v>
      </c>
    </row>
    <row r="91" spans="3:25">
      <c r="C91" s="2142" t="str">
        <f t="shared" si="9"/>
        <v/>
      </c>
      <c r="D91" s="433" t="s">
        <v>2795</v>
      </c>
      <c r="E91" s="2388" t="s">
        <v>2794</v>
      </c>
      <c r="F91" s="2345">
        <v>4</v>
      </c>
      <c r="G91" s="2334">
        <f>claim503.7_2</f>
        <v>0</v>
      </c>
      <c r="H91" s="2381"/>
      <c r="I91" s="2387"/>
      <c r="J91" s="2350"/>
      <c r="K91" s="4902">
        <f>note503.7_2</f>
        <v>0</v>
      </c>
      <c r="L91" s="4903"/>
      <c r="M91" s="2702" t="str">
        <f t="shared" si="8"/>
        <v/>
      </c>
      <c r="X91" s="32">
        <f>IF(AND(H91&gt;0,I91&gt;0),1,0)</f>
        <v>0</v>
      </c>
    </row>
    <row r="92" spans="3:25">
      <c r="E92" s="4918" t="s">
        <v>574</v>
      </c>
      <c r="F92" s="4919"/>
      <c r="G92" s="4919"/>
      <c r="H92" s="4919"/>
      <c r="I92" s="4919"/>
      <c r="J92" s="4919"/>
      <c r="K92" s="4919"/>
      <c r="L92" s="4920"/>
      <c r="M92" s="2702" t="str">
        <f t="shared" si="8"/>
        <v/>
      </c>
    </row>
    <row r="93" spans="3:25" ht="16">
      <c r="C93" s="2142" t="str">
        <f t="shared" ref="C93" si="10">IF(G93&gt;0,"P","")</f>
        <v/>
      </c>
      <c r="D93" s="433" t="s">
        <v>2796</v>
      </c>
      <c r="E93" s="5297" t="s">
        <v>1334</v>
      </c>
      <c r="F93" s="5044">
        <v>4</v>
      </c>
      <c r="G93" s="4592">
        <f>claim504.1</f>
        <v>0</v>
      </c>
      <c r="H93" s="4910"/>
      <c r="I93" s="5251"/>
      <c r="J93" s="2003" t="str">
        <f>IF(I93&gt;0,"Explain verification at final","")</f>
        <v/>
      </c>
      <c r="K93" s="5199">
        <f>note504.1</f>
        <v>0</v>
      </c>
      <c r="L93" s="4903"/>
      <c r="M93" s="2702" t="str">
        <f t="shared" si="8"/>
        <v/>
      </c>
      <c r="X93" s="32">
        <f>IF(AND(H93&gt;0,I93&gt;0),1,0)</f>
        <v>0</v>
      </c>
      <c r="Y93" s="32">
        <f>IF(AND(J93&lt;&gt;"",J94=""),1,0)</f>
        <v>0</v>
      </c>
    </row>
    <row r="94" spans="3:25" ht="37.5" customHeight="1" thickBot="1">
      <c r="C94" s="2142" t="str">
        <f>IF(G93&gt;0,"P","")</f>
        <v/>
      </c>
      <c r="D94" s="433" t="s">
        <v>2796</v>
      </c>
      <c r="E94" s="5381"/>
      <c r="F94" s="5280"/>
      <c r="G94" s="4889"/>
      <c r="H94" s="4911"/>
      <c r="I94" s="5253"/>
      <c r="J94" s="1980"/>
      <c r="K94" s="3981"/>
      <c r="L94" s="4906"/>
      <c r="M94" s="2702" t="str">
        <f t="shared" si="8"/>
        <v/>
      </c>
    </row>
    <row r="95" spans="3:25" ht="13.5" customHeight="1" thickTop="1">
      <c r="C95" s="2142" t="str">
        <f>IF(SUM(G96:G100)&gt;0,"P","")</f>
        <v/>
      </c>
      <c r="D95" s="433" t="s">
        <v>2796</v>
      </c>
      <c r="E95" s="4991" t="s">
        <v>1335</v>
      </c>
      <c r="F95" s="4992"/>
      <c r="G95" s="4992"/>
      <c r="H95" s="4992"/>
      <c r="I95" s="4993"/>
      <c r="J95" s="1832"/>
      <c r="K95" s="4642"/>
      <c r="L95" s="4952"/>
      <c r="M95" s="2702" t="str">
        <f t="shared" si="8"/>
        <v/>
      </c>
    </row>
    <row r="96" spans="3:25">
      <c r="C96" s="2142" t="str">
        <f t="shared" ref="C96:C115" si="11">IF(G96&gt;0,"P","")</f>
        <v/>
      </c>
      <c r="D96" s="433" t="s">
        <v>2796</v>
      </c>
      <c r="E96" s="4897" t="s">
        <v>1336</v>
      </c>
      <c r="F96" s="5044">
        <v>3</v>
      </c>
      <c r="G96" s="4592">
        <f>claim504.2_1</f>
        <v>0</v>
      </c>
      <c r="H96" s="4910"/>
      <c r="I96" s="5251"/>
      <c r="J96" s="2004" t="str">
        <f>IF(I96&gt;0,"Explain verification at final","")</f>
        <v/>
      </c>
      <c r="K96" s="4902">
        <f>note504.2_1</f>
        <v>0</v>
      </c>
      <c r="L96" s="4903"/>
      <c r="M96" s="2702" t="str">
        <f t="shared" si="8"/>
        <v/>
      </c>
      <c r="X96" s="32">
        <f>IF(AND(H96&gt;0,I96&gt;0),1,0)</f>
        <v>0</v>
      </c>
      <c r="Y96" s="32">
        <f>IF(AND(J96&lt;&gt;"",J97=""),1,0)</f>
        <v>0</v>
      </c>
    </row>
    <row r="97" spans="3:25">
      <c r="C97" s="2142" t="str">
        <f>IF(G96&gt;0,"P","")</f>
        <v/>
      </c>
      <c r="D97" s="433" t="s">
        <v>2796</v>
      </c>
      <c r="E97" s="4878"/>
      <c r="F97" s="5045"/>
      <c r="G97" s="4593"/>
      <c r="H97" s="4946"/>
      <c r="I97" s="5252"/>
      <c r="J97" s="1877"/>
      <c r="K97" s="4572"/>
      <c r="L97" s="4953"/>
      <c r="M97" s="2702" t="str">
        <f t="shared" si="8"/>
        <v/>
      </c>
    </row>
    <row r="98" spans="3:25" ht="15" customHeight="1">
      <c r="C98" s="2142" t="str">
        <f>IF(G98&gt;0,"P","")</f>
        <v/>
      </c>
      <c r="D98" s="433" t="s">
        <v>2796</v>
      </c>
      <c r="E98" s="4897" t="s">
        <v>1337</v>
      </c>
      <c r="F98" s="5044">
        <v>5</v>
      </c>
      <c r="G98" s="4592">
        <f>claim504.2_2</f>
        <v>0</v>
      </c>
      <c r="H98" s="4910"/>
      <c r="I98" s="4898"/>
      <c r="J98" s="2004" t="str">
        <f>IF(I98&gt;0,"Explain verification at final","")</f>
        <v/>
      </c>
      <c r="K98" s="4902">
        <f>note504.2_2</f>
        <v>0</v>
      </c>
      <c r="L98" s="4903"/>
      <c r="M98" s="2702" t="str">
        <f t="shared" si="8"/>
        <v/>
      </c>
      <c r="X98" s="32">
        <f>IF(AND(H98&gt;0,I98&gt;0),1,0)</f>
        <v>0</v>
      </c>
      <c r="Y98" s="32">
        <f>IF(AND(J98&lt;&gt;"",J99=""),1,0)</f>
        <v>0</v>
      </c>
    </row>
    <row r="99" spans="3:25" ht="26.25" customHeight="1">
      <c r="C99" s="2142" t="str">
        <f>IF(G98&gt;0,"P","")</f>
        <v/>
      </c>
      <c r="D99" s="433" t="s">
        <v>2796</v>
      </c>
      <c r="E99" s="4878"/>
      <c r="F99" s="5045"/>
      <c r="G99" s="4593"/>
      <c r="H99" s="4951"/>
      <c r="I99" s="4899"/>
      <c r="J99" s="1877"/>
      <c r="K99" s="4572"/>
      <c r="L99" s="4953"/>
      <c r="M99" s="2702" t="str">
        <f t="shared" si="8"/>
        <v/>
      </c>
    </row>
    <row r="100" spans="3:25" ht="31.5" customHeight="1" thickBot="1">
      <c r="C100" s="2142" t="str">
        <f t="shared" si="11"/>
        <v/>
      </c>
      <c r="D100" s="433" t="s">
        <v>2796</v>
      </c>
      <c r="E100" s="2388" t="s">
        <v>1338</v>
      </c>
      <c r="F100" s="2406">
        <v>4</v>
      </c>
      <c r="G100" s="2334">
        <f>claim504.2_3</f>
        <v>0</v>
      </c>
      <c r="H100" s="2351"/>
      <c r="I100" s="1900"/>
      <c r="J100" s="2350"/>
      <c r="K100" s="4902">
        <f>note504.2_3</f>
        <v>0</v>
      </c>
      <c r="L100" s="4903"/>
      <c r="M100" s="2702" t="str">
        <f t="shared" si="8"/>
        <v/>
      </c>
      <c r="X100" s="32">
        <f>IF(AND(H100&gt;0,I100&gt;0),1,0)</f>
        <v>0</v>
      </c>
    </row>
    <row r="101" spans="3:25" ht="41.25" customHeight="1" thickTop="1">
      <c r="C101" s="2142" t="str">
        <f>IF(SUM(G102:G115)&gt;0,"P","")</f>
        <v/>
      </c>
      <c r="D101" s="433" t="s">
        <v>2796</v>
      </c>
      <c r="E101" s="4991" t="s">
        <v>2690</v>
      </c>
      <c r="F101" s="4992"/>
      <c r="G101" s="4992"/>
      <c r="H101" s="4992"/>
      <c r="I101" s="4993"/>
      <c r="J101" s="1827"/>
      <c r="K101" s="4642"/>
      <c r="L101" s="4952"/>
      <c r="M101" s="2702" t="str">
        <f t="shared" si="8"/>
        <v/>
      </c>
    </row>
    <row r="102" spans="3:25" ht="30">
      <c r="C102" s="2142" t="str">
        <f t="shared" si="11"/>
        <v/>
      </c>
      <c r="D102" s="433" t="s">
        <v>2796</v>
      </c>
      <c r="E102" s="2386" t="s">
        <v>1340</v>
      </c>
      <c r="F102" s="2396">
        <v>5</v>
      </c>
      <c r="G102" s="2380">
        <f>claim504.3_1</f>
        <v>0</v>
      </c>
      <c r="H102" s="2381"/>
      <c r="I102" s="2387"/>
      <c r="J102" s="2381"/>
      <c r="K102" s="4857">
        <f>note504.3_1</f>
        <v>0</v>
      </c>
      <c r="L102" s="4858"/>
      <c r="M102" s="2702" t="str">
        <f t="shared" si="8"/>
        <v/>
      </c>
      <c r="X102" s="32">
        <f>IF(AND(H102&gt;0,I102&gt;0),1,0)</f>
        <v>0</v>
      </c>
    </row>
    <row r="103" spans="3:25">
      <c r="C103" s="2142" t="str">
        <f t="shared" si="11"/>
        <v/>
      </c>
      <c r="D103" s="433" t="s">
        <v>2796</v>
      </c>
      <c r="E103" s="4897" t="s">
        <v>1341</v>
      </c>
      <c r="F103" s="5044">
        <v>5</v>
      </c>
      <c r="G103" s="4592">
        <f>claim504.3_2</f>
        <v>0</v>
      </c>
      <c r="H103" s="4910"/>
      <c r="I103" s="5251"/>
      <c r="J103" s="2004" t="str">
        <f>IF(I103&gt;0,"Explain verification at final","")</f>
        <v/>
      </c>
      <c r="K103" s="4902">
        <f>note504.3_2</f>
        <v>0</v>
      </c>
      <c r="L103" s="4903"/>
      <c r="M103" s="2702" t="str">
        <f t="shared" si="8"/>
        <v/>
      </c>
      <c r="X103" s="32">
        <f>IF(AND(H103&gt;0,I103&gt;0),1,0)</f>
        <v>0</v>
      </c>
      <c r="Y103" s="32">
        <f>IF(AND(J103&lt;&gt;"",J104=""),1,0)</f>
        <v>0</v>
      </c>
    </row>
    <row r="104" spans="3:25">
      <c r="C104" s="2142" t="str">
        <f>IF(G103&gt;0,"P","")</f>
        <v/>
      </c>
      <c r="D104" s="433" t="s">
        <v>2796</v>
      </c>
      <c r="E104" s="4878"/>
      <c r="F104" s="5045"/>
      <c r="G104" s="4593"/>
      <c r="H104" s="4946"/>
      <c r="I104" s="5252"/>
      <c r="J104" s="1877"/>
      <c r="K104" s="4572"/>
      <c r="L104" s="4953"/>
      <c r="M104" s="2702" t="str">
        <f t="shared" si="8"/>
        <v/>
      </c>
    </row>
    <row r="105" spans="3:25">
      <c r="C105" s="2142" t="str">
        <f t="shared" si="11"/>
        <v/>
      </c>
      <c r="D105" s="433" t="s">
        <v>2796</v>
      </c>
      <c r="E105" s="4897" t="s">
        <v>1342</v>
      </c>
      <c r="F105" s="5044">
        <v>5</v>
      </c>
      <c r="G105" s="4592">
        <f>claim504.3_3</f>
        <v>0</v>
      </c>
      <c r="H105" s="4910"/>
      <c r="I105" s="4898"/>
      <c r="J105" s="2004" t="str">
        <f>IF(I105&gt;0,"Explain verification at final","")</f>
        <v/>
      </c>
      <c r="K105" s="4902">
        <f>note504.3_3</f>
        <v>0</v>
      </c>
      <c r="L105" s="4903"/>
      <c r="M105" s="2702" t="str">
        <f t="shared" si="8"/>
        <v/>
      </c>
      <c r="X105" s="32">
        <f>IF(AND(H105&gt;0,I105&gt;0),1,0)</f>
        <v>0</v>
      </c>
      <c r="Y105" s="32">
        <f>IF(AND(J105&lt;&gt;"",J106=""),1,0)</f>
        <v>0</v>
      </c>
    </row>
    <row r="106" spans="3:25">
      <c r="C106" s="2142" t="str">
        <f>IF(G105&gt;0,"P","")</f>
        <v/>
      </c>
      <c r="D106" s="433" t="s">
        <v>2796</v>
      </c>
      <c r="E106" s="4878"/>
      <c r="F106" s="5045"/>
      <c r="G106" s="4593"/>
      <c r="H106" s="4946"/>
      <c r="I106" s="5143"/>
      <c r="J106" s="1877"/>
      <c r="K106" s="4572"/>
      <c r="L106" s="4953"/>
      <c r="M106" s="2702" t="str">
        <f t="shared" si="8"/>
        <v/>
      </c>
    </row>
    <row r="107" spans="3:25">
      <c r="C107" s="2142" t="str">
        <f t="shared" si="11"/>
        <v/>
      </c>
      <c r="D107" s="433" t="s">
        <v>2796</v>
      </c>
      <c r="E107" s="4897" t="s">
        <v>2798</v>
      </c>
      <c r="F107" s="5044">
        <v>5</v>
      </c>
      <c r="G107" s="4592">
        <f>claim504.3_4</f>
        <v>0</v>
      </c>
      <c r="H107" s="4910"/>
      <c r="I107" s="4898"/>
      <c r="J107" s="2004" t="str">
        <f>IF(I107&gt;0,"Explain verification at final","")</f>
        <v/>
      </c>
      <c r="K107" s="4902">
        <f>note504.3_4</f>
        <v>0</v>
      </c>
      <c r="L107" s="4903"/>
      <c r="M107" s="2702" t="str">
        <f t="shared" si="8"/>
        <v/>
      </c>
      <c r="X107" s="32">
        <f>IF(AND(H107&gt;0,I107&gt;0),1,0)</f>
        <v>0</v>
      </c>
      <c r="Y107" s="32">
        <f>IF(AND(J107&lt;&gt;"",J108=""),1,0)</f>
        <v>0</v>
      </c>
    </row>
    <row r="108" spans="3:25">
      <c r="C108" s="2142" t="str">
        <f>IF(G107&gt;0,"P","")</f>
        <v/>
      </c>
      <c r="D108" s="433" t="s">
        <v>2796</v>
      </c>
      <c r="E108" s="4878"/>
      <c r="F108" s="5045"/>
      <c r="G108" s="4593"/>
      <c r="H108" s="4946"/>
      <c r="I108" s="5143"/>
      <c r="J108" s="1877"/>
      <c r="K108" s="4572"/>
      <c r="L108" s="4953"/>
      <c r="M108" s="2702" t="str">
        <f t="shared" si="8"/>
        <v/>
      </c>
    </row>
    <row r="109" spans="3:25">
      <c r="C109" s="2142" t="str">
        <f t="shared" si="11"/>
        <v/>
      </c>
      <c r="D109" s="433" t="s">
        <v>2796</v>
      </c>
      <c r="E109" s="4897" t="s">
        <v>1344</v>
      </c>
      <c r="F109" s="5044">
        <v>4</v>
      </c>
      <c r="G109" s="4592">
        <f>claim504.3_5</f>
        <v>0</v>
      </c>
      <c r="H109" s="4910"/>
      <c r="I109" s="4898"/>
      <c r="J109" s="2004" t="str">
        <f>IF(I109&gt;0,"Explain verification at final","")</f>
        <v/>
      </c>
      <c r="K109" s="4902">
        <f>note504.3_5</f>
        <v>0</v>
      </c>
      <c r="L109" s="4903"/>
      <c r="M109" s="2702" t="str">
        <f t="shared" si="8"/>
        <v/>
      </c>
      <c r="X109" s="32">
        <f>IF(AND(H109&gt;0,I109&gt;0),1,0)</f>
        <v>0</v>
      </c>
      <c r="Y109" s="32">
        <f>IF(AND(J109&lt;&gt;"",J110=""),1,0)</f>
        <v>0</v>
      </c>
    </row>
    <row r="110" spans="3:25" ht="40.5" customHeight="1">
      <c r="C110" s="2142" t="str">
        <f>IF(G109&gt;0,"P","")</f>
        <v/>
      </c>
      <c r="D110" s="433" t="s">
        <v>2796</v>
      </c>
      <c r="E110" s="4878"/>
      <c r="F110" s="5045"/>
      <c r="G110" s="4593"/>
      <c r="H110" s="4951"/>
      <c r="I110" s="4899"/>
      <c r="J110" s="1877"/>
      <c r="K110" s="4572"/>
      <c r="L110" s="4953"/>
      <c r="M110" s="2702" t="str">
        <f t="shared" si="8"/>
        <v/>
      </c>
    </row>
    <row r="111" spans="3:25" ht="15" customHeight="1">
      <c r="C111" s="2142" t="str">
        <f t="shared" si="11"/>
        <v/>
      </c>
      <c r="D111" s="433" t="s">
        <v>2796</v>
      </c>
      <c r="E111" s="4897" t="s">
        <v>2799</v>
      </c>
      <c r="F111" s="5044">
        <v>3</v>
      </c>
      <c r="G111" s="4592">
        <f>claim504.3_6</f>
        <v>0</v>
      </c>
      <c r="H111" s="4946"/>
      <c r="I111" s="5143"/>
      <c r="J111" s="2004" t="str">
        <f>IF(I111&gt;0,"Explain verification at final","")</f>
        <v/>
      </c>
      <c r="K111" s="4902">
        <f>note504.3_6</f>
        <v>0</v>
      </c>
      <c r="L111" s="4903"/>
      <c r="M111" s="2702" t="str">
        <f t="shared" si="8"/>
        <v/>
      </c>
      <c r="X111" s="32">
        <f>IF(AND(H111&gt;0,I111&gt;0),1,0)</f>
        <v>0</v>
      </c>
      <c r="Y111" s="32">
        <f>IF(AND(J111&lt;&gt;"",J112=""),1,0)</f>
        <v>0</v>
      </c>
    </row>
    <row r="112" spans="3:25" ht="37.5" customHeight="1">
      <c r="C112" s="2142" t="str">
        <f>IF(G111&gt;0,"P","")</f>
        <v/>
      </c>
      <c r="D112" s="433" t="s">
        <v>2796</v>
      </c>
      <c r="E112" s="4878"/>
      <c r="F112" s="5045"/>
      <c r="G112" s="4593"/>
      <c r="H112" s="4951"/>
      <c r="I112" s="4899"/>
      <c r="J112" s="1877"/>
      <c r="K112" s="4572"/>
      <c r="L112" s="4953"/>
      <c r="M112" s="2702" t="str">
        <f t="shared" si="8"/>
        <v/>
      </c>
    </row>
    <row r="113" spans="3:25">
      <c r="C113" s="2142" t="str">
        <f t="shared" si="11"/>
        <v/>
      </c>
      <c r="D113" s="433" t="s">
        <v>2797</v>
      </c>
      <c r="E113" s="2386" t="s">
        <v>2847</v>
      </c>
      <c r="F113" s="2396">
        <v>3</v>
      </c>
      <c r="G113" s="2380">
        <f>claim504.3_7</f>
        <v>0</v>
      </c>
      <c r="H113" s="1900"/>
      <c r="I113" s="1889"/>
      <c r="J113" s="2381"/>
      <c r="K113" s="4857">
        <f>note504.3_7</f>
        <v>0</v>
      </c>
      <c r="L113" s="4858"/>
      <c r="M113" s="2702" t="str">
        <f t="shared" si="8"/>
        <v/>
      </c>
      <c r="X113" s="32">
        <f>IF(AND(H113&gt;0,I113&gt;0),1,0)</f>
        <v>0</v>
      </c>
    </row>
    <row r="114" spans="3:25" ht="45">
      <c r="C114" s="2142" t="str">
        <f t="shared" si="11"/>
        <v/>
      </c>
      <c r="D114" s="433" t="s">
        <v>2796</v>
      </c>
      <c r="E114" s="2388" t="s">
        <v>1347</v>
      </c>
      <c r="F114" s="2345">
        <v>5</v>
      </c>
      <c r="G114" s="2334">
        <f>claim504.3_8</f>
        <v>0</v>
      </c>
      <c r="H114" s="2381"/>
      <c r="I114" s="2387"/>
      <c r="J114" s="2350"/>
      <c r="K114" s="4902">
        <f>note504.3_8</f>
        <v>0</v>
      </c>
      <c r="L114" s="4903"/>
      <c r="M114" s="2702" t="str">
        <f t="shared" si="8"/>
        <v/>
      </c>
      <c r="X114" s="32">
        <f>IF(AND(H114&gt;0,I114&gt;0),1,0)</f>
        <v>0</v>
      </c>
    </row>
    <row r="115" spans="3:25" ht="16" thickBot="1">
      <c r="C115" s="2142" t="str">
        <f t="shared" si="11"/>
        <v/>
      </c>
      <c r="D115" s="433" t="s">
        <v>2795</v>
      </c>
      <c r="E115" s="2388" t="s">
        <v>1348</v>
      </c>
      <c r="F115" s="2345">
        <v>3</v>
      </c>
      <c r="G115" s="2334">
        <f>claim504.3_9</f>
        <v>0</v>
      </c>
      <c r="H115" s="2381"/>
      <c r="I115" s="2387"/>
      <c r="J115" s="2350"/>
      <c r="K115" s="5276">
        <f>note504.3_9</f>
        <v>0</v>
      </c>
      <c r="L115" s="5277"/>
      <c r="M115" s="2702" t="str">
        <f t="shared" si="8"/>
        <v/>
      </c>
      <c r="X115" s="32">
        <f>IF(AND(H115&gt;0,I115&gt;0),1,0)</f>
        <v>0</v>
      </c>
    </row>
    <row r="116" spans="3:25">
      <c r="E116" s="5194" t="s">
        <v>575</v>
      </c>
      <c r="F116" s="4681"/>
      <c r="G116" s="4681"/>
      <c r="H116" s="4681"/>
      <c r="I116" s="4681"/>
      <c r="J116" s="4681"/>
      <c r="K116" s="4681"/>
      <c r="L116" s="5195"/>
      <c r="M116" s="2702" t="str">
        <f t="shared" si="8"/>
        <v/>
      </c>
    </row>
    <row r="117" spans="3:25" ht="14.25" customHeight="1">
      <c r="C117" s="2142" t="str">
        <f>IF(SUM(G118:G119)&gt;0,"P","")</f>
        <v/>
      </c>
      <c r="D117" s="433" t="s">
        <v>2795</v>
      </c>
      <c r="E117" s="5128" t="s">
        <v>2666</v>
      </c>
      <c r="F117" s="5189"/>
      <c r="G117" s="5189"/>
      <c r="H117" s="5189"/>
      <c r="I117" s="5190"/>
      <c r="J117" s="1833"/>
      <c r="K117" s="4709"/>
      <c r="L117" s="5198"/>
      <c r="M117" s="2702" t="str">
        <f t="shared" si="8"/>
        <v/>
      </c>
    </row>
    <row r="118" spans="3:25" ht="45">
      <c r="C118" s="2142" t="str">
        <f t="shared" ref="C118:C119" si="12">IF(G118&gt;0,"P","")</f>
        <v/>
      </c>
      <c r="D118" s="433" t="s">
        <v>2795</v>
      </c>
      <c r="E118" s="2378" t="s">
        <v>1350</v>
      </c>
      <c r="F118" s="2396">
        <v>5</v>
      </c>
      <c r="G118" s="2380">
        <f>claim505.1_1</f>
        <v>0</v>
      </c>
      <c r="H118" s="2381"/>
      <c r="I118" s="2387"/>
      <c r="J118" s="2381"/>
      <c r="K118" s="4857">
        <f>note505.1_1</f>
        <v>0</v>
      </c>
      <c r="L118" s="4858"/>
      <c r="M118" s="2702" t="str">
        <f t="shared" si="8"/>
        <v/>
      </c>
      <c r="X118" s="32">
        <f>IF(AND(H118&gt;0,I118&gt;0),1,0)</f>
        <v>0</v>
      </c>
    </row>
    <row r="119" spans="3:25" ht="30.75" customHeight="1">
      <c r="C119" s="2142" t="str">
        <f t="shared" si="12"/>
        <v/>
      </c>
      <c r="D119" s="433" t="s">
        <v>2795</v>
      </c>
      <c r="E119" s="2378" t="s">
        <v>1351</v>
      </c>
      <c r="F119" s="2379" t="str">
        <f>IF(BldgType&lt;&gt;"Multi-Unit",CONCATENATE(0," - Not a Multi-Unit project"),5)</f>
        <v>0 - Not a Multi-Unit project</v>
      </c>
      <c r="G119" s="2380">
        <f>claim505.1_2</f>
        <v>0</v>
      </c>
      <c r="H119" s="2381"/>
      <c r="I119" s="2387"/>
      <c r="J119" s="2381"/>
      <c r="K119" s="4857">
        <f>note505.1_2</f>
        <v>0</v>
      </c>
      <c r="L119" s="4858"/>
      <c r="M119" s="2702" t="str">
        <f t="shared" si="8"/>
        <v/>
      </c>
      <c r="X119" s="32">
        <f>IF(AND(H119&gt;0,I119&gt;0),1,0)</f>
        <v>0</v>
      </c>
    </row>
    <row r="120" spans="3:25" ht="17.25" customHeight="1">
      <c r="C120" s="2142" t="str">
        <f>IF(SUM(G121:G123)&gt;0,"P","")</f>
        <v/>
      </c>
      <c r="D120" s="433" t="s">
        <v>2797</v>
      </c>
      <c r="E120" s="5128" t="s">
        <v>1352</v>
      </c>
      <c r="F120" s="5189"/>
      <c r="G120" s="5189"/>
      <c r="H120" s="5189"/>
      <c r="I120" s="5190"/>
      <c r="J120" s="2407"/>
      <c r="K120" s="5073"/>
      <c r="L120" s="5074"/>
      <c r="M120" s="2702" t="str">
        <f t="shared" si="8"/>
        <v/>
      </c>
    </row>
    <row r="121" spans="3:25">
      <c r="C121" s="2142" t="str">
        <f t="shared" ref="C121:C123" si="13">IF(G121&gt;0,"P","")</f>
        <v/>
      </c>
      <c r="D121" s="433" t="s">
        <v>2797</v>
      </c>
      <c r="E121" s="2394" t="s">
        <v>1353</v>
      </c>
      <c r="F121" s="2396">
        <v>4</v>
      </c>
      <c r="G121" s="2380">
        <f>IF(claim505.1_3=4,4,0)</f>
        <v>0</v>
      </c>
      <c r="H121" s="4898"/>
      <c r="I121" s="4910"/>
      <c r="J121" s="4910"/>
      <c r="K121" s="4902">
        <f>note505.1_3</f>
        <v>0</v>
      </c>
      <c r="L121" s="4903"/>
      <c r="M121" s="2702" t="str">
        <f t="shared" si="8"/>
        <v/>
      </c>
      <c r="X121" s="32">
        <f>IF(AND(H121&gt;0,I121&gt;0),1,0)</f>
        <v>0</v>
      </c>
    </row>
    <row r="122" spans="3:25">
      <c r="C122" s="2142" t="str">
        <f t="shared" si="13"/>
        <v/>
      </c>
      <c r="D122" s="433" t="s">
        <v>2797</v>
      </c>
      <c r="E122" s="2394" t="s">
        <v>1354</v>
      </c>
      <c r="F122" s="2396">
        <v>5</v>
      </c>
      <c r="G122" s="2380">
        <f>IF(claim505.1_3=5,5,0)</f>
        <v>0</v>
      </c>
      <c r="H122" s="5143"/>
      <c r="I122" s="4946"/>
      <c r="J122" s="4946"/>
      <c r="K122" s="4566"/>
      <c r="L122" s="4904"/>
      <c r="M122" s="2702" t="str">
        <f t="shared" si="8"/>
        <v/>
      </c>
    </row>
    <row r="123" spans="3:25" ht="16" thickBot="1">
      <c r="C123" s="2142" t="str">
        <f t="shared" si="13"/>
        <v/>
      </c>
      <c r="D123" s="433" t="s">
        <v>2797</v>
      </c>
      <c r="E123" s="2408" t="s">
        <v>1355</v>
      </c>
      <c r="F123" s="259">
        <v>6</v>
      </c>
      <c r="G123" s="2380">
        <f>IF(claim505.1_3=6,6,0)</f>
        <v>0</v>
      </c>
      <c r="H123" s="5029"/>
      <c r="I123" s="4911"/>
      <c r="J123" s="4911"/>
      <c r="K123" s="4905"/>
      <c r="L123" s="4906"/>
      <c r="M123" s="2702" t="str">
        <f t="shared" si="8"/>
        <v/>
      </c>
    </row>
    <row r="124" spans="3:25" ht="16" thickTop="1">
      <c r="C124" s="2142" t="str">
        <f>IF(SUM(G125:G128)&gt;0,"P","")</f>
        <v/>
      </c>
      <c r="D124" s="433" t="s">
        <v>2797</v>
      </c>
      <c r="E124" s="4991" t="s">
        <v>1356</v>
      </c>
      <c r="F124" s="4992"/>
      <c r="G124" s="4992"/>
      <c r="H124" s="4992"/>
      <c r="I124" s="4993"/>
      <c r="J124" s="1831"/>
      <c r="K124" s="4528"/>
      <c r="L124" s="4901"/>
      <c r="M124" s="2702" t="str">
        <f t="shared" si="8"/>
        <v/>
      </c>
    </row>
    <row r="125" spans="3:25" ht="15" customHeight="1">
      <c r="C125" s="2142" t="str">
        <f t="shared" ref="C125" si="14">IF(G125&gt;0,"P","")</f>
        <v/>
      </c>
      <c r="D125" s="433" t="s">
        <v>2797</v>
      </c>
      <c r="E125" s="4929" t="s">
        <v>2649</v>
      </c>
      <c r="F125" s="5254">
        <v>5</v>
      </c>
      <c r="G125" s="4962">
        <f>claim505.2_1</f>
        <v>0</v>
      </c>
      <c r="H125" s="4898"/>
      <c r="I125" s="5196"/>
      <c r="J125" s="2004" t="str">
        <f>IF(H125&gt;0,"Explain verification at rough","")</f>
        <v/>
      </c>
      <c r="K125" s="4902">
        <f>note505.2_1</f>
        <v>0</v>
      </c>
      <c r="L125" s="4903"/>
      <c r="M125" s="2702" t="str">
        <f t="shared" si="8"/>
        <v/>
      </c>
      <c r="X125" s="32">
        <f>IF(AND(H125&gt;0,I125&gt;0),1,0)</f>
        <v>0</v>
      </c>
      <c r="Y125" s="32">
        <f>IF(AND(J125&lt;&gt;"",J126=""),1,0)</f>
        <v>0</v>
      </c>
    </row>
    <row r="126" spans="3:25" ht="142.5" customHeight="1" thickBot="1">
      <c r="C126" s="2142" t="str">
        <f>IF(G125&gt;0,"P","")</f>
        <v/>
      </c>
      <c r="D126" s="433" t="s">
        <v>2797</v>
      </c>
      <c r="E126" s="4930"/>
      <c r="F126" s="5262"/>
      <c r="G126" s="4963"/>
      <c r="H126" s="5029"/>
      <c r="I126" s="5197"/>
      <c r="J126" s="1877"/>
      <c r="K126" s="4572"/>
      <c r="L126" s="4953"/>
      <c r="M126" s="2702" t="str">
        <f t="shared" si="8"/>
        <v/>
      </c>
    </row>
    <row r="127" spans="3:25" ht="19.5" customHeight="1" thickTop="1">
      <c r="C127" s="2142" t="str">
        <f t="shared" ref="C127" si="15">IF(G127&gt;0,"P","")</f>
        <v/>
      </c>
      <c r="D127" s="433" t="s">
        <v>2797</v>
      </c>
      <c r="E127" s="4897" t="s">
        <v>1358</v>
      </c>
      <c r="F127" s="5254">
        <v>5</v>
      </c>
      <c r="G127" s="4962">
        <f>claim505.2_2</f>
        <v>0</v>
      </c>
      <c r="H127" s="4898"/>
      <c r="I127" s="5196"/>
      <c r="J127" s="2004" t="str">
        <f>IF(H127&gt;0,"Explain verification at rough","")</f>
        <v/>
      </c>
      <c r="K127" s="4902">
        <f>note505.2_2</f>
        <v>0</v>
      </c>
      <c r="L127" s="4903"/>
      <c r="M127" s="2702" t="str">
        <f t="shared" si="8"/>
        <v/>
      </c>
      <c r="X127" s="32">
        <f>IF(AND(H127&gt;0,I127&gt;0),1,0)</f>
        <v>0</v>
      </c>
      <c r="Y127" s="32">
        <f>IF(AND(J127&lt;&gt;"",J128=""),1,0)</f>
        <v>0</v>
      </c>
    </row>
    <row r="128" spans="3:25" ht="112.5" customHeight="1" thickBot="1">
      <c r="C128" s="2142" t="str">
        <f>IF(G127&gt;0,"P","")</f>
        <v/>
      </c>
      <c r="D128" s="433" t="s">
        <v>2797</v>
      </c>
      <c r="E128" s="4873"/>
      <c r="F128" s="5255"/>
      <c r="G128" s="5173"/>
      <c r="H128" s="5029"/>
      <c r="I128" s="5197"/>
      <c r="J128" s="1877"/>
      <c r="K128" s="4905"/>
      <c r="L128" s="4906"/>
      <c r="M128" s="2702" t="str">
        <f t="shared" si="8"/>
        <v/>
      </c>
    </row>
    <row r="129" spans="3:28" ht="14.25" customHeight="1" thickTop="1">
      <c r="C129" s="2142" t="str">
        <f>IF(SUM(G130:G132)&gt;0,"P","")</f>
        <v/>
      </c>
      <c r="D129" s="433" t="s">
        <v>2797</v>
      </c>
      <c r="E129" s="5248" t="s">
        <v>2688</v>
      </c>
      <c r="F129" s="5249"/>
      <c r="G129" s="5249"/>
      <c r="H129" s="5249"/>
      <c r="I129" s="5250"/>
      <c r="J129" s="1834"/>
      <c r="K129" s="4711"/>
      <c r="L129" s="5265"/>
      <c r="M129" s="2702" t="str">
        <f t="shared" si="8"/>
        <v/>
      </c>
    </row>
    <row r="130" spans="3:28" ht="16">
      <c r="C130" s="2142" t="str">
        <f>IF(SUM(G130:G132)&gt;0,"P","")</f>
        <v/>
      </c>
      <c r="D130" s="433" t="s">
        <v>2797</v>
      </c>
      <c r="E130" s="2409" t="s">
        <v>1360</v>
      </c>
      <c r="F130" s="2410">
        <v>5</v>
      </c>
      <c r="G130" s="2411">
        <f>IF(claim505.3=5,5,0)</f>
        <v>0</v>
      </c>
      <c r="H130" s="4898"/>
      <c r="I130" s="4910"/>
      <c r="J130" s="2412" t="str">
        <f>IF(AND(K3="Single-Family",SUM(H130:I132)&gt;0),"Enter lot size in square feet","")</f>
        <v/>
      </c>
      <c r="K130" s="5266">
        <f>note505.3</f>
        <v>0</v>
      </c>
      <c r="L130" s="5267"/>
      <c r="M130" s="2702" t="str">
        <f t="shared" si="8"/>
        <v/>
      </c>
      <c r="X130" s="32">
        <f>IF(AND(H130&gt;0,I130&gt;0),1,0)</f>
        <v>0</v>
      </c>
      <c r="Y130" s="32">
        <f>IF(AND(J130&lt;&gt;"",J131=""),1,0)</f>
        <v>0</v>
      </c>
    </row>
    <row r="131" spans="3:28" ht="16">
      <c r="C131" s="2142" t="str">
        <f>IF(SUM(G130:G132)&gt;0,"P","")</f>
        <v/>
      </c>
      <c r="D131" s="433" t="s">
        <v>2797</v>
      </c>
      <c r="E131" s="2409" t="s">
        <v>1361</v>
      </c>
      <c r="F131" s="2410">
        <v>8</v>
      </c>
      <c r="G131" s="2411">
        <f>IF(claim505.3=8,8,0)</f>
        <v>0</v>
      </c>
      <c r="H131" s="5143"/>
      <c r="I131" s="4946"/>
      <c r="J131" s="2098"/>
      <c r="K131" s="4715"/>
      <c r="L131" s="5268"/>
      <c r="M131" s="2702" t="str">
        <f t="shared" si="8"/>
        <v/>
      </c>
      <c r="AB131" s="32">
        <f>IF(OR(AND($I$130=5,$J$131&gt;43560/7),AND($I$130=8,$J$131&gt;43560/14),AND($I$130=11,$J$131&gt;43560/21)),1,0)</f>
        <v>0</v>
      </c>
    </row>
    <row r="132" spans="3:28" ht="17" thickBot="1">
      <c r="C132" s="2142" t="str">
        <f>IF(SUM(G130:G132)&gt;0,"P","")</f>
        <v/>
      </c>
      <c r="D132" s="433" t="s">
        <v>2797</v>
      </c>
      <c r="E132" s="2413" t="s">
        <v>1362</v>
      </c>
      <c r="F132" s="2414">
        <v>11</v>
      </c>
      <c r="G132" s="2415">
        <f>IF(claim505.3=11,11,0)</f>
        <v>0</v>
      </c>
      <c r="H132" s="5029"/>
      <c r="I132" s="4911"/>
      <c r="J132" s="2416"/>
      <c r="K132" s="5269"/>
      <c r="L132" s="5270"/>
      <c r="M132" s="2702" t="str">
        <f t="shared" si="8"/>
        <v/>
      </c>
    </row>
    <row r="133" spans="3:28" ht="17" thickTop="1" thickBot="1">
      <c r="C133" s="2142" t="str">
        <f t="shared" ref="C133:C134" si="16">IF(G133&gt;0,"P","")</f>
        <v/>
      </c>
      <c r="D133" s="433" t="s">
        <v>2797</v>
      </c>
      <c r="E133" s="2417" t="s">
        <v>2646</v>
      </c>
      <c r="F133" s="852">
        <v>8</v>
      </c>
      <c r="G133" s="853">
        <f>claim505.4</f>
        <v>0</v>
      </c>
      <c r="H133" s="2381"/>
      <c r="I133" s="2387"/>
      <c r="J133" s="1879"/>
      <c r="K133" s="4703">
        <f>note505.4</f>
        <v>0</v>
      </c>
      <c r="L133" s="4703"/>
      <c r="M133" s="2702" t="str">
        <f t="shared" si="8"/>
        <v/>
      </c>
      <c r="X133" s="32">
        <f>IF(AND(H133&gt;0,I133&gt;0),1,0)</f>
        <v>0</v>
      </c>
    </row>
    <row r="134" spans="3:28" ht="46" thickTop="1">
      <c r="C134" s="2142" t="str">
        <f t="shared" si="16"/>
        <v/>
      </c>
      <c r="D134" s="433" t="s">
        <v>2797</v>
      </c>
      <c r="E134" s="2418" t="s">
        <v>2647</v>
      </c>
      <c r="F134" s="850">
        <v>3</v>
      </c>
      <c r="G134" s="851">
        <f>claim505.5</f>
        <v>0</v>
      </c>
      <c r="H134" s="2387"/>
      <c r="I134" s="2395"/>
      <c r="J134" s="1880"/>
      <c r="K134" s="4701">
        <f>note505.5</f>
        <v>0</v>
      </c>
      <c r="L134" s="4701"/>
      <c r="M134" s="2702" t="str">
        <f t="shared" si="8"/>
        <v/>
      </c>
      <c r="X134" s="32">
        <f>IF(AND(H134&gt;0,I134&gt;0),1,0)</f>
        <v>0</v>
      </c>
    </row>
    <row r="135" spans="3:28">
      <c r="C135" s="2142" t="s">
        <v>2800</v>
      </c>
      <c r="D135" s="433" t="s">
        <v>2795</v>
      </c>
      <c r="E135" s="5050" t="s">
        <v>2588</v>
      </c>
      <c r="F135" s="5051"/>
      <c r="G135" s="2685">
        <f>SUM(G15:G134)</f>
        <v>0</v>
      </c>
      <c r="H135" s="2685">
        <f>SUM(H15:H134)</f>
        <v>0</v>
      </c>
      <c r="I135" s="2685">
        <f>SUM(I15:I134)</f>
        <v>0</v>
      </c>
      <c r="J135" s="2686" t="str">
        <f>IF(SUM(H135,I135)&gt;120,"EMERALD",IF(SUM(H135,I135)&gt;92,"GOLD",IF(SUM(H135,I135)&gt;63,"SILVER",IF(SUM(H135,I135)&gt;49,"BRONZE","no threshold achieved yet"))))</f>
        <v>no threshold achieved yet</v>
      </c>
      <c r="K135" s="4859" t="str">
        <f>IF(J135="Emerald","Minimum points for Emerald = 121",IF(J135="Gold","Minimum points for Gold = 93; for Emerald = 121",IF(J135="Silver","Minimum points for Silver = 64; for Gold = 93",IF(J135="Bronze","Minimum points for Bronze = 50; for Silver = 64","Minimum points for Bronze = 50"))))</f>
        <v>Minimum points for Bronze = 50</v>
      </c>
      <c r="L135" s="4860"/>
      <c r="M135" s="2702" t="str">
        <f t="shared" si="8"/>
        <v/>
      </c>
    </row>
    <row r="136" spans="3:28">
      <c r="E136" s="4918" t="s">
        <v>576</v>
      </c>
      <c r="F136" s="4919"/>
      <c r="G136" s="4919"/>
      <c r="H136" s="4919"/>
      <c r="I136" s="4919"/>
      <c r="J136" s="4919"/>
      <c r="K136" s="4919"/>
      <c r="L136" s="4920"/>
      <c r="M136" s="2702" t="str">
        <f t="shared" si="8"/>
        <v/>
      </c>
    </row>
    <row r="137" spans="3:28">
      <c r="E137" s="4918" t="s">
        <v>577</v>
      </c>
      <c r="F137" s="4919"/>
      <c r="G137" s="4919"/>
      <c r="H137" s="4919"/>
      <c r="I137" s="4919"/>
      <c r="J137" s="4919"/>
      <c r="K137" s="4919"/>
      <c r="L137" s="4920"/>
      <c r="M137" s="2702" t="str">
        <f t="shared" si="8"/>
        <v/>
      </c>
    </row>
    <row r="138" spans="3:28">
      <c r="C138" s="2142" t="str">
        <f>IF(SUM(G139:G142)&gt;0,"p","")</f>
        <v/>
      </c>
      <c r="D138" s="433" t="s">
        <v>2795</v>
      </c>
      <c r="E138" s="5234" t="s">
        <v>578</v>
      </c>
      <c r="F138" s="5235"/>
      <c r="G138" s="5235"/>
      <c r="H138" s="5235"/>
      <c r="I138" s="5236"/>
      <c r="J138" s="1828"/>
      <c r="K138" s="4530"/>
      <c r="L138" s="4851"/>
      <c r="M138" s="2702" t="str">
        <f t="shared" si="8"/>
        <v/>
      </c>
    </row>
    <row r="139" spans="3:28" ht="16">
      <c r="C139" s="2142" t="str">
        <f>IF(SUM(G139:G142)&gt;0,"p","")</f>
        <v/>
      </c>
      <c r="D139" s="433" t="s">
        <v>2795</v>
      </c>
      <c r="E139" s="2419" t="s">
        <v>579</v>
      </c>
      <c r="F139" s="2379">
        <v>15</v>
      </c>
      <c r="G139" s="2380">
        <f>IF(claim601.1=F139,claim601.1,0)</f>
        <v>0</v>
      </c>
      <c r="H139" s="5256">
        <f>IF(AND(VSqFt&gt;0,VSqFt&lt;=1000), 15, IF(AND(VSqFt&gt;0,VSqFt&lt;=1500), 12, IF(AND(VSqFt&gt;0,VSqFt&lt;=2000), 9, IF(AND(VSqFt&gt;0,VSqFt&lt;=2500), 6, 0))))</f>
        <v>0</v>
      </c>
      <c r="I139" s="5257"/>
      <c r="J139" s="1963" t="s">
        <v>2640</v>
      </c>
      <c r="K139" s="4810">
        <f>note601.1</f>
        <v>0</v>
      </c>
      <c r="L139" s="4811"/>
      <c r="M139" s="2702" t="str">
        <f t="shared" si="8"/>
        <v>!</v>
      </c>
      <c r="Y139" s="32">
        <f>IF(AND(J139&lt;&gt;"",J140=""),1,0)</f>
        <v>1</v>
      </c>
    </row>
    <row r="140" spans="3:28" ht="16">
      <c r="C140" s="2142" t="str">
        <f>IF(SUM(G139:G142)&gt;0,"p","")</f>
        <v/>
      </c>
      <c r="D140" s="433" t="s">
        <v>2795</v>
      </c>
      <c r="E140" s="2419" t="s">
        <v>580</v>
      </c>
      <c r="F140" s="2379">
        <v>12</v>
      </c>
      <c r="G140" s="2380">
        <f>IF(claim601.1=F140,claim601.1,0)</f>
        <v>0</v>
      </c>
      <c r="H140" s="5258"/>
      <c r="I140" s="5259"/>
      <c r="J140" s="2361"/>
      <c r="K140" s="4491"/>
      <c r="L140" s="4833"/>
      <c r="M140" s="2702" t="str">
        <f t="shared" si="8"/>
        <v/>
      </c>
    </row>
    <row r="141" spans="3:28" ht="16">
      <c r="C141" s="2142" t="str">
        <f>IF(SUM(G139:G142)&gt;0,"p","")</f>
        <v/>
      </c>
      <c r="D141" s="433" t="s">
        <v>2795</v>
      </c>
      <c r="E141" s="2419" t="s">
        <v>581</v>
      </c>
      <c r="F141" s="2379">
        <v>9</v>
      </c>
      <c r="G141" s="2380">
        <f>IF(claim601.1=F141,claim601.1,0)</f>
        <v>0</v>
      </c>
      <c r="H141" s="5258"/>
      <c r="I141" s="5259"/>
      <c r="J141" s="5338"/>
      <c r="K141" s="4491"/>
      <c r="L141" s="4833"/>
      <c r="M141" s="2702" t="str">
        <f t="shared" si="8"/>
        <v/>
      </c>
    </row>
    <row r="142" spans="3:28" ht="16">
      <c r="C142" s="2142" t="str">
        <f>IF(SUM(G139:G142)&gt;0,"p","")</f>
        <v/>
      </c>
      <c r="D142" s="433" t="s">
        <v>2795</v>
      </c>
      <c r="E142" s="2419" t="s">
        <v>582</v>
      </c>
      <c r="F142" s="2379">
        <v>6</v>
      </c>
      <c r="G142" s="2380">
        <f>IF(claim601.1=F142,claim601.1,0)</f>
        <v>0</v>
      </c>
      <c r="H142" s="5260"/>
      <c r="I142" s="5261"/>
      <c r="J142" s="5339"/>
      <c r="K142" s="4493"/>
      <c r="L142" s="4856"/>
      <c r="M142" s="2702" t="str">
        <f t="shared" si="8"/>
        <v/>
      </c>
    </row>
    <row r="143" spans="3:28" ht="18.75" customHeight="1" thickBot="1">
      <c r="E143" s="5348" t="str">
        <f>IF(BldgType="Multi-Unit","For a multi-unit building, use a weighted average of the individual unit sizes in qualifying for available points.","")</f>
        <v/>
      </c>
      <c r="F143" s="5349"/>
      <c r="G143" s="5349"/>
      <c r="H143" s="5349"/>
      <c r="I143" s="5350"/>
      <c r="J143" s="1835"/>
      <c r="K143" s="4552"/>
      <c r="L143" s="5264"/>
      <c r="M143" s="2702" t="str">
        <f t="shared" ref="M143:M207" si="17">IF(AND(ReportType="Rough",SUM(X143,Y143,Z143,AB143,AC143,AD143,AE143)&gt;0),"!",IF(AND(ReportType="Final", SUM(X143,Y143,AA143,AB143,AC143,AD143,AE143)&gt;0),"!",""))</f>
        <v/>
      </c>
    </row>
    <row r="144" spans="3:28" ht="26.25" customHeight="1" thickTop="1">
      <c r="C144" s="2142" t="str">
        <f>IF(SUM(G145:G150)&gt;0,"P","")</f>
        <v/>
      </c>
      <c r="D144" s="433" t="s">
        <v>2796</v>
      </c>
      <c r="E144" s="4991" t="s">
        <v>2005</v>
      </c>
      <c r="F144" s="4992"/>
      <c r="G144" s="4992"/>
      <c r="H144" s="4992"/>
      <c r="I144" s="4993"/>
      <c r="J144" s="1831"/>
      <c r="K144" s="4528"/>
      <c r="L144" s="4901"/>
      <c r="M144" s="2702" t="str">
        <f t="shared" si="17"/>
        <v/>
      </c>
    </row>
    <row r="145" spans="3:25">
      <c r="C145" s="2142" t="str">
        <f t="shared" ref="C145" si="18">IF(G145&gt;0,"P","")</f>
        <v/>
      </c>
      <c r="D145" s="433" t="s">
        <v>2796</v>
      </c>
      <c r="E145" s="4929" t="s">
        <v>2997</v>
      </c>
      <c r="F145" s="4719">
        <v>3</v>
      </c>
      <c r="G145" s="4962">
        <f>claim601.2_1</f>
        <v>0</v>
      </c>
      <c r="H145" s="4957"/>
      <c r="I145" s="4931"/>
      <c r="J145" s="1992" t="str">
        <f>IF(I145&gt;0,"Explain verification at final","")</f>
        <v/>
      </c>
      <c r="K145" s="4902">
        <f>note601.2_1</f>
        <v>0</v>
      </c>
      <c r="L145" s="4903"/>
      <c r="M145" s="2702" t="str">
        <f t="shared" si="17"/>
        <v/>
      </c>
      <c r="X145" s="32">
        <f>IF(AND(H145&gt;0,I145&gt;0),1,0)</f>
        <v>0</v>
      </c>
      <c r="Y145" s="32">
        <f>IF(AND(J145&lt;&gt;"",J146=""),1,0)</f>
        <v>0</v>
      </c>
    </row>
    <row r="146" spans="3:25" ht="29.25" customHeight="1">
      <c r="C146" s="2142" t="str">
        <f>IF(G145&gt;0,"P","")</f>
        <v/>
      </c>
      <c r="D146" s="433" t="s">
        <v>2796</v>
      </c>
      <c r="E146" s="4930"/>
      <c r="F146" s="4488"/>
      <c r="G146" s="4963"/>
      <c r="H146" s="4981"/>
      <c r="I146" s="4932"/>
      <c r="J146" s="1877"/>
      <c r="K146" s="4572"/>
      <c r="L146" s="4953"/>
      <c r="M146" s="2702" t="str">
        <f t="shared" si="17"/>
        <v/>
      </c>
    </row>
    <row r="147" spans="3:25" ht="19.5" customHeight="1">
      <c r="C147" s="2142" t="str">
        <f t="shared" ref="C147" si="19">IF(G147&gt;0,"P","")</f>
        <v/>
      </c>
      <c r="D147" s="433" t="s">
        <v>2796</v>
      </c>
      <c r="E147" s="4929" t="s">
        <v>2007</v>
      </c>
      <c r="F147" s="4719">
        <v>3</v>
      </c>
      <c r="G147" s="4962">
        <f>claim601.2_2</f>
        <v>0</v>
      </c>
      <c r="H147" s="4957"/>
      <c r="I147" s="4931"/>
      <c r="J147" s="1992" t="str">
        <f>IF(I147&gt;0,"Explain verification at final","")</f>
        <v/>
      </c>
      <c r="K147" s="4902">
        <f>note601.2_2</f>
        <v>0</v>
      </c>
      <c r="L147" s="4903"/>
      <c r="M147" s="2702" t="str">
        <f t="shared" si="17"/>
        <v/>
      </c>
      <c r="X147" s="32">
        <f>IF(AND(H147&gt;0,I147&gt;0),1,0)</f>
        <v>0</v>
      </c>
      <c r="Y147" s="32">
        <f>IF(AND(J147&lt;&gt;"",J148=""),1,0)</f>
        <v>0</v>
      </c>
    </row>
    <row r="148" spans="3:25" ht="36" customHeight="1">
      <c r="C148" s="2142" t="str">
        <f>IF(G147&gt;0,"P","")</f>
        <v/>
      </c>
      <c r="D148" s="433" t="s">
        <v>2796</v>
      </c>
      <c r="E148" s="4930"/>
      <c r="F148" s="4488"/>
      <c r="G148" s="4963"/>
      <c r="H148" s="4981"/>
      <c r="I148" s="4932"/>
      <c r="J148" s="1877"/>
      <c r="K148" s="4572"/>
      <c r="L148" s="4953"/>
      <c r="M148" s="2702" t="str">
        <f t="shared" si="17"/>
        <v/>
      </c>
    </row>
    <row r="149" spans="3:25" ht="18" customHeight="1">
      <c r="C149" s="2142" t="str">
        <f t="shared" ref="C149" si="20">IF(G149&gt;0,"P","")</f>
        <v/>
      </c>
      <c r="D149" s="433" t="s">
        <v>2796</v>
      </c>
      <c r="E149" s="4929" t="s">
        <v>2996</v>
      </c>
      <c r="F149" s="4719">
        <v>3</v>
      </c>
      <c r="G149" s="4962">
        <f>claim601.2_3</f>
        <v>0</v>
      </c>
      <c r="H149" s="4957"/>
      <c r="I149" s="4931"/>
      <c r="J149" s="1992" t="str">
        <f>IF(H149&gt;0, "Engineered by (name):",IF( I149&gt;0,"Enter Engineered by &amp; Explain verification at final",""))</f>
        <v/>
      </c>
      <c r="K149" s="4902">
        <f>note601.2_3</f>
        <v>0</v>
      </c>
      <c r="L149" s="4903"/>
      <c r="M149" s="2702" t="str">
        <f t="shared" si="17"/>
        <v/>
      </c>
      <c r="X149" s="32">
        <f>IF(AND(H149&gt;0,I149&gt;0),1,0)</f>
        <v>0</v>
      </c>
      <c r="Y149" s="32">
        <f>IF(AND(J149&lt;&gt;"",J150=""),1,0)</f>
        <v>0</v>
      </c>
    </row>
    <row r="150" spans="3:25" ht="18" customHeight="1" thickBot="1">
      <c r="C150" s="2142" t="str">
        <f>IF(G149&gt;0,"P","")</f>
        <v/>
      </c>
      <c r="D150" s="433" t="s">
        <v>2796</v>
      </c>
      <c r="E150" s="5263"/>
      <c r="F150" s="4968"/>
      <c r="G150" s="5173"/>
      <c r="H150" s="4981"/>
      <c r="I150" s="4932"/>
      <c r="J150" s="1877"/>
      <c r="K150" s="4905"/>
      <c r="L150" s="4906"/>
      <c r="M150" s="2702" t="str">
        <f t="shared" si="17"/>
        <v/>
      </c>
    </row>
    <row r="151" spans="3:25" ht="28.5" customHeight="1" thickTop="1">
      <c r="C151" s="2142" t="str">
        <f>IF(SUM(G152:G156)&gt;0,"P","")</f>
        <v/>
      </c>
      <c r="D151" s="433" t="s">
        <v>2796</v>
      </c>
      <c r="E151" s="4991" t="s">
        <v>2009</v>
      </c>
      <c r="F151" s="4992"/>
      <c r="G151" s="4992"/>
      <c r="H151" s="4992"/>
      <c r="I151" s="4993"/>
      <c r="J151" s="1836"/>
      <c r="K151" s="4516"/>
      <c r="L151" s="4853"/>
      <c r="M151" s="2702" t="str">
        <f t="shared" si="17"/>
        <v/>
      </c>
    </row>
    <row r="152" spans="3:25">
      <c r="C152" s="2142" t="str">
        <f t="shared" ref="C152:C174" si="21">IF(G152&gt;0,"P","")</f>
        <v/>
      </c>
      <c r="D152" s="433" t="s">
        <v>2796</v>
      </c>
      <c r="E152" s="2378" t="s">
        <v>585</v>
      </c>
      <c r="F152" s="2379">
        <v>3</v>
      </c>
      <c r="G152" s="2380">
        <f>claim601.3_1</f>
        <v>0</v>
      </c>
      <c r="H152" s="2381"/>
      <c r="I152" s="2387"/>
      <c r="J152" s="2381"/>
      <c r="K152" s="4854">
        <f>note601.3_1</f>
        <v>0</v>
      </c>
      <c r="L152" s="4855"/>
      <c r="M152" s="2702" t="str">
        <f t="shared" si="17"/>
        <v/>
      </c>
      <c r="X152" s="32">
        <f t="shared" ref="X152:X157" si="22">IF(AND(H152&gt;0,I152&gt;0),1,0)</f>
        <v>0</v>
      </c>
    </row>
    <row r="153" spans="3:25">
      <c r="C153" s="2142" t="str">
        <f t="shared" si="21"/>
        <v/>
      </c>
      <c r="D153" s="433" t="s">
        <v>2796</v>
      </c>
      <c r="E153" s="2378" t="s">
        <v>586</v>
      </c>
      <c r="F153" s="2379">
        <v>3</v>
      </c>
      <c r="G153" s="2380">
        <f>claim601.3_2</f>
        <v>0</v>
      </c>
      <c r="H153" s="2381"/>
      <c r="I153" s="2387"/>
      <c r="J153" s="2381"/>
      <c r="K153" s="4854">
        <f>note601.3_2</f>
        <v>0</v>
      </c>
      <c r="L153" s="4855"/>
      <c r="M153" s="2702" t="str">
        <f t="shared" si="17"/>
        <v/>
      </c>
      <c r="X153" s="32">
        <f t="shared" si="22"/>
        <v>0</v>
      </c>
    </row>
    <row r="154" spans="3:25">
      <c r="C154" s="2142" t="str">
        <f t="shared" si="21"/>
        <v/>
      </c>
      <c r="D154" s="433" t="s">
        <v>2796</v>
      </c>
      <c r="E154" s="2378" t="s">
        <v>587</v>
      </c>
      <c r="F154" s="2379">
        <v>3</v>
      </c>
      <c r="G154" s="2380">
        <f>claim601.3_3</f>
        <v>0</v>
      </c>
      <c r="H154" s="2381"/>
      <c r="I154" s="2387"/>
      <c r="J154" s="2381"/>
      <c r="K154" s="4854">
        <f>note601.3_3</f>
        <v>0</v>
      </c>
      <c r="L154" s="4855"/>
      <c r="M154" s="2702" t="str">
        <f t="shared" si="17"/>
        <v/>
      </c>
      <c r="X154" s="32">
        <f t="shared" si="22"/>
        <v>0</v>
      </c>
    </row>
    <row r="155" spans="3:25">
      <c r="C155" s="2142" t="str">
        <f t="shared" si="21"/>
        <v/>
      </c>
      <c r="D155" s="433" t="s">
        <v>2796</v>
      </c>
      <c r="E155" s="2378" t="s">
        <v>588</v>
      </c>
      <c r="F155" s="2379">
        <v>3</v>
      </c>
      <c r="G155" s="2380">
        <f>claim601.3_4</f>
        <v>0</v>
      </c>
      <c r="H155" s="2381"/>
      <c r="I155" s="2387"/>
      <c r="J155" s="2381"/>
      <c r="K155" s="4854">
        <f>note601.3_4</f>
        <v>0</v>
      </c>
      <c r="L155" s="4855"/>
      <c r="M155" s="2702" t="str">
        <f t="shared" si="17"/>
        <v/>
      </c>
      <c r="X155" s="32">
        <f t="shared" si="22"/>
        <v>0</v>
      </c>
    </row>
    <row r="156" spans="3:25" ht="16" thickBot="1">
      <c r="C156" s="2142" t="str">
        <f t="shared" si="21"/>
        <v/>
      </c>
      <c r="D156" s="433" t="s">
        <v>2796</v>
      </c>
      <c r="E156" s="2420" t="s">
        <v>589</v>
      </c>
      <c r="F156" s="252">
        <v>1</v>
      </c>
      <c r="G156" s="253">
        <f>claim601.3_5</f>
        <v>0</v>
      </c>
      <c r="H156" s="2350"/>
      <c r="I156" s="2360"/>
      <c r="J156" s="1878"/>
      <c r="K156" s="4526">
        <f>note601.3_5</f>
        <v>0</v>
      </c>
      <c r="L156" s="4852"/>
      <c r="M156" s="2702" t="str">
        <f t="shared" si="17"/>
        <v/>
      </c>
      <c r="X156" s="32">
        <f t="shared" si="22"/>
        <v>0</v>
      </c>
    </row>
    <row r="157" spans="3:25" ht="32" thickTop="1" thickBot="1">
      <c r="C157" s="2142" t="str">
        <f t="shared" si="21"/>
        <v/>
      </c>
      <c r="D157" s="433" t="s">
        <v>2796</v>
      </c>
      <c r="E157" s="2421" t="s">
        <v>2010</v>
      </c>
      <c r="F157" s="274">
        <v>4</v>
      </c>
      <c r="G157" s="261">
        <f>claim601.4</f>
        <v>0</v>
      </c>
      <c r="H157" s="1881"/>
      <c r="I157" s="2099"/>
      <c r="J157" s="1881"/>
      <c r="K157" s="4609">
        <f>note601.4</f>
        <v>0</v>
      </c>
      <c r="L157" s="4945"/>
      <c r="M157" s="2702" t="str">
        <f t="shared" si="17"/>
        <v/>
      </c>
      <c r="X157" s="32">
        <f t="shared" si="22"/>
        <v>0</v>
      </c>
    </row>
    <row r="158" spans="3:25" ht="30" customHeight="1" thickTop="1">
      <c r="C158" s="2142" t="str">
        <f>IF(SUM(G159:G163)&gt;0,"P","")</f>
        <v/>
      </c>
      <c r="D158" s="433" t="s">
        <v>2796</v>
      </c>
      <c r="E158" s="4991" t="s">
        <v>2689</v>
      </c>
      <c r="F158" s="4992"/>
      <c r="G158" s="4992"/>
      <c r="H158" s="4992"/>
      <c r="I158" s="4993"/>
      <c r="J158" s="1837"/>
      <c r="K158" s="4516"/>
      <c r="L158" s="4853"/>
      <c r="M158" s="2702" t="str">
        <f t="shared" si="17"/>
        <v/>
      </c>
    </row>
    <row r="159" spans="3:25">
      <c r="C159" s="2142" t="str">
        <f t="shared" si="21"/>
        <v/>
      </c>
      <c r="D159" s="433" t="s">
        <v>2796</v>
      </c>
      <c r="E159" s="2378" t="s">
        <v>590</v>
      </c>
      <c r="F159" s="2390">
        <v>4</v>
      </c>
      <c r="G159" s="2380">
        <f>claim601.5_1</f>
        <v>0</v>
      </c>
      <c r="H159" s="2381"/>
      <c r="I159" s="2387"/>
      <c r="J159" s="2381"/>
      <c r="K159" s="4854">
        <f>note601.5_1</f>
        <v>0</v>
      </c>
      <c r="L159" s="4855"/>
      <c r="M159" s="2702" t="str">
        <f t="shared" si="17"/>
        <v/>
      </c>
      <c r="X159" s="32">
        <f>IF(AND(H159&gt;0,I159&gt;0),1,0)</f>
        <v>0</v>
      </c>
    </row>
    <row r="160" spans="3:25">
      <c r="C160" s="2142" t="str">
        <f t="shared" si="21"/>
        <v/>
      </c>
      <c r="D160" s="433" t="s">
        <v>2796</v>
      </c>
      <c r="E160" s="2378" t="s">
        <v>591</v>
      </c>
      <c r="F160" s="2390">
        <v>4</v>
      </c>
      <c r="G160" s="2380">
        <f>claim601.5_2</f>
        <v>0</v>
      </c>
      <c r="H160" s="2381"/>
      <c r="I160" s="2387"/>
      <c r="J160" s="2381"/>
      <c r="K160" s="4854">
        <f>note601.5_2</f>
        <v>0</v>
      </c>
      <c r="L160" s="4855"/>
      <c r="M160" s="2702" t="str">
        <f t="shared" si="17"/>
        <v/>
      </c>
      <c r="X160" s="32">
        <f>IF(AND(H160&gt;0,I160&gt;0),1,0)</f>
        <v>0</v>
      </c>
    </row>
    <row r="161" spans="3:25">
      <c r="C161" s="2142" t="str">
        <f t="shared" si="21"/>
        <v/>
      </c>
      <c r="D161" s="433" t="s">
        <v>2796</v>
      </c>
      <c r="E161" s="2378" t="s">
        <v>592</v>
      </c>
      <c r="F161" s="2390">
        <v>4</v>
      </c>
      <c r="G161" s="2380">
        <f>claim601.5_3</f>
        <v>0</v>
      </c>
      <c r="H161" s="2381"/>
      <c r="I161" s="2387"/>
      <c r="J161" s="2381"/>
      <c r="K161" s="4854">
        <f>note601.5_3</f>
        <v>0</v>
      </c>
      <c r="L161" s="4855"/>
      <c r="M161" s="2702" t="str">
        <f t="shared" si="17"/>
        <v/>
      </c>
      <c r="X161" s="32">
        <f>IF(AND(H161&gt;0,I161&gt;0),1,0)</f>
        <v>0</v>
      </c>
    </row>
    <row r="162" spans="3:25">
      <c r="C162" s="2142" t="str">
        <f t="shared" si="21"/>
        <v/>
      </c>
      <c r="D162" s="433" t="s">
        <v>2796</v>
      </c>
      <c r="E162" s="2378" t="s">
        <v>593</v>
      </c>
      <c r="F162" s="2390">
        <v>13</v>
      </c>
      <c r="G162" s="2380">
        <f>claim601.5_4</f>
        <v>0</v>
      </c>
      <c r="H162" s="2381"/>
      <c r="I162" s="2387"/>
      <c r="J162" s="2381"/>
      <c r="K162" s="4854">
        <f>note601.5_4</f>
        <v>0</v>
      </c>
      <c r="L162" s="4855"/>
      <c r="M162" s="2702" t="str">
        <f t="shared" si="17"/>
        <v/>
      </c>
      <c r="X162" s="32">
        <f>IF(AND(H162&gt;0,I162&gt;0),1,0)</f>
        <v>0</v>
      </c>
    </row>
    <row r="163" spans="3:25" ht="16" thickBot="1">
      <c r="C163" s="2142" t="str">
        <f t="shared" si="21"/>
        <v/>
      </c>
      <c r="D163" s="433" t="s">
        <v>2796</v>
      </c>
      <c r="E163" s="2420" t="s">
        <v>594</v>
      </c>
      <c r="F163" s="276">
        <v>13</v>
      </c>
      <c r="G163" s="253">
        <f>claim601.5_5</f>
        <v>0</v>
      </c>
      <c r="H163" s="2381"/>
      <c r="I163" s="2387"/>
      <c r="J163" s="1878"/>
      <c r="K163" s="4526">
        <f>note601.5_5</f>
        <v>0</v>
      </c>
      <c r="L163" s="4852"/>
      <c r="M163" s="2702" t="str">
        <f t="shared" si="17"/>
        <v/>
      </c>
      <c r="X163" s="32">
        <f>IF(AND(H163&gt;0,I163&gt;0),1,0)</f>
        <v>0</v>
      </c>
    </row>
    <row r="164" spans="3:25" ht="27" customHeight="1" thickTop="1">
      <c r="C164" s="2142" t="str">
        <f>IF(SUM(G165:G167)&gt;0,"P","")</f>
        <v/>
      </c>
      <c r="D164" s="433" t="s">
        <v>2796</v>
      </c>
      <c r="E164" s="4991" t="s">
        <v>2667</v>
      </c>
      <c r="F164" s="4992"/>
      <c r="G164" s="4992"/>
      <c r="H164" s="4992"/>
      <c r="I164" s="4993"/>
      <c r="J164" s="1836"/>
      <c r="K164" s="4516"/>
      <c r="L164" s="4853"/>
      <c r="M164" s="2702" t="str">
        <f t="shared" si="17"/>
        <v/>
      </c>
    </row>
    <row r="165" spans="3:25">
      <c r="C165" s="2142" t="str">
        <f t="shared" si="21"/>
        <v/>
      </c>
      <c r="D165" s="433" t="s">
        <v>2796</v>
      </c>
      <c r="E165" s="2378" t="s">
        <v>2662</v>
      </c>
      <c r="F165" s="2379">
        <v>4</v>
      </c>
      <c r="G165" s="2380">
        <f>IF(claim601.6=F165,claim601.6,0)</f>
        <v>0</v>
      </c>
      <c r="H165" s="4910"/>
      <c r="I165" s="4898"/>
      <c r="J165" s="4910"/>
      <c r="K165" s="4947">
        <f>note601.6</f>
        <v>0</v>
      </c>
      <c r="L165" s="4948"/>
      <c r="M165" s="2702" t="str">
        <f t="shared" si="17"/>
        <v/>
      </c>
      <c r="X165" s="32">
        <f>IF(AND(H165&gt;0,I165&gt;0),1,0)</f>
        <v>0</v>
      </c>
    </row>
    <row r="166" spans="3:25">
      <c r="C166" s="2142" t="str">
        <f t="shared" si="21"/>
        <v/>
      </c>
      <c r="D166" s="433" t="s">
        <v>2796</v>
      </c>
      <c r="E166" s="2378" t="s">
        <v>2663</v>
      </c>
      <c r="F166" s="2379">
        <v>6</v>
      </c>
      <c r="G166" s="2380">
        <f>IF(claim601.6=F166,claim601.6,0)</f>
        <v>0</v>
      </c>
      <c r="H166" s="4946"/>
      <c r="I166" s="5143"/>
      <c r="J166" s="5338"/>
      <c r="K166" s="4584"/>
      <c r="L166" s="4949"/>
      <c r="M166" s="2702" t="str">
        <f t="shared" si="17"/>
        <v/>
      </c>
    </row>
    <row r="167" spans="3:25" ht="16" thickBot="1">
      <c r="C167" s="2142" t="str">
        <f t="shared" si="21"/>
        <v/>
      </c>
      <c r="D167" s="433" t="s">
        <v>2796</v>
      </c>
      <c r="E167" s="2420" t="s">
        <v>2664</v>
      </c>
      <c r="F167" s="252">
        <v>8</v>
      </c>
      <c r="G167" s="253">
        <f>IF(claim601.6=F167,claim601.6,0)</f>
        <v>0</v>
      </c>
      <c r="H167" s="4911"/>
      <c r="I167" s="5029"/>
      <c r="J167" s="5360"/>
      <c r="K167" s="5229"/>
      <c r="L167" s="5230"/>
      <c r="M167" s="2702" t="str">
        <f t="shared" si="17"/>
        <v/>
      </c>
    </row>
    <row r="168" spans="3:25" ht="141.75" customHeight="1" thickTop="1">
      <c r="C168" s="2142" t="str">
        <f>IF(SUM(G169:G171)&gt;0,"P","")</f>
        <v/>
      </c>
      <c r="D168" s="433" t="s">
        <v>2795</v>
      </c>
      <c r="E168" s="2422" t="s">
        <v>2994</v>
      </c>
      <c r="F168" s="1986" t="s">
        <v>598</v>
      </c>
      <c r="G168" s="278">
        <f>claim601.7</f>
        <v>0</v>
      </c>
      <c r="H168" s="5211"/>
      <c r="I168" s="5211"/>
      <c r="J168" s="1983" t="str">
        <f>IF(SUM(H168:I168)&gt;0,"List types of materials:","")</f>
        <v/>
      </c>
      <c r="K168" s="4528"/>
      <c r="L168" s="4901"/>
      <c r="M168" s="2702" t="str">
        <f t="shared" si="17"/>
        <v/>
      </c>
      <c r="Y168" s="32">
        <f>IF(AND(J168&lt;&gt;"",J169=""),1,0)</f>
        <v>0</v>
      </c>
    </row>
    <row r="169" spans="3:25">
      <c r="C169" s="2142" t="str">
        <f>IF(G169&lt;&gt;"","P","")</f>
        <v/>
      </c>
      <c r="D169" s="433" t="s">
        <v>2795</v>
      </c>
      <c r="E169" s="2423" t="s">
        <v>2016</v>
      </c>
      <c r="F169" s="2379" t="s">
        <v>2657</v>
      </c>
      <c r="G169" s="2424" t="str">
        <f>IF(choice601.7_1&gt;0,CONCATENATE(choice601.7_1," materials or assemblies"),"")</f>
        <v/>
      </c>
      <c r="H169" s="5212"/>
      <c r="I169" s="5212"/>
      <c r="J169" s="5231"/>
      <c r="K169" s="4902">
        <f>note601.7</f>
        <v>0</v>
      </c>
      <c r="L169" s="4903"/>
      <c r="M169" s="2702" t="str">
        <f t="shared" si="17"/>
        <v/>
      </c>
    </row>
    <row r="170" spans="3:25">
      <c r="C170" s="2142" t="str">
        <f>IF(G170&lt;&gt;"","P","")</f>
        <v/>
      </c>
      <c r="D170" s="433" t="s">
        <v>2795</v>
      </c>
      <c r="E170" s="2423" t="s">
        <v>2017</v>
      </c>
      <c r="F170" s="2379" t="s">
        <v>2658</v>
      </c>
      <c r="G170" s="2424" t="str">
        <f>IF(choice601.7_2&gt;0,CONCATENATE(choice601.7_2," materials or assemblies"),"")</f>
        <v/>
      </c>
      <c r="H170" s="5212"/>
      <c r="I170" s="5212"/>
      <c r="J170" s="5232"/>
      <c r="K170" s="4566"/>
      <c r="L170" s="4904"/>
      <c r="M170" s="2702" t="str">
        <f t="shared" si="17"/>
        <v/>
      </c>
    </row>
    <row r="171" spans="3:25" ht="16" thickBot="1">
      <c r="C171" s="2142" t="str">
        <f>IF(G171&lt;&gt;"","P","")</f>
        <v/>
      </c>
      <c r="D171" s="433" t="s">
        <v>2795</v>
      </c>
      <c r="E171" s="2425" t="s">
        <v>2018</v>
      </c>
      <c r="F171" s="252" t="s">
        <v>1078</v>
      </c>
      <c r="G171" s="2424" t="str">
        <f>IF(choice601.7_3&gt;0,CONCATENATE(choice601.7_3," materials or assemblies"),"")</f>
        <v/>
      </c>
      <c r="H171" s="5213"/>
      <c r="I171" s="5213"/>
      <c r="J171" s="5233"/>
      <c r="K171" s="4905"/>
      <c r="L171" s="4906"/>
      <c r="M171" s="2702" t="str">
        <f t="shared" si="17"/>
        <v/>
      </c>
    </row>
    <row r="172" spans="3:25" ht="21" customHeight="1" thickTop="1">
      <c r="C172" s="2142" t="str">
        <f t="shared" si="21"/>
        <v/>
      </c>
      <c r="D172" s="433" t="s">
        <v>2796</v>
      </c>
      <c r="E172" s="4830" t="s">
        <v>3023</v>
      </c>
      <c r="F172" s="4502">
        <v>3</v>
      </c>
      <c r="G172" s="5146">
        <f>claim601.8</f>
        <v>0</v>
      </c>
      <c r="H172" s="5239"/>
      <c r="I172" s="5240"/>
      <c r="J172" s="2689" t="str">
        <f>IF(ar601.8&gt;0,"Describe foundation type","")</f>
        <v/>
      </c>
      <c r="K172" s="5244">
        <f>note601.8</f>
        <v>0</v>
      </c>
      <c r="L172" s="5245"/>
      <c r="M172" s="2702" t="str">
        <f t="shared" si="17"/>
        <v/>
      </c>
      <c r="X172" s="32">
        <f>IF(AND(H172&gt;0,I172&gt;0),1,0)</f>
        <v>0</v>
      </c>
    </row>
    <row r="173" spans="3:25" ht="51" customHeight="1" thickBot="1">
      <c r="E173" s="4873"/>
      <c r="F173" s="4968"/>
      <c r="G173" s="4889"/>
      <c r="H173" s="4911"/>
      <c r="I173" s="5029"/>
      <c r="J173" s="2087"/>
      <c r="K173" s="4905"/>
      <c r="L173" s="4906"/>
      <c r="M173" s="2702"/>
    </row>
    <row r="174" spans="3:25" ht="16" thickTop="1">
      <c r="C174" s="2142" t="str">
        <f t="shared" si="21"/>
        <v/>
      </c>
      <c r="D174" s="433" t="s">
        <v>2796</v>
      </c>
      <c r="E174" s="4830" t="s">
        <v>2366</v>
      </c>
      <c r="F174" s="4502">
        <v>4</v>
      </c>
      <c r="G174" s="5146">
        <f>claim601.9</f>
        <v>0</v>
      </c>
      <c r="H174" s="5242"/>
      <c r="I174" s="5237"/>
      <c r="J174" s="1983" t="str">
        <f>IF(SUM(H174:I174)&gt;0,"List type of construction","")</f>
        <v/>
      </c>
      <c r="K174" s="5244">
        <f>note601.9</f>
        <v>0</v>
      </c>
      <c r="L174" s="5245"/>
      <c r="M174" s="2702" t="str">
        <f t="shared" si="17"/>
        <v/>
      </c>
      <c r="X174" s="32">
        <f>IF(AND(H174&gt;0,I174&gt;0),1,0)</f>
        <v>0</v>
      </c>
      <c r="Y174" s="32">
        <f>IF(AND(J174&lt;&gt;"",J175=""),1,0)</f>
        <v>0</v>
      </c>
    </row>
    <row r="175" spans="3:25" ht="16" thickBot="1">
      <c r="C175" s="2142" t="str">
        <f>IF(G174&gt;0,"P","")</f>
        <v/>
      </c>
      <c r="D175" s="433" t="s">
        <v>2796</v>
      </c>
      <c r="E175" s="4832"/>
      <c r="F175" s="4720"/>
      <c r="G175" s="5361"/>
      <c r="H175" s="5243"/>
      <c r="I175" s="5238"/>
      <c r="J175" s="1877"/>
      <c r="K175" s="5246"/>
      <c r="L175" s="5247"/>
      <c r="M175" s="2702" t="str">
        <f t="shared" si="17"/>
        <v/>
      </c>
    </row>
    <row r="176" spans="3:25">
      <c r="C176" s="2145"/>
      <c r="E176" s="5358" t="s">
        <v>599</v>
      </c>
      <c r="F176" s="4632"/>
      <c r="G176" s="4632"/>
      <c r="H176" s="4632"/>
      <c r="I176" s="4632"/>
      <c r="J176" s="4632"/>
      <c r="K176" s="4632"/>
      <c r="L176" s="5359"/>
      <c r="M176" s="2702" t="str">
        <f t="shared" si="17"/>
        <v/>
      </c>
    </row>
    <row r="177" spans="1:37" s="1289" customFormat="1" ht="16">
      <c r="C177" s="2145"/>
      <c r="D177" s="2146" t="s">
        <v>2796</v>
      </c>
      <c r="E177" s="5351" t="s">
        <v>2019</v>
      </c>
      <c r="F177" s="5352"/>
      <c r="G177" s="5352"/>
      <c r="H177" s="5352"/>
      <c r="I177" s="5353"/>
      <c r="J177" s="1993" t="str">
        <f>IF(OR(H178="NA",I178="NA"),"Explain NA",IF(OR(I178="",I178="No Slabs"),"","Explain verification at final"))</f>
        <v/>
      </c>
      <c r="K177" s="4669"/>
      <c r="L177" s="5343"/>
      <c r="M177" s="2702" t="str">
        <f t="shared" si="17"/>
        <v/>
      </c>
      <c r="N177" s="2675"/>
      <c r="O177" s="2675"/>
      <c r="P177" s="2675"/>
      <c r="Q177" s="2675"/>
      <c r="R177" s="2675"/>
      <c r="S177" s="2675"/>
      <c r="T177" s="2675"/>
      <c r="U177" s="2675"/>
      <c r="V177" s="2675"/>
      <c r="W177" s="2678"/>
      <c r="X177" s="32"/>
      <c r="Y177" s="32">
        <f>IF(AND(J177&lt;&gt;"",J178=""),1,0)</f>
        <v>0</v>
      </c>
      <c r="Z177" s="32"/>
      <c r="AA177" s="32"/>
      <c r="AB177" s="32"/>
      <c r="AC177" s="32"/>
      <c r="AD177" s="32"/>
      <c r="AE177" s="32"/>
      <c r="AF177" s="1995"/>
      <c r="AG177" s="1995"/>
      <c r="AH177" s="1995"/>
      <c r="AI177" s="1995"/>
      <c r="AJ177" s="1995"/>
      <c r="AK177" s="1995"/>
    </row>
    <row r="178" spans="1:37" s="1289" customFormat="1" ht="41.25" customHeight="1">
      <c r="B178" s="1289" t="str">
        <f>'Ch6'!B50</f>
        <v/>
      </c>
      <c r="C178" s="2145" t="s">
        <v>2800</v>
      </c>
      <c r="D178" s="2146" t="s">
        <v>2796</v>
      </c>
      <c r="E178" s="2426" t="s">
        <v>2020</v>
      </c>
      <c r="F178" s="2015" t="s">
        <v>3</v>
      </c>
      <c r="G178" s="1606">
        <f>IF(B178&lt;&gt;"x",claim602.1.1.1,"No slabs")</f>
        <v>0</v>
      </c>
      <c r="H178" s="1884"/>
      <c r="I178" s="1965"/>
      <c r="J178" s="1877"/>
      <c r="K178" s="4671">
        <f>note602.1.1.1</f>
        <v>0</v>
      </c>
      <c r="L178" s="5344"/>
      <c r="M178" s="2702" t="str">
        <f t="shared" si="17"/>
        <v>!</v>
      </c>
      <c r="N178" s="2675"/>
      <c r="O178" s="2675"/>
      <c r="P178" s="2675"/>
      <c r="Q178" s="2675"/>
      <c r="R178" s="2675"/>
      <c r="S178" s="2675"/>
      <c r="T178" s="2675"/>
      <c r="U178" s="2675"/>
      <c r="V178" s="2675"/>
      <c r="W178" s="2678"/>
      <c r="X178" s="32">
        <f>IF(AND(H178="",I178=""),1,0)</f>
        <v>1</v>
      </c>
      <c r="Y178" s="32"/>
      <c r="Z178" s="32"/>
      <c r="AA178" s="32">
        <f>IF(AND(H178="",I178="",ReportType="Final"),1,0)</f>
        <v>0</v>
      </c>
      <c r="AB178" s="32"/>
      <c r="AC178" s="32"/>
      <c r="AD178" s="32"/>
      <c r="AE178" s="32"/>
      <c r="AF178" s="1995"/>
      <c r="AG178" s="1995"/>
      <c r="AH178" s="1995"/>
      <c r="AI178" s="1995"/>
      <c r="AJ178" s="1995"/>
      <c r="AK178" s="1995"/>
    </row>
    <row r="179" spans="1:37" s="1289" customFormat="1" ht="28.5" customHeight="1" thickBot="1">
      <c r="C179" s="2145" t="str">
        <f t="shared" ref="C179:C180" si="23">IF(G179&gt;0,"P","")</f>
        <v/>
      </c>
      <c r="D179" s="2146" t="s">
        <v>2796</v>
      </c>
      <c r="E179" s="2427" t="s">
        <v>2021</v>
      </c>
      <c r="F179" s="1294">
        <v>3</v>
      </c>
      <c r="G179" s="1299">
        <f>claim602.1.1.2</f>
        <v>0</v>
      </c>
      <c r="H179" s="2350"/>
      <c r="I179" s="2360"/>
      <c r="J179" s="1885"/>
      <c r="K179" s="4613">
        <f>note602.1.1.2</f>
        <v>0</v>
      </c>
      <c r="L179" s="4900"/>
      <c r="M179" s="2702" t="str">
        <f t="shared" si="17"/>
        <v/>
      </c>
      <c r="N179" s="2675"/>
      <c r="O179" s="2675"/>
      <c r="P179" s="2675"/>
      <c r="Q179" s="2675"/>
      <c r="R179" s="2675"/>
      <c r="S179" s="2675"/>
      <c r="T179" s="2675"/>
      <c r="U179" s="2675"/>
      <c r="V179" s="2675"/>
      <c r="W179" s="2678"/>
      <c r="X179" s="32">
        <f>IF(AND(H179&gt;0,I179&gt;0),1,0)</f>
        <v>0</v>
      </c>
      <c r="Y179" s="32"/>
      <c r="Z179" s="32"/>
      <c r="AA179" s="32"/>
      <c r="AB179" s="32"/>
      <c r="AC179" s="32"/>
      <c r="AD179" s="32"/>
      <c r="AE179" s="32"/>
      <c r="AF179" s="1995"/>
      <c r="AG179" s="1995"/>
      <c r="AH179" s="1995"/>
      <c r="AI179" s="1995"/>
      <c r="AJ179" s="1995"/>
      <c r="AK179" s="1995"/>
    </row>
    <row r="180" spans="1:37" s="1289" customFormat="1" ht="16.5" customHeight="1" thickTop="1">
      <c r="C180" s="2145" t="str">
        <f t="shared" si="23"/>
        <v/>
      </c>
      <c r="D180" s="2146" t="s">
        <v>2796</v>
      </c>
      <c r="E180" s="5224" t="s">
        <v>2022</v>
      </c>
      <c r="F180" s="5225">
        <v>4</v>
      </c>
      <c r="G180" s="5169">
        <f>claim602.1.2</f>
        <v>0</v>
      </c>
      <c r="H180" s="4971"/>
      <c r="I180" s="4973"/>
      <c r="J180" s="1983" t="str">
        <f>IF(SUM(H180:I180)&gt;0,"List type of enhanced waterproofing","")</f>
        <v/>
      </c>
      <c r="K180" s="4673">
        <f>note602.1.2</f>
        <v>0</v>
      </c>
      <c r="L180" s="5172"/>
      <c r="M180" s="2702" t="str">
        <f t="shared" si="17"/>
        <v/>
      </c>
      <c r="N180" s="2675"/>
      <c r="O180" s="2675"/>
      <c r="P180" s="2675"/>
      <c r="Q180" s="2675"/>
      <c r="R180" s="2675"/>
      <c r="S180" s="2675"/>
      <c r="T180" s="2675"/>
      <c r="U180" s="2675"/>
      <c r="V180" s="2675"/>
      <c r="W180" s="2678"/>
      <c r="X180" s="32">
        <f>IF(AND(H180&gt;0,I180&gt;0),1,0)</f>
        <v>0</v>
      </c>
      <c r="Y180" s="32">
        <f>IF(AND(J180&lt;&gt;"",J181=""),1,0)</f>
        <v>0</v>
      </c>
      <c r="Z180" s="32"/>
      <c r="AA180" s="32"/>
      <c r="AB180" s="32"/>
      <c r="AC180" s="32"/>
      <c r="AD180" s="32"/>
      <c r="AE180" s="32"/>
      <c r="AF180" s="1995"/>
      <c r="AG180" s="1995"/>
      <c r="AH180" s="1995"/>
      <c r="AI180" s="1995"/>
      <c r="AJ180" s="1995"/>
      <c r="AK180" s="1995"/>
    </row>
    <row r="181" spans="1:37" s="1289" customFormat="1" ht="26.25" customHeight="1" thickBot="1">
      <c r="C181" s="2145" t="str">
        <f>IF(G180&gt;0,"P","")</f>
        <v/>
      </c>
      <c r="D181" s="2146"/>
      <c r="E181" s="5171"/>
      <c r="F181" s="4970"/>
      <c r="G181" s="4967"/>
      <c r="H181" s="4972"/>
      <c r="I181" s="4974"/>
      <c r="J181" s="1877"/>
      <c r="K181" s="4623"/>
      <c r="L181" s="5167"/>
      <c r="M181" s="2702" t="str">
        <f t="shared" si="17"/>
        <v/>
      </c>
      <c r="N181" s="2675"/>
      <c r="O181" s="2675"/>
      <c r="P181" s="2675"/>
      <c r="Q181" s="2675"/>
      <c r="R181" s="2675"/>
      <c r="S181" s="2675"/>
      <c r="T181" s="2675"/>
      <c r="U181" s="2675"/>
      <c r="V181" s="2675"/>
      <c r="W181" s="2678"/>
      <c r="X181" s="32"/>
      <c r="Y181" s="32"/>
      <c r="Z181" s="32"/>
      <c r="AA181" s="32"/>
      <c r="AB181" s="32"/>
      <c r="AC181" s="32"/>
      <c r="AD181" s="32"/>
      <c r="AE181" s="32"/>
      <c r="AF181" s="1995"/>
      <c r="AG181" s="1995"/>
      <c r="AH181" s="1995"/>
      <c r="AI181" s="1995"/>
      <c r="AJ181" s="1995"/>
      <c r="AK181" s="1995"/>
    </row>
    <row r="182" spans="1:37" s="1289" customFormat="1" ht="17" thickTop="1">
      <c r="C182" s="2145"/>
      <c r="D182" s="2146" t="s">
        <v>2796</v>
      </c>
      <c r="E182" s="5354" t="s">
        <v>2023</v>
      </c>
      <c r="F182" s="5355"/>
      <c r="G182" s="5355"/>
      <c r="H182" s="5355"/>
      <c r="I182" s="5356"/>
      <c r="J182" s="1993" t="str">
        <f>IF(OR(H183="NA",I183="NA"),"Explain NA",IF(OR(I183="",I183="No below grade space"),"","Explain verification at final"))</f>
        <v/>
      </c>
      <c r="K182" s="4675"/>
      <c r="L182" s="5345"/>
      <c r="M182" s="2702" t="str">
        <f t="shared" si="17"/>
        <v/>
      </c>
      <c r="N182" s="2675"/>
      <c r="O182" s="2675"/>
      <c r="P182" s="2675"/>
      <c r="Q182" s="2675"/>
      <c r="R182" s="2675"/>
      <c r="S182" s="2675"/>
      <c r="T182" s="2675"/>
      <c r="U182" s="2675"/>
      <c r="V182" s="2675"/>
      <c r="W182" s="2678"/>
      <c r="X182" s="32"/>
      <c r="Y182" s="32">
        <f>IF(AND(J182&lt;&gt;"",J183=""),1,0)</f>
        <v>0</v>
      </c>
      <c r="Z182" s="32"/>
      <c r="AA182" s="32"/>
      <c r="AB182" s="32"/>
      <c r="AC182" s="32"/>
      <c r="AD182" s="32"/>
      <c r="AE182" s="32"/>
      <c r="AF182" s="1995"/>
      <c r="AG182" s="1995"/>
      <c r="AH182" s="1995"/>
      <c r="AI182" s="1995"/>
      <c r="AJ182" s="1995"/>
      <c r="AK182" s="1995"/>
    </row>
    <row r="183" spans="1:37" s="1289" customFormat="1" ht="30" customHeight="1">
      <c r="A183" s="1289" t="str">
        <f>'Ch6'!A55</f>
        <v/>
      </c>
      <c r="B183" s="1289" t="str">
        <f>'Ch6'!B55</f>
        <v/>
      </c>
      <c r="C183" s="2145" t="s">
        <v>2800</v>
      </c>
      <c r="D183" s="2146" t="s">
        <v>2796</v>
      </c>
      <c r="E183" s="2428" t="s">
        <v>2024</v>
      </c>
      <c r="F183" s="2016" t="s">
        <v>3</v>
      </c>
      <c r="G183" s="1296">
        <f>claim602.1.3.1</f>
        <v>0</v>
      </c>
      <c r="H183" s="2150"/>
      <c r="I183" s="2086"/>
      <c r="J183" s="1877"/>
      <c r="K183" s="4629">
        <f>note602.1.3.1</f>
        <v>0</v>
      </c>
      <c r="L183" s="5156"/>
      <c r="M183" s="2702" t="str">
        <f t="shared" si="17"/>
        <v>!</v>
      </c>
      <c r="N183" s="2675"/>
      <c r="O183" s="2675"/>
      <c r="P183" s="2675"/>
      <c r="Q183" s="2675"/>
      <c r="R183" s="2675"/>
      <c r="S183" s="2675"/>
      <c r="T183" s="2675"/>
      <c r="U183" s="2675"/>
      <c r="V183" s="2675"/>
      <c r="W183" s="2678"/>
      <c r="X183" s="32"/>
      <c r="Y183" s="32"/>
      <c r="Z183" s="32">
        <f>IF(H183="",1,0)</f>
        <v>1</v>
      </c>
      <c r="AA183" s="32">
        <f>IF(AND(H183="",I183="",ReportType="Final"),1,0)</f>
        <v>0</v>
      </c>
      <c r="AB183" s="32"/>
      <c r="AC183" s="32"/>
      <c r="AD183" s="32"/>
      <c r="AE183" s="32"/>
      <c r="AF183" s="1995"/>
      <c r="AG183" s="1995"/>
      <c r="AH183" s="1995"/>
      <c r="AI183" s="1995"/>
      <c r="AJ183" s="1995"/>
      <c r="AK183" s="1995"/>
    </row>
    <row r="184" spans="1:37" s="1289" customFormat="1" ht="28.5" customHeight="1" thickBot="1">
      <c r="C184" s="2145" t="str">
        <f t="shared" ref="C184" si="24">IF(G184&gt;0,"P","")</f>
        <v/>
      </c>
      <c r="D184" s="2146" t="s">
        <v>2796</v>
      </c>
      <c r="E184" s="2429" t="s">
        <v>2025</v>
      </c>
      <c r="F184" s="1294">
        <v>4</v>
      </c>
      <c r="G184" s="1299">
        <f>claim602.1.3.2</f>
        <v>0</v>
      </c>
      <c r="H184" s="2381"/>
      <c r="I184" s="2387"/>
      <c r="J184" s="1885"/>
      <c r="K184" s="4613">
        <f>note602.1.3.2</f>
        <v>0</v>
      </c>
      <c r="L184" s="4900"/>
      <c r="M184" s="2702" t="str">
        <f t="shared" si="17"/>
        <v/>
      </c>
      <c r="N184" s="2675"/>
      <c r="O184" s="2675"/>
      <c r="P184" s="2675"/>
      <c r="Q184" s="2675"/>
      <c r="R184" s="2675"/>
      <c r="S184" s="2675"/>
      <c r="T184" s="2675"/>
      <c r="U184" s="2675"/>
      <c r="V184" s="2675"/>
      <c r="W184" s="2678"/>
      <c r="X184" s="32">
        <f>IF(AND(H184&gt;0,I184&gt;0),1,0)</f>
        <v>0</v>
      </c>
      <c r="Y184" s="32"/>
      <c r="Z184" s="32"/>
      <c r="AA184" s="32"/>
      <c r="AB184" s="32"/>
      <c r="AC184" s="32"/>
      <c r="AD184" s="32"/>
      <c r="AE184" s="32"/>
      <c r="AF184" s="1995"/>
      <c r="AG184" s="1995"/>
      <c r="AH184" s="1995"/>
      <c r="AI184" s="1995"/>
      <c r="AJ184" s="1995"/>
      <c r="AK184" s="1995"/>
    </row>
    <row r="185" spans="1:37" s="1289" customFormat="1" ht="16" thickTop="1">
      <c r="C185" s="2145"/>
      <c r="D185" s="2146" t="s">
        <v>2795</v>
      </c>
      <c r="E185" s="5354" t="s">
        <v>2026</v>
      </c>
      <c r="F185" s="5355"/>
      <c r="G185" s="5355"/>
      <c r="H185" s="5355"/>
      <c r="I185" s="5356"/>
      <c r="J185" s="1839"/>
      <c r="K185" s="4615"/>
      <c r="L185" s="5157"/>
      <c r="M185" s="2702" t="str">
        <f t="shared" si="17"/>
        <v/>
      </c>
      <c r="N185" s="2675"/>
      <c r="O185" s="2675"/>
      <c r="P185" s="2675"/>
      <c r="Q185" s="2675"/>
      <c r="R185" s="2675"/>
      <c r="S185" s="2675"/>
      <c r="T185" s="2675"/>
      <c r="U185" s="2675"/>
      <c r="V185" s="2675"/>
      <c r="W185" s="2678"/>
      <c r="X185" s="32"/>
      <c r="Y185" s="32"/>
      <c r="Z185" s="32"/>
      <c r="AA185" s="32"/>
      <c r="AB185" s="32"/>
      <c r="AC185" s="32"/>
      <c r="AD185" s="32"/>
      <c r="AE185" s="32"/>
      <c r="AF185" s="1995"/>
      <c r="AG185" s="1995"/>
      <c r="AH185" s="1995"/>
      <c r="AI185" s="1995"/>
      <c r="AJ185" s="1995"/>
      <c r="AK185" s="1995"/>
    </row>
    <row r="186" spans="1:37" s="1289" customFormat="1" ht="27.75" customHeight="1">
      <c r="C186" s="2145" t="s">
        <v>2800</v>
      </c>
      <c r="D186" s="2146" t="s">
        <v>2795</v>
      </c>
      <c r="E186" s="5351" t="s">
        <v>2027</v>
      </c>
      <c r="F186" s="5352"/>
      <c r="G186" s="5352"/>
      <c r="H186" s="5352"/>
      <c r="I186" s="5353"/>
      <c r="J186" s="1840"/>
      <c r="K186" s="4640"/>
      <c r="L186" s="5241"/>
      <c r="M186" s="2702" t="str">
        <f t="shared" si="17"/>
        <v/>
      </c>
      <c r="N186" s="2675"/>
      <c r="O186" s="2675"/>
      <c r="P186" s="2675"/>
      <c r="Q186" s="2675"/>
      <c r="R186" s="2675"/>
      <c r="S186" s="2675"/>
      <c r="T186" s="2675"/>
      <c r="U186" s="2675"/>
      <c r="V186" s="2675"/>
      <c r="W186" s="2678"/>
      <c r="X186" s="32"/>
      <c r="Y186" s="32"/>
      <c r="Z186" s="32"/>
      <c r="AA186" s="32"/>
      <c r="AB186" s="32"/>
      <c r="AC186" s="32"/>
      <c r="AD186" s="32"/>
      <c r="AE186" s="32"/>
      <c r="AF186" s="1995"/>
      <c r="AG186" s="1995"/>
      <c r="AH186" s="1995"/>
      <c r="AI186" s="1995"/>
      <c r="AJ186" s="1995"/>
      <c r="AK186" s="1995"/>
    </row>
    <row r="187" spans="1:37" s="1289" customFormat="1" ht="30">
      <c r="C187" s="2145" t="str">
        <f t="shared" ref="C187" si="25">IF(G187&gt;0,"P","")</f>
        <v/>
      </c>
      <c r="D187" s="2146" t="s">
        <v>2795</v>
      </c>
      <c r="E187" s="2428" t="s">
        <v>2028</v>
      </c>
      <c r="F187" s="1293">
        <v>6</v>
      </c>
      <c r="G187" s="1296">
        <f>claim602.1.4.1</f>
        <v>0</v>
      </c>
      <c r="H187" s="2381"/>
      <c r="I187" s="2387"/>
      <c r="J187" s="1886"/>
      <c r="K187" s="4629">
        <f>note602.1.4.1_1</f>
        <v>0</v>
      </c>
      <c r="L187" s="5156"/>
      <c r="M187" s="2702" t="str">
        <f t="shared" si="17"/>
        <v/>
      </c>
      <c r="N187" s="2675"/>
      <c r="O187" s="2675"/>
      <c r="P187" s="2675"/>
      <c r="Q187" s="2675"/>
      <c r="R187" s="2675"/>
      <c r="S187" s="2675"/>
      <c r="T187" s="2675"/>
      <c r="U187" s="2675"/>
      <c r="V187" s="2675"/>
      <c r="W187" s="2678"/>
      <c r="X187" s="32">
        <f>IF(AND(H187&gt;0,I187&gt;0),1,0)</f>
        <v>0</v>
      </c>
      <c r="Y187" s="32"/>
      <c r="Z187" s="32"/>
      <c r="AA187" s="32"/>
      <c r="AB187" s="32"/>
      <c r="AC187" s="32"/>
      <c r="AD187" s="32"/>
      <c r="AE187" s="32"/>
      <c r="AF187" s="1995"/>
      <c r="AG187" s="1995"/>
      <c r="AH187" s="1995"/>
      <c r="AI187" s="1995"/>
      <c r="AJ187" s="1995"/>
      <c r="AK187" s="1995"/>
    </row>
    <row r="188" spans="1:37" s="1289" customFormat="1" ht="16">
      <c r="C188" s="2145" t="s">
        <v>2800</v>
      </c>
      <c r="D188" s="2146" t="s">
        <v>2795</v>
      </c>
      <c r="E188" s="5170" t="s">
        <v>2029</v>
      </c>
      <c r="F188" s="4964" t="s">
        <v>2659</v>
      </c>
      <c r="G188" s="4966">
        <f>IF(B189&lt;&gt;"x",claim602.1.4.1_2,"No crawlspace")</f>
        <v>0</v>
      </c>
      <c r="H188" s="5158"/>
      <c r="I188" s="5431"/>
      <c r="J188" s="1993" t="str">
        <f>IF(I188="Met","Explain verification at final","")</f>
        <v/>
      </c>
      <c r="K188" s="2331"/>
      <c r="L188" s="2430"/>
      <c r="M188" s="2702" t="str">
        <f t="shared" si="17"/>
        <v/>
      </c>
      <c r="N188" s="2675"/>
      <c r="O188" s="2675"/>
      <c r="P188" s="2675"/>
      <c r="Q188" s="2675"/>
      <c r="R188" s="2675"/>
      <c r="S188" s="2675"/>
      <c r="T188" s="2675"/>
      <c r="U188" s="2675"/>
      <c r="V188" s="2675"/>
      <c r="W188" s="2678"/>
      <c r="X188" s="32"/>
      <c r="Y188" s="32">
        <f>IF(AND(J188&lt;&gt;"",J189=""),1,0)</f>
        <v>0</v>
      </c>
      <c r="Z188" s="32"/>
      <c r="AA188" s="32">
        <f>IF(AND(ar602.1.4.1_2="",af602.1.4.1_2=""),1,"")</f>
        <v>1</v>
      </c>
      <c r="AB188" s="32"/>
      <c r="AC188" s="32"/>
      <c r="AD188" s="32"/>
      <c r="AE188" s="32"/>
      <c r="AF188" s="1995"/>
      <c r="AG188" s="1995"/>
      <c r="AH188" s="1995"/>
      <c r="AI188" s="1995"/>
      <c r="AJ188" s="1995"/>
      <c r="AK188" s="1995"/>
    </row>
    <row r="189" spans="1:37" s="1289" customFormat="1" ht="36" customHeight="1" thickBot="1">
      <c r="B189" s="1289" t="str">
        <f>'Ch6'!B60</f>
        <v/>
      </c>
      <c r="C189" s="2145" t="s">
        <v>2800</v>
      </c>
      <c r="D189" s="2146" t="s">
        <v>2795</v>
      </c>
      <c r="E189" s="5171"/>
      <c r="F189" s="4965"/>
      <c r="G189" s="4967"/>
      <c r="H189" s="5159"/>
      <c r="I189" s="5432"/>
      <c r="J189" s="1885"/>
      <c r="K189" s="4613">
        <f>note602.1.4.1_2</f>
        <v>0</v>
      </c>
      <c r="L189" s="4900"/>
      <c r="M189" s="2702" t="str">
        <f t="shared" si="17"/>
        <v/>
      </c>
      <c r="N189" s="2675"/>
      <c r="O189" s="2675"/>
      <c r="P189" s="2675"/>
      <c r="Q189" s="2675"/>
      <c r="R189" s="2675"/>
      <c r="S189" s="2675"/>
      <c r="T189" s="2675"/>
      <c r="U189" s="2675"/>
      <c r="V189" s="2675"/>
      <c r="W189" s="2678"/>
      <c r="X189" s="32"/>
      <c r="Y189" s="32"/>
      <c r="Z189" s="32"/>
      <c r="AA189" s="32"/>
      <c r="AB189" s="32"/>
      <c r="AC189" s="32"/>
      <c r="AD189" s="32"/>
      <c r="AE189" s="32"/>
      <c r="AF189" s="1995"/>
      <c r="AG189" s="1995"/>
      <c r="AH189" s="1995"/>
      <c r="AI189" s="1995"/>
      <c r="AJ189" s="1995"/>
      <c r="AK189" s="1995"/>
    </row>
    <row r="190" spans="1:37" s="1289" customFormat="1" ht="27.75" customHeight="1" thickTop="1">
      <c r="C190" s="2145" t="s">
        <v>2800</v>
      </c>
      <c r="D190" s="2146" t="s">
        <v>2795</v>
      </c>
      <c r="E190" s="5428" t="s">
        <v>2692</v>
      </c>
      <c r="F190" s="5429"/>
      <c r="G190" s="5429"/>
      <c r="H190" s="5429"/>
      <c r="I190" s="5430"/>
      <c r="J190" s="1839"/>
      <c r="K190" s="4615"/>
      <c r="L190" s="5157"/>
      <c r="M190" s="2702" t="str">
        <f t="shared" si="17"/>
        <v/>
      </c>
      <c r="N190" s="2675"/>
      <c r="O190" s="2675"/>
      <c r="P190" s="2675"/>
      <c r="Q190" s="2675"/>
      <c r="R190" s="2675"/>
      <c r="S190" s="2675"/>
      <c r="T190" s="2675"/>
      <c r="U190" s="2675"/>
      <c r="V190" s="2675"/>
      <c r="W190" s="2678"/>
      <c r="X190" s="32"/>
      <c r="Y190" s="32"/>
      <c r="Z190" s="32"/>
      <c r="AA190" s="32"/>
      <c r="AB190" s="32"/>
      <c r="AC190" s="32"/>
      <c r="AD190" s="32"/>
      <c r="AE190" s="32"/>
      <c r="AF190" s="1995"/>
      <c r="AG190" s="1995"/>
      <c r="AH190" s="1995"/>
      <c r="AI190" s="1995"/>
      <c r="AJ190" s="1995"/>
      <c r="AK190" s="1995"/>
    </row>
    <row r="191" spans="1:37" s="1289" customFormat="1" ht="41.25" customHeight="1">
      <c r="C191" s="2145" t="str">
        <f t="shared" ref="C191" si="26">IF(G191&gt;0,"P","")</f>
        <v/>
      </c>
      <c r="D191" s="2146" t="s">
        <v>2795</v>
      </c>
      <c r="E191" s="2431" t="s">
        <v>2031</v>
      </c>
      <c r="F191" s="1293">
        <v>8</v>
      </c>
      <c r="G191" s="1296">
        <f>claim602.1.4.2_1</f>
        <v>0</v>
      </c>
      <c r="H191" s="2381"/>
      <c r="I191" s="2387"/>
      <c r="J191" s="1886"/>
      <c r="K191" s="4629">
        <f>note602.1.4.2_1</f>
        <v>0</v>
      </c>
      <c r="L191" s="5156"/>
      <c r="M191" s="2702" t="str">
        <f t="shared" si="17"/>
        <v/>
      </c>
      <c r="N191" s="2675"/>
      <c r="O191" s="2675"/>
      <c r="P191" s="2675"/>
      <c r="Q191" s="2675"/>
      <c r="R191" s="2675"/>
      <c r="S191" s="2675"/>
      <c r="T191" s="2675"/>
      <c r="U191" s="2675"/>
      <c r="V191" s="2675"/>
      <c r="W191" s="2678"/>
      <c r="X191" s="32">
        <f>IF(AND(H191&gt;0,I191&gt;0),1,0)</f>
        <v>0</v>
      </c>
      <c r="Y191" s="32"/>
      <c r="Z191" s="32"/>
      <c r="AA191" s="32"/>
      <c r="AB191" s="32">
        <f>IF(AND($H$192="No conditioned crawl",$H$191&gt;0),1,0)</f>
        <v>0</v>
      </c>
      <c r="AC191" s="32">
        <f>IF(AND($H$192="No conditioned crawl",$I$191&gt;0),1,0)</f>
        <v>0</v>
      </c>
      <c r="AD191" s="32"/>
      <c r="AE191" s="32"/>
      <c r="AF191" s="1995"/>
      <c r="AG191" s="1995"/>
      <c r="AH191" s="1995"/>
      <c r="AI191" s="1995"/>
      <c r="AJ191" s="1995"/>
      <c r="AK191" s="1995"/>
    </row>
    <row r="192" spans="1:37" s="1289" customFormat="1" ht="55.5" customHeight="1" thickBot="1">
      <c r="B192" s="1289" t="str">
        <f>'Ch6'!B64</f>
        <v/>
      </c>
      <c r="C192" s="2145" t="s">
        <v>2800</v>
      </c>
      <c r="D192" s="2146" t="s">
        <v>2795</v>
      </c>
      <c r="E192" s="2432" t="s">
        <v>2032</v>
      </c>
      <c r="F192" s="2017" t="s">
        <v>2684</v>
      </c>
      <c r="G192" s="2084">
        <f>IF(B192="x","No crawlspace",claim602.1.4.2_2)</f>
        <v>0</v>
      </c>
      <c r="H192" s="5433"/>
      <c r="I192" s="5434"/>
      <c r="J192" s="1885"/>
      <c r="K192" s="4613">
        <f>note602.1.4.2_2</f>
        <v>0</v>
      </c>
      <c r="L192" s="4900"/>
      <c r="M192" s="2702" t="str">
        <f t="shared" si="17"/>
        <v/>
      </c>
      <c r="N192" s="2675"/>
      <c r="O192" s="2675"/>
      <c r="P192" s="2675"/>
      <c r="Q192" s="2675"/>
      <c r="R192" s="2675"/>
      <c r="S192" s="2675"/>
      <c r="T192" s="2675"/>
      <c r="U192" s="2675"/>
      <c r="V192" s="2675"/>
      <c r="W192" s="2678"/>
      <c r="X192" s="32"/>
      <c r="Y192" s="32"/>
      <c r="Z192" s="32"/>
      <c r="AA192" s="32">
        <f>IF(AND(H192="",ReportType="Final"),1,0)</f>
        <v>0</v>
      </c>
      <c r="AB192" s="32"/>
      <c r="AC192" s="32"/>
      <c r="AD192" s="32"/>
      <c r="AE192" s="32"/>
      <c r="AF192" s="1995"/>
      <c r="AG192" s="1995"/>
      <c r="AH192" s="1995"/>
      <c r="AI192" s="1995"/>
      <c r="AJ192" s="1995"/>
      <c r="AK192" s="1995"/>
    </row>
    <row r="193" spans="3:37" s="1289" customFormat="1" ht="43.5" customHeight="1" thickTop="1" thickBot="1">
      <c r="C193" s="2145" t="str">
        <f t="shared" ref="C193" si="27">IF(G193&gt;0,"P","")</f>
        <v/>
      </c>
      <c r="D193" s="2146" t="s">
        <v>2796</v>
      </c>
      <c r="E193" s="2433" t="s">
        <v>2033</v>
      </c>
      <c r="F193" s="1302">
        <v>4</v>
      </c>
      <c r="G193" s="1303">
        <f>claim602.1.5</f>
        <v>0</v>
      </c>
      <c r="H193" s="2381"/>
      <c r="I193" s="2387"/>
      <c r="J193" s="1887"/>
      <c r="K193" s="4617">
        <f>note602.1.5</f>
        <v>0</v>
      </c>
      <c r="L193" s="4975"/>
      <c r="M193" s="2702" t="str">
        <f t="shared" si="17"/>
        <v/>
      </c>
      <c r="N193" s="2675"/>
      <c r="O193" s="2675"/>
      <c r="P193" s="2675"/>
      <c r="Q193" s="2675"/>
      <c r="R193" s="2675"/>
      <c r="S193" s="2675"/>
      <c r="T193" s="2675"/>
      <c r="U193" s="2675"/>
      <c r="V193" s="2675"/>
      <c r="W193" s="2678"/>
      <c r="X193" s="32">
        <f>IF(AND(H193&gt;0,I193&gt;0),1,0)</f>
        <v>0</v>
      </c>
      <c r="Y193" s="32"/>
      <c r="Z193" s="32"/>
      <c r="AA193" s="32"/>
      <c r="AB193" s="32"/>
      <c r="AC193" s="32"/>
      <c r="AD193" s="32"/>
      <c r="AE193" s="32"/>
      <c r="AF193" s="1995"/>
      <c r="AG193" s="1995"/>
      <c r="AH193" s="1995"/>
      <c r="AI193" s="1995"/>
      <c r="AJ193" s="1995"/>
      <c r="AK193" s="1995"/>
    </row>
    <row r="194" spans="3:37" s="1289" customFormat="1" ht="16" thickTop="1">
      <c r="C194" s="2145" t="str">
        <f>IF(SUM(G195:G197)&gt;0,"P","")</f>
        <v/>
      </c>
      <c r="D194" s="2146" t="s">
        <v>2796</v>
      </c>
      <c r="E194" s="5435" t="s">
        <v>2034</v>
      </c>
      <c r="F194" s="5436"/>
      <c r="G194" s="5436"/>
      <c r="H194" s="5436"/>
      <c r="I194" s="5437"/>
      <c r="J194" s="1839"/>
      <c r="K194" s="4615"/>
      <c r="L194" s="5157"/>
      <c r="M194" s="2702" t="str">
        <f t="shared" si="17"/>
        <v/>
      </c>
      <c r="N194" s="2675"/>
      <c r="O194" s="2675"/>
      <c r="P194" s="2675"/>
      <c r="Q194" s="2675"/>
      <c r="R194" s="2675"/>
      <c r="S194" s="2675"/>
      <c r="T194" s="2675"/>
      <c r="U194" s="2675"/>
      <c r="V194" s="2675"/>
      <c r="W194" s="2678"/>
      <c r="X194" s="32"/>
      <c r="Y194" s="32"/>
      <c r="Z194" s="32"/>
      <c r="AA194" s="32"/>
      <c r="AB194" s="32"/>
      <c r="AC194" s="32"/>
      <c r="AD194" s="32"/>
      <c r="AE194" s="32"/>
      <c r="AF194" s="1995"/>
      <c r="AG194" s="1995"/>
      <c r="AH194" s="1995"/>
      <c r="AI194" s="1995"/>
      <c r="AJ194" s="1995"/>
      <c r="AK194" s="1995"/>
    </row>
    <row r="195" spans="3:37" s="1289" customFormat="1">
      <c r="C195" s="2145" t="str">
        <f t="shared" ref="C195:C199" si="28">IF(G195&gt;0,"P","")</f>
        <v/>
      </c>
      <c r="D195" s="2146" t="s">
        <v>2796</v>
      </c>
      <c r="E195" s="2434" t="s">
        <v>2035</v>
      </c>
      <c r="F195" s="1293">
        <v>2</v>
      </c>
      <c r="G195" s="1296">
        <f>IF(claim602.1.6=F195,claim602.1.6,0)</f>
        <v>0</v>
      </c>
      <c r="H195" s="4957"/>
      <c r="I195" s="4931"/>
      <c r="J195" s="5226"/>
      <c r="K195" s="4619">
        <f>note602.1.6</f>
        <v>0</v>
      </c>
      <c r="L195" s="5165"/>
      <c r="M195" s="2702" t="str">
        <f t="shared" si="17"/>
        <v/>
      </c>
      <c r="N195" s="2675"/>
      <c r="O195" s="2675"/>
      <c r="P195" s="2675"/>
      <c r="Q195" s="2675"/>
      <c r="R195" s="2675"/>
      <c r="S195" s="2675"/>
      <c r="T195" s="2675"/>
      <c r="U195" s="2675"/>
      <c r="V195" s="2675"/>
      <c r="W195" s="2678"/>
      <c r="X195" s="32">
        <f>IF(AND(H195&gt;0,I195&gt;0),1,0)</f>
        <v>0</v>
      </c>
      <c r="Y195" s="32"/>
      <c r="Z195" s="32"/>
      <c r="AA195" s="32"/>
      <c r="AB195" s="32"/>
      <c r="AC195" s="32"/>
      <c r="AD195" s="32"/>
      <c r="AE195" s="32"/>
      <c r="AF195" s="1995"/>
      <c r="AG195" s="1995"/>
      <c r="AH195" s="1995"/>
      <c r="AI195" s="1995"/>
      <c r="AJ195" s="1995"/>
      <c r="AK195" s="1995"/>
    </row>
    <row r="196" spans="3:37" s="1289" customFormat="1">
      <c r="C196" s="2145" t="str">
        <f t="shared" si="28"/>
        <v/>
      </c>
      <c r="D196" s="2146" t="s">
        <v>2796</v>
      </c>
      <c r="E196" s="2434" t="s">
        <v>2036</v>
      </c>
      <c r="F196" s="1293">
        <v>4</v>
      </c>
      <c r="G196" s="1296">
        <f>IF(claim602.1.6=F196,claim602.1.6,0)</f>
        <v>0</v>
      </c>
      <c r="H196" s="4958"/>
      <c r="I196" s="5032"/>
      <c r="J196" s="5227"/>
      <c r="K196" s="4621"/>
      <c r="L196" s="5166"/>
      <c r="M196" s="2702" t="str">
        <f t="shared" si="17"/>
        <v/>
      </c>
      <c r="N196" s="2675"/>
      <c r="O196" s="2675"/>
      <c r="P196" s="2675"/>
      <c r="Q196" s="2675"/>
      <c r="R196" s="2675"/>
      <c r="S196" s="2675"/>
      <c r="T196" s="2675"/>
      <c r="U196" s="2675"/>
      <c r="V196" s="2675"/>
      <c r="W196" s="2678"/>
      <c r="X196" s="32"/>
      <c r="Y196" s="32"/>
      <c r="Z196" s="32"/>
      <c r="AA196" s="32"/>
      <c r="AB196" s="32"/>
      <c r="AC196" s="32"/>
      <c r="AD196" s="32"/>
      <c r="AE196" s="32"/>
      <c r="AF196" s="1995"/>
      <c r="AG196" s="1995"/>
      <c r="AH196" s="1995"/>
      <c r="AI196" s="1995"/>
      <c r="AJ196" s="1995"/>
      <c r="AK196" s="1995"/>
    </row>
    <row r="197" spans="3:37" s="1289" customFormat="1" ht="16" thickBot="1">
      <c r="C197" s="2145" t="str">
        <f t="shared" si="28"/>
        <v/>
      </c>
      <c r="D197" s="2146" t="s">
        <v>2796</v>
      </c>
      <c r="E197" s="2435" t="s">
        <v>2037</v>
      </c>
      <c r="F197" s="1294">
        <v>6</v>
      </c>
      <c r="G197" s="1299">
        <f>IF(claim602.1.6=F197,claim602.1.6,0)</f>
        <v>0</v>
      </c>
      <c r="H197" s="4959"/>
      <c r="I197" s="5033"/>
      <c r="J197" s="5228"/>
      <c r="K197" s="4623"/>
      <c r="L197" s="5167"/>
      <c r="M197" s="2702" t="str">
        <f t="shared" si="17"/>
        <v/>
      </c>
      <c r="N197" s="2675"/>
      <c r="O197" s="2675"/>
      <c r="P197" s="2675"/>
      <c r="Q197" s="2675"/>
      <c r="R197" s="2675"/>
      <c r="S197" s="2675"/>
      <c r="T197" s="2675"/>
      <c r="U197" s="2675"/>
      <c r="V197" s="2675"/>
      <c r="W197" s="2678"/>
      <c r="X197" s="32"/>
      <c r="Y197" s="32"/>
      <c r="Z197" s="32"/>
      <c r="AA197" s="32"/>
      <c r="AB197" s="32"/>
      <c r="AC197" s="32"/>
      <c r="AD197" s="32"/>
      <c r="AE197" s="32"/>
      <c r="AF197" s="1995"/>
      <c r="AG197" s="1995"/>
      <c r="AH197" s="1995"/>
      <c r="AI197" s="1995"/>
      <c r="AJ197" s="1995"/>
      <c r="AK197" s="1995"/>
    </row>
    <row r="198" spans="3:37" s="1289" customFormat="1" ht="16" thickTop="1">
      <c r="C198" s="2145"/>
      <c r="D198" s="2146"/>
      <c r="E198" s="5153" t="s">
        <v>2038</v>
      </c>
      <c r="F198" s="5154"/>
      <c r="G198" s="5154"/>
      <c r="H198" s="5154"/>
      <c r="I198" s="5155"/>
      <c r="J198" s="1839"/>
      <c r="K198" s="4615"/>
      <c r="L198" s="5157"/>
      <c r="M198" s="2702" t="str">
        <f t="shared" si="17"/>
        <v/>
      </c>
      <c r="N198" s="2675"/>
      <c r="O198" s="2675"/>
      <c r="P198" s="2675"/>
      <c r="Q198" s="2675"/>
      <c r="R198" s="2675"/>
      <c r="S198" s="2675"/>
      <c r="T198" s="2675"/>
      <c r="U198" s="2675"/>
      <c r="V198" s="2675"/>
      <c r="W198" s="2678"/>
      <c r="X198" s="32"/>
      <c r="Y198" s="32"/>
      <c r="Z198" s="32"/>
      <c r="AA198" s="32"/>
      <c r="AB198" s="32"/>
      <c r="AC198" s="32"/>
      <c r="AD198" s="32"/>
      <c r="AE198" s="32"/>
      <c r="AF198" s="1995"/>
      <c r="AG198" s="1995"/>
      <c r="AH198" s="1995"/>
      <c r="AI198" s="1995"/>
      <c r="AJ198" s="1995"/>
      <c r="AK198" s="1995"/>
    </row>
    <row r="199" spans="3:37" s="1289" customFormat="1" ht="15.75" customHeight="1">
      <c r="C199" s="2145" t="str">
        <f t="shared" si="28"/>
        <v/>
      </c>
      <c r="D199" s="2146" t="s">
        <v>2796</v>
      </c>
      <c r="E199" s="5160" t="s">
        <v>2040</v>
      </c>
      <c r="F199" s="4969">
        <v>2</v>
      </c>
      <c r="G199" s="5163">
        <f>claim602.1.7.1_1</f>
        <v>0</v>
      </c>
      <c r="H199" s="4957"/>
      <c r="I199" s="4931"/>
      <c r="J199" s="2006" t="str">
        <f>IF(I199&gt;0,"Explain verification at final","")</f>
        <v/>
      </c>
      <c r="K199" s="4619">
        <f>note602.1.7.1_1</f>
        <v>0</v>
      </c>
      <c r="L199" s="5165"/>
      <c r="M199" s="2702" t="str">
        <f t="shared" si="17"/>
        <v/>
      </c>
      <c r="N199" s="2675"/>
      <c r="O199" s="2675"/>
      <c r="P199" s="2675"/>
      <c r="Q199" s="2675"/>
      <c r="R199" s="2675"/>
      <c r="S199" s="2675"/>
      <c r="T199" s="2675"/>
      <c r="U199" s="2675"/>
      <c r="V199" s="2675"/>
      <c r="W199" s="2678"/>
      <c r="X199" s="32">
        <f>IF(AND(H199&gt;0,I199&gt;0),1,0)</f>
        <v>0</v>
      </c>
      <c r="Y199" s="32">
        <f>IF(AND(J199&lt;&gt;"",J200=""),1,0)</f>
        <v>0</v>
      </c>
      <c r="Z199" s="32"/>
      <c r="AA199" s="32"/>
      <c r="AB199" s="32"/>
      <c r="AC199" s="32"/>
      <c r="AD199" s="32"/>
      <c r="AE199" s="32"/>
      <c r="AF199" s="1995"/>
      <c r="AG199" s="1995"/>
      <c r="AH199" s="1995"/>
      <c r="AI199" s="1995"/>
      <c r="AJ199" s="1995"/>
      <c r="AK199" s="1995"/>
    </row>
    <row r="200" spans="3:37" s="1289" customFormat="1">
      <c r="C200" s="2145" t="str">
        <f>IF(G199&gt;0,"P","")</f>
        <v/>
      </c>
      <c r="D200" s="2146" t="s">
        <v>2796</v>
      </c>
      <c r="E200" s="5161"/>
      <c r="F200" s="5162"/>
      <c r="G200" s="5164"/>
      <c r="H200" s="4981"/>
      <c r="I200" s="4932"/>
      <c r="J200" s="1877"/>
      <c r="K200" s="4638"/>
      <c r="L200" s="5168"/>
      <c r="M200" s="2702" t="str">
        <f t="shared" si="17"/>
        <v/>
      </c>
      <c r="N200" s="2675"/>
      <c r="O200" s="2675"/>
      <c r="P200" s="2675"/>
      <c r="Q200" s="2675"/>
      <c r="R200" s="2675"/>
      <c r="S200" s="2675"/>
      <c r="T200" s="2675"/>
      <c r="U200" s="2675"/>
      <c r="V200" s="2675"/>
      <c r="W200" s="2678"/>
      <c r="X200" s="32"/>
      <c r="Y200" s="32"/>
      <c r="Z200" s="32"/>
      <c r="AA200" s="32"/>
      <c r="AB200" s="32"/>
      <c r="AC200" s="32"/>
      <c r="AD200" s="32"/>
      <c r="AE200" s="32"/>
      <c r="AF200" s="1995"/>
      <c r="AG200" s="1995"/>
      <c r="AH200" s="1995"/>
      <c r="AI200" s="1995"/>
      <c r="AJ200" s="1995"/>
      <c r="AK200" s="1995"/>
    </row>
    <row r="201" spans="3:37" s="1289" customFormat="1">
      <c r="C201" s="2145" t="s">
        <v>2800</v>
      </c>
      <c r="D201" s="2146" t="s">
        <v>2796</v>
      </c>
      <c r="E201" s="5160" t="s">
        <v>2041</v>
      </c>
      <c r="F201" s="5176" t="s">
        <v>2043</v>
      </c>
      <c r="G201" s="1838">
        <f>choice602.1.7.1_2</f>
        <v>0</v>
      </c>
      <c r="H201" s="4957"/>
      <c r="I201" s="5180"/>
      <c r="J201" s="2005" t="str">
        <f>IF(OR(H201="NA",I201="NA"),"Explain NA:","")</f>
        <v/>
      </c>
      <c r="K201" s="4619">
        <f>note602.1.7.1_2</f>
        <v>0</v>
      </c>
      <c r="L201" s="5165"/>
      <c r="M201" s="2702" t="str">
        <f t="shared" si="17"/>
        <v>!</v>
      </c>
      <c r="N201" s="2675"/>
      <c r="O201" s="2675"/>
      <c r="P201" s="2675"/>
      <c r="Q201" s="2675"/>
      <c r="R201" s="2675"/>
      <c r="S201" s="2675"/>
      <c r="T201" s="2675"/>
      <c r="U201" s="2675"/>
      <c r="V201" s="2675"/>
      <c r="W201" s="2678"/>
      <c r="X201" s="32"/>
      <c r="Y201" s="32"/>
      <c r="Z201" s="32">
        <f>IF(H201="",1,0)</f>
        <v>1</v>
      </c>
      <c r="AA201" s="32"/>
      <c r="AB201" s="32"/>
      <c r="AC201" s="32"/>
      <c r="AD201" s="32"/>
      <c r="AE201" s="32"/>
      <c r="AF201" s="1995"/>
      <c r="AG201" s="1995"/>
      <c r="AH201" s="1995"/>
      <c r="AI201" s="1995"/>
      <c r="AJ201" s="1995"/>
      <c r="AK201" s="1995"/>
    </row>
    <row r="202" spans="3:37" s="1289" customFormat="1" ht="24.75" customHeight="1">
      <c r="C202" s="2145" t="s">
        <v>2800</v>
      </c>
      <c r="D202" s="2146" t="s">
        <v>2796</v>
      </c>
      <c r="E202" s="5161"/>
      <c r="F202" s="5177"/>
      <c r="G202" s="1607">
        <f>claim602.1.7.1_2</f>
        <v>0</v>
      </c>
      <c r="H202" s="4958"/>
      <c r="I202" s="5181"/>
      <c r="J202" s="1877"/>
      <c r="K202" s="4638"/>
      <c r="L202" s="5168"/>
      <c r="M202" s="2702" t="str">
        <f t="shared" si="17"/>
        <v/>
      </c>
      <c r="N202" s="2675"/>
      <c r="O202" s="2675"/>
      <c r="P202" s="2675"/>
      <c r="Q202" s="2675"/>
      <c r="R202" s="2675"/>
      <c r="S202" s="2675"/>
      <c r="T202" s="2675"/>
      <c r="U202" s="2675"/>
      <c r="V202" s="2675"/>
      <c r="W202" s="2678"/>
      <c r="X202" s="32"/>
      <c r="Y202" s="32"/>
      <c r="Z202" s="32"/>
      <c r="AA202" s="32"/>
      <c r="AB202" s="32"/>
      <c r="AC202" s="32"/>
      <c r="AD202" s="32"/>
      <c r="AE202" s="32"/>
      <c r="AF202" s="1995"/>
      <c r="AG202" s="1995"/>
      <c r="AH202" s="1995"/>
      <c r="AI202" s="1995"/>
      <c r="AJ202" s="1995"/>
      <c r="AK202" s="1995"/>
    </row>
    <row r="203" spans="3:37" s="1289" customFormat="1" ht="21" customHeight="1">
      <c r="C203" s="2145" t="str">
        <f t="shared" ref="C203" si="29">IF(G203&gt;0,"P","")</f>
        <v/>
      </c>
      <c r="D203" s="2146" t="s">
        <v>2796</v>
      </c>
      <c r="E203" s="4960" t="s">
        <v>2042</v>
      </c>
      <c r="F203" s="4969">
        <v>4</v>
      </c>
      <c r="G203" s="5178">
        <f>claim602.1.7.1_3</f>
        <v>0</v>
      </c>
      <c r="H203" s="4957"/>
      <c r="I203" s="5174"/>
      <c r="J203" s="2006" t="str">
        <f>IF(I203&gt;0,"Explain verification at final","")</f>
        <v/>
      </c>
      <c r="K203" s="4619">
        <f>note602.1.7.1_3</f>
        <v>0</v>
      </c>
      <c r="L203" s="5165"/>
      <c r="M203" s="2702" t="str">
        <f t="shared" si="17"/>
        <v/>
      </c>
      <c r="N203" s="2675"/>
      <c r="O203" s="2675"/>
      <c r="P203" s="2675"/>
      <c r="Q203" s="2675"/>
      <c r="R203" s="2675"/>
      <c r="S203" s="2675"/>
      <c r="T203" s="2675"/>
      <c r="U203" s="2675"/>
      <c r="V203" s="2675"/>
      <c r="W203" s="2678"/>
      <c r="X203" s="32">
        <f>IF(AND(H203&gt;0,I203&gt;0),1,0)</f>
        <v>0</v>
      </c>
      <c r="Y203" s="32">
        <f>IF(AND(J203&lt;&gt;"",J204=""),1,0)</f>
        <v>0</v>
      </c>
      <c r="Z203" s="32"/>
      <c r="AA203" s="32"/>
      <c r="AB203" s="32"/>
      <c r="AC203" s="32"/>
      <c r="AD203" s="32"/>
      <c r="AE203" s="32"/>
      <c r="AF203" s="1995"/>
      <c r="AG203" s="1995"/>
      <c r="AH203" s="1995"/>
      <c r="AI203" s="1995"/>
      <c r="AJ203" s="1995"/>
      <c r="AK203" s="1995"/>
    </row>
    <row r="204" spans="3:37" s="1289" customFormat="1" ht="24" customHeight="1" thickBot="1">
      <c r="C204" s="2145" t="str">
        <f>IF(G203&gt;0,"P","")</f>
        <v/>
      </c>
      <c r="D204" s="2146" t="s">
        <v>2796</v>
      </c>
      <c r="E204" s="4961"/>
      <c r="F204" s="4970"/>
      <c r="G204" s="5179"/>
      <c r="H204" s="5191"/>
      <c r="I204" s="5175"/>
      <c r="J204" s="1877"/>
      <c r="K204" s="4623"/>
      <c r="L204" s="5167"/>
      <c r="M204" s="2702" t="str">
        <f t="shared" si="17"/>
        <v/>
      </c>
      <c r="N204" s="2675"/>
      <c r="O204" s="2675"/>
      <c r="P204" s="2675"/>
      <c r="Q204" s="2675"/>
      <c r="R204" s="2675"/>
      <c r="S204" s="2675"/>
      <c r="T204" s="2675"/>
      <c r="U204" s="2675"/>
      <c r="V204" s="2675"/>
      <c r="W204" s="2678"/>
      <c r="X204" s="32"/>
      <c r="Y204" s="32"/>
      <c r="Z204" s="32"/>
      <c r="AA204" s="32"/>
      <c r="AB204" s="32"/>
      <c r="AC204" s="32"/>
      <c r="AD204" s="32"/>
      <c r="AE204" s="32"/>
      <c r="AF204" s="1995"/>
      <c r="AG204" s="1995"/>
      <c r="AH204" s="1995"/>
      <c r="AI204" s="1995"/>
      <c r="AJ204" s="1995"/>
      <c r="AK204" s="1995"/>
    </row>
    <row r="205" spans="3:37" s="1289" customFormat="1" ht="42" customHeight="1" thickTop="1" thickBot="1">
      <c r="C205" s="2145" t="str">
        <f t="shared" ref="C205" si="30">IF(G205&gt;0,"P","")</f>
        <v/>
      </c>
      <c r="D205" s="2146" t="s">
        <v>2796</v>
      </c>
      <c r="E205" s="2433" t="s">
        <v>2044</v>
      </c>
      <c r="F205" s="1302">
        <v>2</v>
      </c>
      <c r="G205" s="1303">
        <f>claim602.1.7.2</f>
        <v>0</v>
      </c>
      <c r="H205" s="2381"/>
      <c r="I205" s="2395"/>
      <c r="J205" s="1887"/>
      <c r="K205" s="4617">
        <f>note602.1.7.2</f>
        <v>0</v>
      </c>
      <c r="L205" s="4975"/>
      <c r="M205" s="2702" t="str">
        <f t="shared" si="17"/>
        <v/>
      </c>
      <c r="N205" s="2675"/>
      <c r="O205" s="2675"/>
      <c r="P205" s="2675"/>
      <c r="Q205" s="2675"/>
      <c r="R205" s="2675"/>
      <c r="S205" s="2675"/>
      <c r="T205" s="2675"/>
      <c r="U205" s="2675"/>
      <c r="V205" s="2675"/>
      <c r="W205" s="2678"/>
      <c r="X205" s="32">
        <f>IF(AND(H205&gt;0,I205&gt;0),1,0)</f>
        <v>0</v>
      </c>
      <c r="Y205" s="32"/>
      <c r="Z205" s="32"/>
      <c r="AA205" s="32"/>
      <c r="AB205" s="32"/>
      <c r="AC205" s="32"/>
      <c r="AD205" s="32"/>
      <c r="AE205" s="32"/>
      <c r="AF205" s="1995"/>
      <c r="AG205" s="1995"/>
      <c r="AH205" s="1995"/>
      <c r="AI205" s="1995"/>
      <c r="AJ205" s="1995"/>
      <c r="AK205" s="1995"/>
    </row>
    <row r="206" spans="3:37" s="1289" customFormat="1" ht="24" customHeight="1" thickTop="1">
      <c r="C206" s="2145" t="s">
        <v>2800</v>
      </c>
      <c r="D206" s="2146" t="s">
        <v>2796</v>
      </c>
      <c r="E206" s="5030" t="s">
        <v>2045</v>
      </c>
      <c r="F206" s="5192" t="s">
        <v>339</v>
      </c>
      <c r="G206" s="5147">
        <f>claim602.1.8</f>
        <v>0</v>
      </c>
      <c r="H206" s="5024"/>
      <c r="I206" s="5426"/>
      <c r="J206" s="2007" t="str">
        <f>IF(OR(H206="NA",I206="NA"),"Explain NA",IF(I206="Met","Explain verification at final",""))</f>
        <v/>
      </c>
      <c r="K206" s="4673">
        <f>note602.1.8</f>
        <v>0</v>
      </c>
      <c r="L206" s="5172"/>
      <c r="M206" s="2702" t="str">
        <f t="shared" si="17"/>
        <v/>
      </c>
      <c r="N206" s="2675"/>
      <c r="O206" s="2675"/>
      <c r="P206" s="2675"/>
      <c r="Q206" s="2675"/>
      <c r="R206" s="2675"/>
      <c r="S206" s="2675"/>
      <c r="T206" s="2675"/>
      <c r="U206" s="2675"/>
      <c r="V206" s="2675"/>
      <c r="W206" s="2678"/>
      <c r="X206" s="32"/>
      <c r="Y206" s="32">
        <f>IF(AND(J206&lt;&gt;"",J207=""),1,0)</f>
        <v>0</v>
      </c>
      <c r="Z206" s="32"/>
      <c r="AA206" s="32">
        <f>IF(AND(H206="",I206=""),1,0)</f>
        <v>1</v>
      </c>
      <c r="AB206" s="32"/>
      <c r="AC206" s="32"/>
      <c r="AD206" s="32"/>
      <c r="AE206" s="32"/>
      <c r="AF206" s="1995"/>
      <c r="AG206" s="1995"/>
      <c r="AH206" s="1995"/>
      <c r="AI206" s="1995"/>
      <c r="AJ206" s="1995"/>
      <c r="AK206" s="1995"/>
    </row>
    <row r="207" spans="3:37" s="1289" customFormat="1" ht="26.25" customHeight="1" thickBot="1">
      <c r="C207" s="2145" t="s">
        <v>2800</v>
      </c>
      <c r="D207" s="2146" t="s">
        <v>2796</v>
      </c>
      <c r="E207" s="5031"/>
      <c r="F207" s="5193"/>
      <c r="G207" s="5148"/>
      <c r="H207" s="5025"/>
      <c r="I207" s="5427"/>
      <c r="J207" s="1877"/>
      <c r="K207" s="4623"/>
      <c r="L207" s="5167"/>
      <c r="M207" s="2702" t="str">
        <f t="shared" si="17"/>
        <v/>
      </c>
      <c r="N207" s="2675"/>
      <c r="O207" s="2675"/>
      <c r="P207" s="2675"/>
      <c r="Q207" s="2675"/>
      <c r="R207" s="2675"/>
      <c r="S207" s="2675"/>
      <c r="T207" s="2675"/>
      <c r="U207" s="2675"/>
      <c r="V207" s="2675"/>
      <c r="W207" s="2678"/>
      <c r="X207" s="32"/>
      <c r="Y207" s="32"/>
      <c r="Z207" s="32"/>
      <c r="AA207" s="32"/>
      <c r="AB207" s="32"/>
      <c r="AC207" s="32"/>
      <c r="AD207" s="32"/>
      <c r="AE207" s="32"/>
      <c r="AF207" s="1995"/>
      <c r="AG207" s="1995"/>
      <c r="AH207" s="1995"/>
      <c r="AI207" s="1995"/>
      <c r="AJ207" s="1995"/>
      <c r="AK207" s="1995"/>
    </row>
    <row r="208" spans="3:37" ht="54.75" customHeight="1" thickTop="1">
      <c r="C208" s="2145" t="s">
        <v>2800</v>
      </c>
      <c r="D208" s="2146" t="s">
        <v>2796</v>
      </c>
      <c r="E208" s="5150" t="s">
        <v>2685</v>
      </c>
      <c r="F208" s="5151"/>
      <c r="G208" s="5151"/>
      <c r="H208" s="5151"/>
      <c r="I208" s="5152"/>
      <c r="J208" s="1848" t="str">
        <f>IF(I209&lt;&gt;"","Explain verification at final","")</f>
        <v/>
      </c>
      <c r="K208" s="4530"/>
      <c r="L208" s="4851"/>
      <c r="M208" s="2702" t="str">
        <f t="shared" ref="M208:M271" si="31">IF(AND(ReportType="Rough",SUM(X208,Y208,Z208,AB208,AC208,AD208,AE208)&gt;0),"!",IF(AND(ReportType="Final", SUM(X208,Y208,AA208,AB208,AC208,AD208,AE208)&gt;0),"!",""))</f>
        <v/>
      </c>
      <c r="Y208" s="32">
        <f>IF(AND(J208&lt;&gt;"",J209=""),1,0)</f>
        <v>0</v>
      </c>
    </row>
    <row r="209" spans="3:26" ht="148.5" customHeight="1">
      <c r="C209" s="2145" t="s">
        <v>2800</v>
      </c>
      <c r="D209" s="2146" t="s">
        <v>2796</v>
      </c>
      <c r="E209" s="2378" t="s">
        <v>2848</v>
      </c>
      <c r="F209" s="2436" t="s">
        <v>3</v>
      </c>
      <c r="G209" s="2073">
        <f>claim602.1.9_1</f>
        <v>0</v>
      </c>
      <c r="H209" s="2395"/>
      <c r="I209" s="2437"/>
      <c r="J209" s="1877"/>
      <c r="K209" s="4854">
        <f>note602.1.9_1</f>
        <v>0</v>
      </c>
      <c r="L209" s="4855"/>
      <c r="M209" s="2702" t="str">
        <f t="shared" si="31"/>
        <v>!</v>
      </c>
      <c r="Z209" s="32">
        <f>IF(H209="",1,0)</f>
        <v>1</v>
      </c>
    </row>
    <row r="210" spans="3:26" ht="21.75" customHeight="1">
      <c r="C210" s="2145" t="str">
        <f t="shared" ref="C210" si="32">IF(G210&gt;0,"P","")</f>
        <v/>
      </c>
      <c r="D210" s="2146" t="s">
        <v>2796</v>
      </c>
      <c r="E210" s="4897" t="s">
        <v>2048</v>
      </c>
      <c r="F210" s="4719">
        <v>2</v>
      </c>
      <c r="G210" s="4592">
        <f>claim602.1.9_2</f>
        <v>0</v>
      </c>
      <c r="H210" s="4957"/>
      <c r="I210" s="4898"/>
      <c r="J210" s="2006" t="str">
        <f>IF(I210&gt;0,"Explain verification at final","")</f>
        <v/>
      </c>
      <c r="K210" s="4810">
        <f>note602.1.9_2</f>
        <v>0</v>
      </c>
      <c r="L210" s="4811"/>
      <c r="M210" s="2702" t="str">
        <f t="shared" si="31"/>
        <v/>
      </c>
      <c r="X210" s="32">
        <f>IF(AND(H210&gt;0,I210&gt;0),1,0)</f>
        <v>0</v>
      </c>
      <c r="Y210" s="32">
        <f>IF(AND(J210&lt;&gt;"",J211=""),1,0)</f>
        <v>0</v>
      </c>
    </row>
    <row r="211" spans="3:26" ht="30" customHeight="1">
      <c r="C211" s="2145" t="str">
        <f>IF(G210&gt;0,"P","")</f>
        <v/>
      </c>
      <c r="D211" s="2146" t="s">
        <v>2796</v>
      </c>
      <c r="E211" s="4878"/>
      <c r="F211" s="4488"/>
      <c r="G211" s="4593"/>
      <c r="H211" s="4981"/>
      <c r="I211" s="4899"/>
      <c r="J211" s="1877"/>
      <c r="K211" s="4493"/>
      <c r="L211" s="4856"/>
      <c r="M211" s="2702" t="str">
        <f t="shared" si="31"/>
        <v/>
      </c>
    </row>
    <row r="212" spans="3:26" ht="30" customHeight="1">
      <c r="C212" s="2145" t="str">
        <f t="shared" ref="C212" si="33">IF(G212&gt;0,"P","")</f>
        <v/>
      </c>
      <c r="D212" s="2146" t="s">
        <v>2796</v>
      </c>
      <c r="E212" s="4897" t="s">
        <v>2049</v>
      </c>
      <c r="F212" s="4719">
        <v>3</v>
      </c>
      <c r="G212" s="4592">
        <f>claim602.1.9_3</f>
        <v>0</v>
      </c>
      <c r="H212" s="4957"/>
      <c r="I212" s="4898"/>
      <c r="J212" s="2006" t="str">
        <f>IF(I212&gt;0,"Explain verification at final","")</f>
        <v/>
      </c>
      <c r="K212" s="4810">
        <f>note602.1.9_3</f>
        <v>0</v>
      </c>
      <c r="L212" s="4811"/>
      <c r="M212" s="2702" t="str">
        <f t="shared" si="31"/>
        <v/>
      </c>
      <c r="X212" s="32">
        <f>IF(AND(H212&gt;0,I212&gt;0),1,0)</f>
        <v>0</v>
      </c>
      <c r="Y212" s="32">
        <f>IF(AND(J212&lt;&gt;"",J213=""),1,0)</f>
        <v>0</v>
      </c>
    </row>
    <row r="213" spans="3:26" ht="27.75" customHeight="1">
      <c r="C213" s="2145" t="str">
        <f>IF(G212&gt;0,"P","")</f>
        <v/>
      </c>
      <c r="D213" s="2146" t="s">
        <v>2796</v>
      </c>
      <c r="E213" s="4878"/>
      <c r="F213" s="4488"/>
      <c r="G213" s="4593"/>
      <c r="H213" s="4981"/>
      <c r="I213" s="4899"/>
      <c r="J213" s="1877"/>
      <c r="K213" s="4493"/>
      <c r="L213" s="4856"/>
      <c r="M213" s="2702" t="str">
        <f t="shared" si="31"/>
        <v/>
      </c>
    </row>
    <row r="214" spans="3:26" ht="71.25" customHeight="1">
      <c r="C214" s="2145" t="str">
        <f t="shared" ref="C214" si="34">IF(G214&gt;0,"P","")</f>
        <v/>
      </c>
      <c r="D214" s="2146" t="s">
        <v>2796</v>
      </c>
      <c r="E214" s="2386" t="s">
        <v>2050</v>
      </c>
      <c r="F214" s="2379">
        <v>3</v>
      </c>
      <c r="G214" s="2380">
        <f>claim602.1.9_4</f>
        <v>0</v>
      </c>
      <c r="H214" s="2341"/>
      <c r="I214" s="2338"/>
      <c r="J214" s="2381"/>
      <c r="K214" s="4854">
        <f>note602.1.9_4</f>
        <v>0</v>
      </c>
      <c r="L214" s="4855"/>
      <c r="M214" s="2702" t="str">
        <f t="shared" si="31"/>
        <v/>
      </c>
      <c r="X214" s="32">
        <f>IF(AND(H214&gt;0,I214&gt;0),1,0)</f>
        <v>0</v>
      </c>
    </row>
    <row r="215" spans="3:26" ht="15.75" customHeight="1">
      <c r="C215" s="2145" t="str">
        <f>IF(SUM(G216:G217)&gt;0,"P","")</f>
        <v/>
      </c>
      <c r="D215" s="2146" t="s">
        <v>2796</v>
      </c>
      <c r="E215" s="5128" t="s">
        <v>2051</v>
      </c>
      <c r="F215" s="5189"/>
      <c r="G215" s="5190"/>
      <c r="H215" s="2438"/>
      <c r="I215" s="2438"/>
      <c r="J215" s="2008" t="str">
        <f>IF(I216&gt;0,"Explain points at final","")</f>
        <v/>
      </c>
      <c r="K215" s="4954"/>
      <c r="L215" s="4955"/>
      <c r="M215" s="2702" t="str">
        <f t="shared" si="31"/>
        <v/>
      </c>
      <c r="Y215" s="32">
        <f>IF(AND(J215&lt;&gt;"",J216=""),1,0)</f>
        <v>0</v>
      </c>
    </row>
    <row r="216" spans="3:26" ht="40.5" customHeight="1">
      <c r="C216" s="2145" t="str">
        <f t="shared" ref="C216:C218" si="35">IF(G216&gt;0,"P","")</f>
        <v/>
      </c>
      <c r="D216" s="2146" t="s">
        <v>2796</v>
      </c>
      <c r="E216" s="2439" t="s">
        <v>2052</v>
      </c>
      <c r="F216" s="2379">
        <v>4</v>
      </c>
      <c r="G216" s="2380">
        <f>IF(claim602.1.9_5=F216,claim602.1.9_5,0)</f>
        <v>0</v>
      </c>
      <c r="H216" s="4910"/>
      <c r="I216" s="4898"/>
      <c r="J216" s="4910"/>
      <c r="K216" s="4810">
        <f>note602.1.9_5</f>
        <v>0</v>
      </c>
      <c r="L216" s="4811"/>
      <c r="M216" s="2702" t="str">
        <f t="shared" si="31"/>
        <v/>
      </c>
      <c r="X216" s="32">
        <f>IF(AND(H216&gt;0,I216&gt;0),1,0)</f>
        <v>0</v>
      </c>
    </row>
    <row r="217" spans="3:26" ht="32.25" customHeight="1">
      <c r="C217" s="2145" t="str">
        <f t="shared" si="35"/>
        <v/>
      </c>
      <c r="D217" s="2146" t="s">
        <v>2796</v>
      </c>
      <c r="E217" s="2439" t="s">
        <v>2053</v>
      </c>
      <c r="F217" s="2379">
        <v>2</v>
      </c>
      <c r="G217" s="2380">
        <f>IF(claim602.1.9_5=F217,claim602.1.9_5,0)</f>
        <v>0</v>
      </c>
      <c r="H217" s="4951"/>
      <c r="I217" s="4899"/>
      <c r="J217" s="4951"/>
      <c r="K217" s="4493"/>
      <c r="L217" s="4856"/>
      <c r="M217" s="2702" t="str">
        <f t="shared" si="31"/>
        <v/>
      </c>
    </row>
    <row r="218" spans="3:26" ht="21.75" customHeight="1">
      <c r="C218" s="2145" t="str">
        <f t="shared" si="35"/>
        <v/>
      </c>
      <c r="D218" s="2146" t="s">
        <v>2796</v>
      </c>
      <c r="E218" s="4897" t="s">
        <v>2054</v>
      </c>
      <c r="F218" s="4719">
        <v>2</v>
      </c>
      <c r="G218" s="4592">
        <f>claim602.1.9_6</f>
        <v>0</v>
      </c>
      <c r="H218" s="4957"/>
      <c r="I218" s="4898"/>
      <c r="J218" s="2009" t="str">
        <f>IF(I218&gt;0,"Explain verification at final","")</f>
        <v/>
      </c>
      <c r="K218" s="4810">
        <f>note602.1.9_6</f>
        <v>0</v>
      </c>
      <c r="L218" s="4811"/>
      <c r="M218" s="2702" t="str">
        <f t="shared" si="31"/>
        <v/>
      </c>
      <c r="X218" s="32">
        <f>IF(AND(H218&gt;0,I218&gt;0),1,0)</f>
        <v>0</v>
      </c>
      <c r="Y218" s="32">
        <f>IF(AND(J218&lt;&gt;"",J219=""),1,0)</f>
        <v>0</v>
      </c>
    </row>
    <row r="219" spans="3:26" ht="26.25" customHeight="1">
      <c r="C219" s="2145" t="str">
        <f>IF(G218&gt;0,"P","")</f>
        <v/>
      </c>
      <c r="D219" s="2146" t="s">
        <v>2796</v>
      </c>
      <c r="E219" s="4878"/>
      <c r="F219" s="4488"/>
      <c r="G219" s="4593"/>
      <c r="H219" s="4981"/>
      <c r="I219" s="4899"/>
      <c r="J219" s="1877"/>
      <c r="K219" s="4493"/>
      <c r="L219" s="4856"/>
      <c r="M219" s="2702" t="str">
        <f t="shared" si="31"/>
        <v/>
      </c>
    </row>
    <row r="220" spans="3:26" ht="18" customHeight="1">
      <c r="C220" s="2145" t="str">
        <f t="shared" ref="C220" si="36">IF(G220&gt;0,"P","")</f>
        <v/>
      </c>
      <c r="D220" s="2146" t="s">
        <v>2796</v>
      </c>
      <c r="E220" s="4897" t="s">
        <v>2055</v>
      </c>
      <c r="F220" s="4719">
        <v>2</v>
      </c>
      <c r="G220" s="4592">
        <f>claim602.1.9_7</f>
        <v>0</v>
      </c>
      <c r="H220" s="4957"/>
      <c r="I220" s="4898"/>
      <c r="J220" s="2006" t="str">
        <f>IF(I220&gt;0,"Explain verification at final","")</f>
        <v/>
      </c>
      <c r="K220" s="4810">
        <f>note602.1.9_7</f>
        <v>0</v>
      </c>
      <c r="L220" s="4811"/>
      <c r="M220" s="2702" t="str">
        <f t="shared" si="31"/>
        <v/>
      </c>
      <c r="X220" s="32">
        <f>IF(AND(H220&gt;0,I220&gt;0),1,0)</f>
        <v>0</v>
      </c>
      <c r="Y220" s="32">
        <f>IF(AND(J220&lt;&gt;"",J221=""),1,0)</f>
        <v>0</v>
      </c>
    </row>
    <row r="221" spans="3:26" ht="18" customHeight="1" thickBot="1">
      <c r="C221" s="2145" t="str">
        <f>IF(G220&gt;0,"P","")</f>
        <v/>
      </c>
      <c r="D221" s="2146" t="s">
        <v>2796</v>
      </c>
      <c r="E221" s="4873"/>
      <c r="F221" s="4968"/>
      <c r="G221" s="4889"/>
      <c r="H221" s="4981"/>
      <c r="I221" s="4899"/>
      <c r="J221" s="1877"/>
      <c r="K221" s="4849"/>
      <c r="L221" s="4850"/>
      <c r="M221" s="2702" t="str">
        <f t="shared" si="31"/>
        <v/>
      </c>
    </row>
    <row r="222" spans="3:26" ht="16" thickTop="1">
      <c r="C222" s="2145" t="str">
        <f>IF(SUM(G223:G225)&gt;0,"P","")</f>
        <v/>
      </c>
      <c r="D222" s="2146" t="s">
        <v>2795</v>
      </c>
      <c r="E222" s="4991" t="s">
        <v>2336</v>
      </c>
      <c r="F222" s="4992"/>
      <c r="G222" s="4992"/>
      <c r="H222" s="4992"/>
      <c r="I222" s="4993"/>
      <c r="J222" s="1837"/>
      <c r="K222" s="4516"/>
      <c r="L222" s="4853"/>
      <c r="M222" s="2702" t="str">
        <f t="shared" si="31"/>
        <v/>
      </c>
    </row>
    <row r="223" spans="3:26">
      <c r="C223" s="2145" t="str">
        <f t="shared" ref="C223:C227" si="37">IF(G223&gt;0,"P","")</f>
        <v/>
      </c>
      <c r="D223" s="2146" t="s">
        <v>2795</v>
      </c>
      <c r="E223" s="2378" t="s">
        <v>2507</v>
      </c>
      <c r="F223" s="2379">
        <v>2</v>
      </c>
      <c r="G223" s="2380">
        <f>IF(claim602.1.10=F223,F223,0)</f>
        <v>0</v>
      </c>
      <c r="H223" s="4957"/>
      <c r="I223" s="4931"/>
      <c r="J223" s="4909"/>
      <c r="K223" s="4810">
        <f>note602.1.10</f>
        <v>0</v>
      </c>
      <c r="L223" s="4811"/>
      <c r="M223" s="2702" t="str">
        <f t="shared" si="31"/>
        <v/>
      </c>
      <c r="X223" s="32">
        <f>IF(AND(H223&gt;0,I223&gt;0),1,0)</f>
        <v>0</v>
      </c>
    </row>
    <row r="224" spans="3:26">
      <c r="C224" s="2145" t="str">
        <f t="shared" si="37"/>
        <v/>
      </c>
      <c r="D224" s="2146" t="s">
        <v>2795</v>
      </c>
      <c r="E224" s="2378" t="s">
        <v>2508</v>
      </c>
      <c r="F224" s="2379">
        <v>4</v>
      </c>
      <c r="G224" s="2380">
        <f>IF(claim602.1.10=F224,F224,0)</f>
        <v>0</v>
      </c>
      <c r="H224" s="4958"/>
      <c r="I224" s="5032"/>
      <c r="J224" s="4892"/>
      <c r="K224" s="4491"/>
      <c r="L224" s="4833"/>
      <c r="M224" s="2702" t="str">
        <f t="shared" si="31"/>
        <v/>
      </c>
    </row>
    <row r="225" spans="3:27" ht="16" thickBot="1">
      <c r="C225" s="2145" t="str">
        <f t="shared" si="37"/>
        <v/>
      </c>
      <c r="D225" s="2146" t="s">
        <v>2795</v>
      </c>
      <c r="E225" s="2420" t="s">
        <v>2509</v>
      </c>
      <c r="F225" s="252">
        <v>6</v>
      </c>
      <c r="G225" s="2380">
        <f>IF(claim602.1.10=F225,claim602.1.10,0)</f>
        <v>0</v>
      </c>
      <c r="H225" s="4959"/>
      <c r="I225" s="5033"/>
      <c r="J225" s="4893"/>
      <c r="K225" s="4849"/>
      <c r="L225" s="4850"/>
      <c r="M225" s="2702" t="str">
        <f t="shared" si="31"/>
        <v/>
      </c>
    </row>
    <row r="226" spans="3:27" ht="37.5" customHeight="1" thickTop="1" thickBot="1">
      <c r="C226" s="2145" t="s">
        <v>2800</v>
      </c>
      <c r="D226" s="2146" t="s">
        <v>2795</v>
      </c>
      <c r="E226" s="2440" t="s">
        <v>2337</v>
      </c>
      <c r="F226" s="2018" t="s">
        <v>339</v>
      </c>
      <c r="G226" s="261">
        <f>claim602.1.11</f>
        <v>0</v>
      </c>
      <c r="H226" s="2638"/>
      <c r="I226" s="1964"/>
      <c r="J226" s="1881"/>
      <c r="K226" s="4609">
        <f>note602.1.11</f>
        <v>0</v>
      </c>
      <c r="L226" s="4945"/>
      <c r="M226" s="2702" t="str">
        <f t="shared" si="31"/>
        <v/>
      </c>
      <c r="AA226" s="32">
        <f>IF(AND(ReportType="Final",H226="",I226=""),1,0)</f>
        <v>0</v>
      </c>
    </row>
    <row r="227" spans="3:27" ht="41.25" customHeight="1" thickTop="1" thickBot="1">
      <c r="C227" s="2145" t="str">
        <f t="shared" si="37"/>
        <v/>
      </c>
      <c r="D227" s="2146" t="s">
        <v>2795</v>
      </c>
      <c r="E227" s="2440" t="s">
        <v>2993</v>
      </c>
      <c r="F227" s="274">
        <v>4</v>
      </c>
      <c r="G227" s="261">
        <f>claim602.1.12</f>
        <v>0</v>
      </c>
      <c r="H227" s="2381"/>
      <c r="I227" s="2395"/>
      <c r="J227" s="1881"/>
      <c r="K227" s="4609">
        <f>note602.1.12</f>
        <v>0</v>
      </c>
      <c r="L227" s="4945"/>
      <c r="M227" s="2702" t="str">
        <f t="shared" si="31"/>
        <v/>
      </c>
      <c r="X227" s="32">
        <f>IF(AND(H227&gt;0,I227&gt;0),1,0)</f>
        <v>0</v>
      </c>
    </row>
    <row r="228" spans="3:27" ht="18.75" customHeight="1" thickTop="1">
      <c r="C228" s="2145" t="s">
        <v>2800</v>
      </c>
      <c r="D228" s="2146" t="s">
        <v>2796</v>
      </c>
      <c r="E228" s="4830" t="s">
        <v>2339</v>
      </c>
      <c r="F228" s="5144" t="s">
        <v>339</v>
      </c>
      <c r="G228" s="5146">
        <f>claim602.1.13</f>
        <v>0</v>
      </c>
      <c r="H228" s="4910"/>
      <c r="I228" s="4834"/>
      <c r="J228" s="1994" t="str">
        <f>IF(I228="Met","Explain verification at final","")</f>
        <v/>
      </c>
      <c r="K228" s="4504">
        <f>note602.1.13</f>
        <v>0</v>
      </c>
      <c r="L228" s="4994"/>
      <c r="M228" s="2702" t="str">
        <f t="shared" si="31"/>
        <v/>
      </c>
      <c r="Y228" s="32">
        <f>IF(AND(J228&lt;&gt;"",J229=""),1,0)</f>
        <v>0</v>
      </c>
    </row>
    <row r="229" spans="3:27" ht="42" customHeight="1" thickBot="1">
      <c r="C229" s="2145" t="s">
        <v>2800</v>
      </c>
      <c r="D229" s="2146" t="s">
        <v>2796</v>
      </c>
      <c r="E229" s="4873"/>
      <c r="F229" s="5145"/>
      <c r="G229" s="4889"/>
      <c r="H229" s="4911"/>
      <c r="I229" s="4835"/>
      <c r="J229" s="1877"/>
      <c r="K229" s="4849"/>
      <c r="L229" s="4850"/>
      <c r="M229" s="2702" t="str">
        <f t="shared" si="31"/>
        <v>!</v>
      </c>
      <c r="Z229" s="32">
        <f>IF(H228="",1,0)</f>
        <v>1</v>
      </c>
      <c r="AA229" s="32">
        <f>IF(AND(ReportType="Final",H228="",I228=""),1,0)</f>
        <v>0</v>
      </c>
    </row>
    <row r="230" spans="3:27" ht="18" customHeight="1" thickTop="1">
      <c r="C230" s="2145" t="str">
        <f>IF(SUM(G231:G234)&gt;0,"P","")</f>
        <v/>
      </c>
      <c r="D230" s="2146" t="s">
        <v>2795</v>
      </c>
      <c r="E230" s="4991" t="s">
        <v>2340</v>
      </c>
      <c r="F230" s="4992"/>
      <c r="G230" s="4992"/>
      <c r="H230" s="4992"/>
      <c r="I230" s="4993"/>
      <c r="J230" s="1837"/>
      <c r="K230" s="4516"/>
      <c r="L230" s="4853"/>
      <c r="M230" s="2702" t="str">
        <f t="shared" si="31"/>
        <v/>
      </c>
    </row>
    <row r="231" spans="3:27" ht="26.25" customHeight="1">
      <c r="C231" s="2145" t="str">
        <f t="shared" ref="C231:C242" si="38">IF(G231&gt;0,"P","")</f>
        <v/>
      </c>
      <c r="D231" s="2146" t="s">
        <v>2795</v>
      </c>
      <c r="E231" s="2378" t="s">
        <v>2510</v>
      </c>
      <c r="F231" s="2379">
        <v>2</v>
      </c>
      <c r="G231" s="2380">
        <f>claim602.1.14_1</f>
        <v>0</v>
      </c>
      <c r="H231" s="2381"/>
      <c r="I231" s="2395"/>
      <c r="J231" s="2381"/>
      <c r="K231" s="4854">
        <f>note602.1.14_1</f>
        <v>0</v>
      </c>
      <c r="L231" s="4855"/>
      <c r="M231" s="2702" t="str">
        <f t="shared" si="31"/>
        <v/>
      </c>
      <c r="X231" s="32">
        <f>IF(AND(H231&gt;0,I231&gt;0),1,0)</f>
        <v>0</v>
      </c>
    </row>
    <row r="232" spans="3:27" ht="28.5" customHeight="1">
      <c r="C232" s="2145" t="str">
        <f t="shared" si="38"/>
        <v/>
      </c>
      <c r="D232" s="2146" t="s">
        <v>2795</v>
      </c>
      <c r="E232" s="2378" t="s">
        <v>2511</v>
      </c>
      <c r="F232" s="2379">
        <v>2</v>
      </c>
      <c r="G232" s="2380">
        <f>claim602.1.14_2</f>
        <v>0</v>
      </c>
      <c r="H232" s="2381"/>
      <c r="I232" s="2395"/>
      <c r="J232" s="2381"/>
      <c r="K232" s="4854">
        <f>note602.1.14_2</f>
        <v>0</v>
      </c>
      <c r="L232" s="4855"/>
      <c r="M232" s="2702" t="str">
        <f t="shared" si="31"/>
        <v/>
      </c>
      <c r="X232" s="32">
        <f>IF(AND(H232&gt;0,I232&gt;0),1,0)</f>
        <v>0</v>
      </c>
    </row>
    <row r="233" spans="3:27">
      <c r="C233" s="2145" t="s">
        <v>2800</v>
      </c>
      <c r="D233" s="2146" t="s">
        <v>2795</v>
      </c>
      <c r="E233" s="4883" t="s">
        <v>2512</v>
      </c>
      <c r="F233" s="4907" t="s">
        <v>2341</v>
      </c>
      <c r="G233" s="2273">
        <f>choice602.1.14_3</f>
        <v>0</v>
      </c>
      <c r="H233" s="5470"/>
      <c r="I233" s="5385"/>
      <c r="J233" s="5389"/>
      <c r="K233" s="4810">
        <f>note602.1.14_3</f>
        <v>0</v>
      </c>
      <c r="L233" s="4811"/>
      <c r="M233" s="2702" t="str">
        <f t="shared" si="31"/>
        <v/>
      </c>
      <c r="X233" s="32">
        <f>IF(AND(H233&gt;0,I233&gt;0),1,0)</f>
        <v>0</v>
      </c>
      <c r="AA233" s="32">
        <f>IF(AND(ReportType="Final",H233="",I233=""),1,0)</f>
        <v>0</v>
      </c>
    </row>
    <row r="234" spans="3:27" ht="24.75" customHeight="1" thickBot="1">
      <c r="C234" s="2145" t="s">
        <v>2800</v>
      </c>
      <c r="D234" s="2146" t="s">
        <v>2795</v>
      </c>
      <c r="E234" s="4885"/>
      <c r="F234" s="4908"/>
      <c r="G234" s="2340" t="str">
        <f>IF(claim602.1.14_3=0,"0",claim602.1.14_3)</f>
        <v>0</v>
      </c>
      <c r="H234" s="5471"/>
      <c r="I234" s="5386"/>
      <c r="J234" s="5390"/>
      <c r="K234" s="4849"/>
      <c r="L234" s="4850"/>
      <c r="M234" s="2702" t="str">
        <f t="shared" si="31"/>
        <v/>
      </c>
    </row>
    <row r="235" spans="3:27" ht="40.5" customHeight="1" thickTop="1">
      <c r="C235" s="2145" t="str">
        <f>IF(SUM(G236:G238)&gt;0,"P","")</f>
        <v/>
      </c>
      <c r="D235" s="2146" t="s">
        <v>2797</v>
      </c>
      <c r="E235" s="4991" t="s">
        <v>2668</v>
      </c>
      <c r="F235" s="4992"/>
      <c r="G235" s="4992"/>
      <c r="H235" s="4992"/>
      <c r="I235" s="4993"/>
      <c r="J235" s="2362"/>
      <c r="K235" s="4611"/>
      <c r="L235" s="5384"/>
      <c r="M235" s="2702" t="str">
        <f t="shared" si="31"/>
        <v/>
      </c>
    </row>
    <row r="236" spans="3:27" ht="26.25" customHeight="1">
      <c r="C236" s="2145" t="str">
        <f t="shared" si="38"/>
        <v/>
      </c>
      <c r="D236" s="2146" t="s">
        <v>2797</v>
      </c>
      <c r="E236" s="2378" t="s">
        <v>2343</v>
      </c>
      <c r="F236" s="2441">
        <v>3</v>
      </c>
      <c r="G236" s="2380">
        <f>IF(choice602.2="ENERGY STAR® cool roof",3,0)</f>
        <v>0</v>
      </c>
      <c r="H236" s="4898"/>
      <c r="I236" s="4957"/>
      <c r="J236" s="4909"/>
      <c r="K236" s="4810">
        <f>note602.2</f>
        <v>0</v>
      </c>
      <c r="L236" s="4811"/>
      <c r="M236" s="2702" t="str">
        <f t="shared" si="31"/>
        <v/>
      </c>
      <c r="X236" s="32">
        <f>IF(AND(H236&gt;0,I236&gt;0),1,0)</f>
        <v>0</v>
      </c>
    </row>
    <row r="237" spans="3:27" ht="15.75" customHeight="1">
      <c r="C237" s="2145" t="str">
        <f t="shared" si="38"/>
        <v/>
      </c>
      <c r="D237" s="2146" t="s">
        <v>2797</v>
      </c>
      <c r="E237" s="2378" t="s">
        <v>2344</v>
      </c>
      <c r="F237" s="2441">
        <v>3</v>
      </c>
      <c r="G237" s="2380">
        <f>IF(choice602.2="Vegetated roof system",3,0)</f>
        <v>0</v>
      </c>
      <c r="H237" s="5143"/>
      <c r="I237" s="4958"/>
      <c r="J237" s="4892"/>
      <c r="K237" s="4491"/>
      <c r="L237" s="4833"/>
      <c r="M237" s="2702" t="str">
        <f t="shared" si="31"/>
        <v/>
      </c>
    </row>
    <row r="238" spans="3:27" ht="16" thickBot="1">
      <c r="C238" s="2145" t="str">
        <f t="shared" si="38"/>
        <v/>
      </c>
      <c r="D238" s="2146" t="s">
        <v>2797</v>
      </c>
      <c r="E238" s="2420" t="s">
        <v>2345</v>
      </c>
      <c r="F238" s="1612">
        <v>3</v>
      </c>
      <c r="G238" s="253">
        <f>IF(choice602.2="Both",3,0)</f>
        <v>0</v>
      </c>
      <c r="H238" s="5029"/>
      <c r="I238" s="4959"/>
      <c r="J238" s="4893"/>
      <c r="K238" s="4849"/>
      <c r="L238" s="4850"/>
      <c r="M238" s="2702" t="str">
        <f t="shared" si="31"/>
        <v/>
      </c>
    </row>
    <row r="239" spans="3:27" ht="41.25" customHeight="1" thickTop="1">
      <c r="C239" s="2145" t="str">
        <f t="shared" si="38"/>
        <v/>
      </c>
      <c r="D239" s="2146" t="s">
        <v>2797</v>
      </c>
      <c r="E239" s="2422" t="s">
        <v>2346</v>
      </c>
      <c r="F239" s="2379">
        <v>4</v>
      </c>
      <c r="G239" s="2073">
        <f>claim602.3</f>
        <v>0</v>
      </c>
      <c r="H239" s="2387"/>
      <c r="I239" s="2395"/>
      <c r="J239" s="1889"/>
      <c r="K239" s="4522">
        <f>note602.3</f>
        <v>0</v>
      </c>
      <c r="L239" s="4980"/>
      <c r="M239" s="2702" t="str">
        <f t="shared" si="31"/>
        <v/>
      </c>
      <c r="X239" s="32">
        <f>IF(AND(H239&gt;0,I239&gt;0),1,0)</f>
        <v>0</v>
      </c>
    </row>
    <row r="240" spans="3:27" ht="66.75" customHeight="1">
      <c r="C240" s="2145" t="s">
        <v>2800</v>
      </c>
      <c r="D240" s="2146" t="s">
        <v>2797</v>
      </c>
      <c r="E240" s="2386" t="s">
        <v>2347</v>
      </c>
      <c r="F240" s="2442" t="s">
        <v>3</v>
      </c>
      <c r="G240" s="2073">
        <f>claim602.4.1</f>
        <v>0</v>
      </c>
      <c r="H240" s="2437"/>
      <c r="I240" s="2395"/>
      <c r="J240" s="2395"/>
      <c r="K240" s="4854">
        <f>note602.4.1</f>
        <v>0</v>
      </c>
      <c r="L240" s="4855"/>
      <c r="M240" s="2702" t="str">
        <f t="shared" si="31"/>
        <v/>
      </c>
      <c r="AA240" s="32">
        <f>IF(AND(ReportType="Final",H240="",I240=""),1,0)</f>
        <v>0</v>
      </c>
    </row>
    <row r="241" spans="3:25" ht="30.75" customHeight="1" thickBot="1">
      <c r="C241" s="2145" t="str">
        <f t="shared" si="38"/>
        <v/>
      </c>
      <c r="D241" s="2146" t="s">
        <v>2797</v>
      </c>
      <c r="E241" s="2404" t="s">
        <v>2349</v>
      </c>
      <c r="F241" s="252">
        <v>1</v>
      </c>
      <c r="G241" s="253">
        <f>claim602.4.2</f>
        <v>0</v>
      </c>
      <c r="H241" s="2585"/>
      <c r="I241" s="2395"/>
      <c r="J241" s="1878"/>
      <c r="K241" s="4526">
        <f>note602.4.2</f>
        <v>0</v>
      </c>
      <c r="L241" s="4852"/>
      <c r="M241" s="2702" t="str">
        <f t="shared" si="31"/>
        <v/>
      </c>
      <c r="X241" s="32">
        <f>IF(AND(H241&gt;0,I241&gt;0),1,0)</f>
        <v>0</v>
      </c>
    </row>
    <row r="242" spans="3:25" ht="30" customHeight="1" thickTop="1">
      <c r="C242" s="2145" t="str">
        <f t="shared" si="38"/>
        <v/>
      </c>
      <c r="D242" s="2146" t="s">
        <v>2797</v>
      </c>
      <c r="E242" s="2443" t="s">
        <v>2350</v>
      </c>
      <c r="F242" s="2328">
        <v>1</v>
      </c>
      <c r="G242" s="2344">
        <f>claim602.4.3</f>
        <v>0</v>
      </c>
      <c r="H242" s="2381"/>
      <c r="I242" s="2395"/>
      <c r="J242" s="1883"/>
      <c r="K242" s="4504">
        <f>note602.4.3</f>
        <v>0</v>
      </c>
      <c r="L242" s="4994"/>
      <c r="M242" s="2702" t="str">
        <f t="shared" si="31"/>
        <v/>
      </c>
      <c r="X242" s="32">
        <f>IF(AND(H242&gt;0,I242&gt;0),1,0)</f>
        <v>0</v>
      </c>
    </row>
    <row r="243" spans="3:25">
      <c r="C243" s="2145"/>
      <c r="D243" s="2146" t="s">
        <v>2797</v>
      </c>
      <c r="E243" s="4918" t="s">
        <v>600</v>
      </c>
      <c r="F243" s="4919"/>
      <c r="G243" s="4919"/>
      <c r="H243" s="4919"/>
      <c r="I243" s="4919"/>
      <c r="J243" s="4919"/>
      <c r="K243" s="4919"/>
      <c r="L243" s="4920"/>
      <c r="M243" s="2702" t="str">
        <f t="shared" si="31"/>
        <v/>
      </c>
    </row>
    <row r="244" spans="3:25">
      <c r="C244" s="2145" t="str">
        <f>IF(G245&gt;0,"P","")</f>
        <v/>
      </c>
      <c r="D244" s="2146" t="s">
        <v>2795</v>
      </c>
      <c r="E244" s="5387" t="s">
        <v>2351</v>
      </c>
      <c r="F244" s="5077" t="s">
        <v>601</v>
      </c>
      <c r="G244" s="2335">
        <f>choice603.1</f>
        <v>0</v>
      </c>
      <c r="H244" s="4910"/>
      <c r="I244" s="4957"/>
      <c r="J244" s="4909"/>
      <c r="K244" s="4810">
        <f>note603.1</f>
        <v>0</v>
      </c>
      <c r="L244" s="4811"/>
      <c r="M244" s="2702" t="str">
        <f t="shared" si="31"/>
        <v/>
      </c>
      <c r="X244" s="32">
        <f>IF(SUM(H244,I244)&gt;12,1,0)</f>
        <v>0</v>
      </c>
    </row>
    <row r="245" spans="3:25" ht="16" thickBot="1">
      <c r="C245" s="2145" t="str">
        <f>IF(G245&gt;0,"P","")</f>
        <v/>
      </c>
      <c r="D245" s="2146" t="s">
        <v>2795</v>
      </c>
      <c r="E245" s="5388"/>
      <c r="F245" s="5420"/>
      <c r="G245" s="253">
        <f>claim603.1</f>
        <v>0</v>
      </c>
      <c r="H245" s="4911"/>
      <c r="I245" s="4981"/>
      <c r="J245" s="4893"/>
      <c r="K245" s="4849"/>
      <c r="L245" s="4850"/>
      <c r="M245" s="2702" t="str">
        <f t="shared" si="31"/>
        <v/>
      </c>
    </row>
    <row r="246" spans="3:25" ht="16" thickTop="1">
      <c r="C246" s="2145" t="str">
        <f>IF(G247&gt;0,"P","")</f>
        <v/>
      </c>
      <c r="D246" s="2146" t="s">
        <v>2795</v>
      </c>
      <c r="E246" s="5039" t="s">
        <v>2352</v>
      </c>
      <c r="F246" s="5041" t="s">
        <v>584</v>
      </c>
      <c r="G246" s="1615">
        <f>choice603.2</f>
        <v>0</v>
      </c>
      <c r="H246" s="5413"/>
      <c r="I246" s="4957"/>
      <c r="J246" s="1984" t="str">
        <f>IF(H246&gt;0,"Explain verification at rough:","")</f>
        <v/>
      </c>
      <c r="K246" s="4504">
        <f>note603.2</f>
        <v>0</v>
      </c>
      <c r="L246" s="4994"/>
      <c r="M246" s="2702" t="str">
        <f t="shared" si="31"/>
        <v/>
      </c>
      <c r="X246" s="32">
        <f>IF(SUM(H246,I246)&gt;9,1,0)</f>
        <v>0</v>
      </c>
      <c r="Y246" s="32">
        <f>IF(AND(J246&lt;&gt;"",J247=""),1,0)</f>
        <v>0</v>
      </c>
    </row>
    <row r="247" spans="3:25" ht="42" customHeight="1" thickBot="1">
      <c r="C247" s="2145" t="str">
        <f>IF(G247&gt;0,"P","")</f>
        <v/>
      </c>
      <c r="D247" s="2146" t="s">
        <v>2795</v>
      </c>
      <c r="E247" s="5040"/>
      <c r="F247" s="5042"/>
      <c r="G247" s="2334">
        <f>claim603.2</f>
        <v>0</v>
      </c>
      <c r="H247" s="5414"/>
      <c r="I247" s="4959"/>
      <c r="J247" s="1877"/>
      <c r="K247" s="4491"/>
      <c r="L247" s="4833"/>
      <c r="M247" s="2702" t="str">
        <f t="shared" si="31"/>
        <v/>
      </c>
    </row>
    <row r="248" spans="3:25" ht="29.25" customHeight="1" thickTop="1">
      <c r="C248" s="2145" t="str">
        <f>IF(G248&gt;0,"P","")</f>
        <v/>
      </c>
      <c r="D248" s="2146" t="s">
        <v>2796</v>
      </c>
      <c r="E248" s="2422" t="s">
        <v>2353</v>
      </c>
      <c r="F248" s="277">
        <v>4</v>
      </c>
      <c r="G248" s="1614">
        <f>claim603.3</f>
        <v>0</v>
      </c>
      <c r="H248" s="2381"/>
      <c r="I248" s="2395"/>
      <c r="J248" s="1890"/>
      <c r="K248" s="4522">
        <f>note603.3</f>
        <v>0</v>
      </c>
      <c r="L248" s="4980"/>
      <c r="M248" s="2702" t="str">
        <f t="shared" si="31"/>
        <v/>
      </c>
      <c r="X248" s="32">
        <f>IF(AND(H248&gt;0,I248&gt;0),1,0)</f>
        <v>0</v>
      </c>
    </row>
    <row r="249" spans="3:25">
      <c r="C249" s="2145"/>
      <c r="D249" s="2146"/>
      <c r="E249" s="4918" t="s">
        <v>602</v>
      </c>
      <c r="F249" s="4919"/>
      <c r="G249" s="4919"/>
      <c r="H249" s="4919"/>
      <c r="I249" s="4919"/>
      <c r="J249" s="4919"/>
      <c r="K249" s="4919"/>
      <c r="L249" s="4920"/>
      <c r="M249" s="2702" t="str">
        <f t="shared" si="31"/>
        <v/>
      </c>
    </row>
    <row r="250" spans="3:25" ht="15.75" customHeight="1">
      <c r="C250" s="2145" t="str">
        <f>IF(SUM(G251:G253)&gt;0,"P","")</f>
        <v/>
      </c>
      <c r="D250" s="2146" t="s">
        <v>2795</v>
      </c>
      <c r="E250" s="5415" t="s">
        <v>2670</v>
      </c>
      <c r="F250" s="5416"/>
      <c r="G250" s="5416"/>
      <c r="H250" s="5416"/>
      <c r="I250" s="5417"/>
      <c r="J250" s="2363"/>
      <c r="K250" s="4954"/>
      <c r="L250" s="4955"/>
      <c r="M250" s="2702" t="str">
        <f t="shared" si="31"/>
        <v/>
      </c>
    </row>
    <row r="251" spans="3:25">
      <c r="C251" s="2145" t="str">
        <f>IF(SUM(G251:G253)&gt;0,"P","")</f>
        <v/>
      </c>
      <c r="D251" s="2146" t="s">
        <v>2795</v>
      </c>
      <c r="E251" s="2423" t="s">
        <v>1006</v>
      </c>
      <c r="F251" s="2379">
        <v>1</v>
      </c>
      <c r="G251" s="2380">
        <f>IF(claim604.1.1=F251,F251,0)</f>
        <v>0</v>
      </c>
      <c r="H251" s="4957"/>
      <c r="I251" s="4957"/>
      <c r="J251" s="2444" t="str">
        <f>IF(SUM(H251:I253)&gt;0,"List 2 minor materials &amp; % recycle content:", "")</f>
        <v/>
      </c>
      <c r="K251" s="4902">
        <f>note604.1.1</f>
        <v>0</v>
      </c>
      <c r="L251" s="4903"/>
      <c r="M251" s="2702" t="str">
        <f t="shared" si="31"/>
        <v/>
      </c>
      <c r="X251" s="32">
        <f>IF(AND(H251&gt;0,I251&gt;0),1,0)</f>
        <v>0</v>
      </c>
    </row>
    <row r="252" spans="3:25">
      <c r="C252" s="2145" t="str">
        <f>IF(SUM(G251:G253)&gt;0,"P","")</f>
        <v/>
      </c>
      <c r="D252" s="2146" t="s">
        <v>2795</v>
      </c>
      <c r="E252" s="2423" t="s">
        <v>1007</v>
      </c>
      <c r="F252" s="2379">
        <v>2</v>
      </c>
      <c r="G252" s="2380">
        <f>IF(claim604.1.1=F252,F252,0)</f>
        <v>0</v>
      </c>
      <c r="H252" s="4958"/>
      <c r="I252" s="4958"/>
      <c r="J252" s="4892"/>
      <c r="K252" s="4566"/>
      <c r="L252" s="4904"/>
      <c r="M252" s="2702" t="str">
        <f t="shared" si="31"/>
        <v/>
      </c>
    </row>
    <row r="253" spans="3:25" ht="16" thickBot="1">
      <c r="C253" s="2145" t="str">
        <f>IF(SUM(G251:G253)&gt;0,"P","")</f>
        <v/>
      </c>
      <c r="D253" s="2146" t="s">
        <v>2795</v>
      </c>
      <c r="E253" s="2423" t="s">
        <v>1008</v>
      </c>
      <c r="F253" s="2379">
        <v>3</v>
      </c>
      <c r="G253" s="2380">
        <f>IF(claim604.1.1=F253,F253,0)</f>
        <v>0</v>
      </c>
      <c r="H253" s="4959"/>
      <c r="I253" s="4959"/>
      <c r="J253" s="4956"/>
      <c r="K253" s="4572"/>
      <c r="L253" s="4953"/>
      <c r="M253" s="2702" t="str">
        <f t="shared" si="31"/>
        <v/>
      </c>
    </row>
    <row r="254" spans="3:25" ht="16.5" customHeight="1" thickTop="1">
      <c r="C254" s="2145" t="str">
        <f>IF(SUM(G255:G257)&gt;0,"P","")</f>
        <v/>
      </c>
      <c r="D254" s="2146" t="s">
        <v>2795</v>
      </c>
      <c r="E254" s="5418" t="s">
        <v>2669</v>
      </c>
      <c r="F254" s="3851"/>
      <c r="G254" s="3851"/>
      <c r="H254" s="3851"/>
      <c r="I254" s="5419"/>
      <c r="J254" s="2407"/>
      <c r="K254" s="4954"/>
      <c r="L254" s="4955"/>
      <c r="M254" s="2702" t="str">
        <f t="shared" si="31"/>
        <v/>
      </c>
    </row>
    <row r="255" spans="3:25">
      <c r="C255" s="2145" t="str">
        <f>IF(SUM(G251:G253)&gt;0,"P","")</f>
        <v/>
      </c>
      <c r="D255" s="2146" t="s">
        <v>2795</v>
      </c>
      <c r="E255" s="2423" t="s">
        <v>1006</v>
      </c>
      <c r="F255" s="2379">
        <v>2</v>
      </c>
      <c r="G255" s="2380">
        <f>IF(claim604.1.2=F255,F255,0)</f>
        <v>0</v>
      </c>
      <c r="H255" s="4957"/>
      <c r="I255" s="4957"/>
      <c r="J255" s="2444" t="str">
        <f>IF(SUM(H255:I257)&gt;0,"List 2 major materials &amp; % recycle content:", "")</f>
        <v/>
      </c>
      <c r="K255" s="4902">
        <f>note604.1.2</f>
        <v>0</v>
      </c>
      <c r="L255" s="4903"/>
      <c r="M255" s="2702" t="str">
        <f t="shared" si="31"/>
        <v/>
      </c>
      <c r="X255" s="32">
        <f>IF(AND(H255&gt;0,I255&gt;0),1,0)</f>
        <v>0</v>
      </c>
      <c r="Y255" s="32">
        <f>IF(AND(J255&lt;&gt;"",J256=""),1,0)</f>
        <v>0</v>
      </c>
    </row>
    <row r="256" spans="3:25">
      <c r="C256" s="2145" t="str">
        <f>IF(SUM(G251:G253)&gt;0,"P","")</f>
        <v/>
      </c>
      <c r="D256" s="2146" t="s">
        <v>2795</v>
      </c>
      <c r="E256" s="2423" t="s">
        <v>1007</v>
      </c>
      <c r="F256" s="2379">
        <v>4</v>
      </c>
      <c r="G256" s="2380">
        <f>IF(claim604.1.2=F256,F256,0)</f>
        <v>0</v>
      </c>
      <c r="H256" s="4958"/>
      <c r="I256" s="4958"/>
      <c r="J256" s="4892"/>
      <c r="K256" s="4566"/>
      <c r="L256" s="4904"/>
      <c r="M256" s="2702" t="str">
        <f t="shared" si="31"/>
        <v/>
      </c>
    </row>
    <row r="257" spans="3:25" ht="16" thickBot="1">
      <c r="C257" s="2145" t="str">
        <f>IF(SUM(G251:G253)&gt;0,"P","")</f>
        <v/>
      </c>
      <c r="D257" s="2146" t="s">
        <v>2795</v>
      </c>
      <c r="E257" s="2423" t="s">
        <v>1008</v>
      </c>
      <c r="F257" s="2379">
        <v>6</v>
      </c>
      <c r="G257" s="2380">
        <f>IF(claim604.1.2=F257,F257,0)</f>
        <v>0</v>
      </c>
      <c r="H257" s="4959"/>
      <c r="I257" s="4959"/>
      <c r="J257" s="4956"/>
      <c r="K257" s="4572"/>
      <c r="L257" s="4953"/>
      <c r="M257" s="2702" t="str">
        <f t="shared" si="31"/>
        <v/>
      </c>
    </row>
    <row r="258" spans="3:25" ht="16" thickTop="1">
      <c r="C258" s="2145"/>
      <c r="D258" s="2146"/>
      <c r="E258" s="4918" t="s">
        <v>603</v>
      </c>
      <c r="F258" s="4919"/>
      <c r="G258" s="4919"/>
      <c r="H258" s="4919"/>
      <c r="I258" s="4919"/>
      <c r="J258" s="4919"/>
      <c r="K258" s="4919"/>
      <c r="L258" s="4920"/>
      <c r="M258" s="2702" t="str">
        <f t="shared" si="31"/>
        <v/>
      </c>
    </row>
    <row r="259" spans="3:25" ht="42.75" customHeight="1" thickBot="1">
      <c r="C259" s="2145" t="str">
        <f t="shared" ref="C259:C260" si="39">IF(G259&gt;0,"P","")</f>
        <v/>
      </c>
      <c r="D259" s="2146" t="s">
        <v>2796</v>
      </c>
      <c r="E259" s="2445" t="s">
        <v>2356</v>
      </c>
      <c r="F259" s="2325">
        <v>6</v>
      </c>
      <c r="G259" s="2335">
        <f>claim605.1</f>
        <v>0</v>
      </c>
      <c r="H259" s="2381"/>
      <c r="I259" s="2387"/>
      <c r="J259" s="1888"/>
      <c r="K259" s="4526">
        <f>note605.1</f>
        <v>0</v>
      </c>
      <c r="L259" s="4852"/>
      <c r="M259" s="2702" t="str">
        <f t="shared" si="31"/>
        <v/>
      </c>
      <c r="X259" s="32">
        <f>IF(AND(H259&gt;0,I259&gt;0),1,0)</f>
        <v>0</v>
      </c>
    </row>
    <row r="260" spans="3:25" ht="30" customHeight="1" thickTop="1" thickBot="1">
      <c r="C260" s="2145" t="str">
        <f t="shared" si="39"/>
        <v/>
      </c>
      <c r="D260" s="2146" t="s">
        <v>2795</v>
      </c>
      <c r="E260" s="2421" t="s">
        <v>2357</v>
      </c>
      <c r="F260" s="274">
        <v>7</v>
      </c>
      <c r="G260" s="261">
        <f>claim605.2</f>
        <v>0</v>
      </c>
      <c r="H260" s="2381"/>
      <c r="I260" s="2395"/>
      <c r="J260" s="1881"/>
      <c r="K260" s="4609">
        <f>note605.2</f>
        <v>0</v>
      </c>
      <c r="L260" s="4945"/>
      <c r="M260" s="2702" t="str">
        <f t="shared" si="31"/>
        <v/>
      </c>
      <c r="X260" s="32">
        <f>IF(AND(H260&gt;0,I260&gt;0),1,0)</f>
        <v>0</v>
      </c>
    </row>
    <row r="261" spans="3:25" ht="28.5" customHeight="1" thickTop="1">
      <c r="C261" s="2145" t="str">
        <f>IF(SUM(G262:G265)&gt;0,"P","")</f>
        <v/>
      </c>
      <c r="D261" s="2146" t="s">
        <v>2796</v>
      </c>
      <c r="E261" s="5271" t="s">
        <v>2358</v>
      </c>
      <c r="F261" s="5272"/>
      <c r="G261" s="5272"/>
      <c r="H261" s="5272"/>
      <c r="I261" s="5273"/>
      <c r="J261" s="1833"/>
      <c r="K261" s="4611"/>
      <c r="L261" s="5384"/>
      <c r="M261" s="2702" t="str">
        <f t="shared" si="31"/>
        <v/>
      </c>
    </row>
    <row r="262" spans="3:25">
      <c r="C262" s="2145" t="str">
        <f>IF(SUM(G262:G265)&gt;0,"P","")</f>
        <v/>
      </c>
      <c r="D262" s="2146" t="s">
        <v>2796</v>
      </c>
      <c r="E262" s="2423" t="s">
        <v>1017</v>
      </c>
      <c r="F262" s="2379">
        <v>3</v>
      </c>
      <c r="G262" s="2380">
        <f>IF(claim605.3=F262,F262,0)</f>
        <v>0</v>
      </c>
      <c r="H262" s="4910"/>
      <c r="I262" s="4910"/>
      <c r="J262" s="1989" t="str">
        <f>IF(SUM(H262:I265)&gt;0,"Enter recylced materials:","")</f>
        <v/>
      </c>
      <c r="K262" s="4902">
        <f>note605.3</f>
        <v>0</v>
      </c>
      <c r="L262" s="4903"/>
      <c r="M262" s="2702" t="str">
        <f t="shared" si="31"/>
        <v/>
      </c>
      <c r="X262" s="32">
        <f>IF(AND(H262&gt;0,I262&gt;0),1,0)</f>
        <v>0</v>
      </c>
      <c r="Y262" s="32">
        <f>IF(AND(J262&lt;&gt;"",J263=""),1,0)</f>
        <v>0</v>
      </c>
    </row>
    <row r="263" spans="3:25">
      <c r="C263" s="2145" t="str">
        <f>IF(SUM(G262:G265)&gt;0,"P","")</f>
        <v/>
      </c>
      <c r="D263" s="2146" t="s">
        <v>2796</v>
      </c>
      <c r="E263" s="2423" t="s">
        <v>1016</v>
      </c>
      <c r="F263" s="2379">
        <v>4</v>
      </c>
      <c r="G263" s="2380">
        <f>IF(claim605.3=F263,F263,0)</f>
        <v>0</v>
      </c>
      <c r="H263" s="4946"/>
      <c r="I263" s="4946"/>
      <c r="J263" s="4892"/>
      <c r="K263" s="4566"/>
      <c r="L263" s="4904"/>
      <c r="M263" s="2702" t="str">
        <f t="shared" si="31"/>
        <v/>
      </c>
    </row>
    <row r="264" spans="3:25">
      <c r="C264" s="2145" t="str">
        <f>IF(SUM(G262:G265)&gt;0,"P","")</f>
        <v/>
      </c>
      <c r="D264" s="2146" t="s">
        <v>2796</v>
      </c>
      <c r="E264" s="2423" t="s">
        <v>1015</v>
      </c>
      <c r="F264" s="2379">
        <v>5</v>
      </c>
      <c r="G264" s="2380">
        <f>IF(claim605.3=F264,F264,0)</f>
        <v>0</v>
      </c>
      <c r="H264" s="4946"/>
      <c r="I264" s="4946"/>
      <c r="J264" s="4892"/>
      <c r="K264" s="4566"/>
      <c r="L264" s="4904"/>
      <c r="M264" s="2702" t="str">
        <f t="shared" si="31"/>
        <v/>
      </c>
    </row>
    <row r="265" spans="3:25">
      <c r="C265" s="2142" t="str">
        <f>IF(SUM(G262:G265)&gt;0,"P","")</f>
        <v/>
      </c>
      <c r="D265" s="433" t="s">
        <v>2796</v>
      </c>
      <c r="E265" s="2423" t="s">
        <v>1014</v>
      </c>
      <c r="F265" s="2379">
        <v>6</v>
      </c>
      <c r="G265" s="2380">
        <f>IF(claim605.3=F265,F265,0)</f>
        <v>0</v>
      </c>
      <c r="H265" s="4951"/>
      <c r="I265" s="4951"/>
      <c r="J265" s="4956"/>
      <c r="K265" s="4572"/>
      <c r="L265" s="4953"/>
      <c r="M265" s="2702" t="str">
        <f t="shared" si="31"/>
        <v/>
      </c>
    </row>
    <row r="266" spans="3:25">
      <c r="E266" s="4918" t="s">
        <v>604</v>
      </c>
      <c r="F266" s="4919"/>
      <c r="G266" s="4919"/>
      <c r="H266" s="4919"/>
      <c r="I266" s="4919"/>
      <c r="J266" s="4919"/>
      <c r="K266" s="4919"/>
      <c r="L266" s="4920"/>
      <c r="M266" s="2702" t="str">
        <f t="shared" si="31"/>
        <v/>
      </c>
    </row>
    <row r="267" spans="3:25">
      <c r="C267" s="2142" t="str">
        <f>IF(SUM(G267:G270)&gt;0,"P","")</f>
        <v/>
      </c>
      <c r="D267" s="433" t="s">
        <v>2797</v>
      </c>
      <c r="E267" s="2445" t="s">
        <v>2363</v>
      </c>
      <c r="F267" s="2139" t="s">
        <v>605</v>
      </c>
      <c r="G267" s="285">
        <f>claim606.1</f>
        <v>0</v>
      </c>
      <c r="H267" s="4957"/>
      <c r="I267" s="4910"/>
      <c r="J267" s="1985" t="str">
        <f>IF(SUM(H267:I270)&gt;0,"Enter product types","")</f>
        <v/>
      </c>
      <c r="K267" s="4902">
        <f>note606.1</f>
        <v>0</v>
      </c>
      <c r="L267" s="4903"/>
      <c r="M267" s="2702" t="str">
        <f t="shared" si="31"/>
        <v/>
      </c>
      <c r="Y267" s="32">
        <f>IF(AND(J267&lt;&gt;"",J268=""),1,0)</f>
        <v>0</v>
      </c>
    </row>
    <row r="268" spans="3:25">
      <c r="C268" s="2142" t="str">
        <f>IF(SUM(G267:G270)&gt;0,"P","")</f>
        <v/>
      </c>
      <c r="D268" s="433" t="s">
        <v>2797</v>
      </c>
      <c r="E268" s="2423" t="s">
        <v>2359</v>
      </c>
      <c r="F268" s="2390">
        <v>3</v>
      </c>
      <c r="G268" s="2446">
        <f>claim606.1_1</f>
        <v>0</v>
      </c>
      <c r="H268" s="4958"/>
      <c r="I268" s="4946"/>
      <c r="J268" s="5382"/>
      <c r="K268" s="4566"/>
      <c r="L268" s="4904"/>
      <c r="M268" s="2702" t="str">
        <f t="shared" si="31"/>
        <v/>
      </c>
    </row>
    <row r="269" spans="3:25">
      <c r="C269" s="2142" t="str">
        <f>IF(SUM(G267:G270)&gt;0,"P","")</f>
        <v/>
      </c>
      <c r="D269" s="433" t="s">
        <v>2797</v>
      </c>
      <c r="E269" s="2423" t="s">
        <v>2360</v>
      </c>
      <c r="F269" s="2390">
        <v>6</v>
      </c>
      <c r="G269" s="2446">
        <f>claim606.1_2</f>
        <v>0</v>
      </c>
      <c r="H269" s="4958"/>
      <c r="I269" s="4946"/>
      <c r="J269" s="5382"/>
      <c r="K269" s="4566"/>
      <c r="L269" s="4904"/>
      <c r="M269" s="2702" t="str">
        <f t="shared" si="31"/>
        <v/>
      </c>
    </row>
    <row r="270" spans="3:25" ht="16" thickBot="1">
      <c r="C270" s="2142" t="str">
        <f>IF(SUM(G267:G270)&gt;0,"P","")</f>
        <v/>
      </c>
      <c r="D270" s="433" t="s">
        <v>2797</v>
      </c>
      <c r="E270" s="2425" t="s">
        <v>2361</v>
      </c>
      <c r="F270" s="276" t="s">
        <v>2362</v>
      </c>
      <c r="G270" s="1631">
        <f>claim606.1_3</f>
        <v>0</v>
      </c>
      <c r="H270" s="4981"/>
      <c r="I270" s="4951"/>
      <c r="J270" s="5383"/>
      <c r="K270" s="4905"/>
      <c r="L270" s="4906"/>
      <c r="M270" s="2702" t="str">
        <f t="shared" si="31"/>
        <v/>
      </c>
    </row>
    <row r="271" spans="3:25" ht="15.75" customHeight="1" thickTop="1">
      <c r="C271" s="2142" t="str">
        <f>IF(SUM(G272:G275)&gt;0,"P","")</f>
        <v/>
      </c>
      <c r="D271" s="433" t="s">
        <v>2796</v>
      </c>
      <c r="E271" s="4991" t="s">
        <v>2367</v>
      </c>
      <c r="F271" s="4992"/>
      <c r="G271" s="4992"/>
      <c r="H271" s="4992"/>
      <c r="I271" s="4993"/>
      <c r="J271" s="1831"/>
      <c r="K271" s="4528"/>
      <c r="L271" s="4901"/>
      <c r="M271" s="2702" t="str">
        <f t="shared" si="31"/>
        <v/>
      </c>
    </row>
    <row r="272" spans="3:25">
      <c r="C272" s="2142" t="str">
        <f t="shared" ref="C272:C274" si="40">IF(G272&gt;0,"P","")</f>
        <v/>
      </c>
      <c r="D272" s="433" t="s">
        <v>2796</v>
      </c>
      <c r="E272" s="4897" t="s">
        <v>2790</v>
      </c>
      <c r="F272" s="4719">
        <v>3</v>
      </c>
      <c r="G272" s="4592">
        <f>claim606.2_1</f>
        <v>0</v>
      </c>
      <c r="H272" s="4957"/>
      <c r="I272" s="4898"/>
      <c r="J272" s="1985" t="str">
        <f>IF(SUM(H272:I272)&gt;0,"Enter product types &amp; certification","")</f>
        <v/>
      </c>
      <c r="K272" s="4985">
        <f>note606.2</f>
        <v>0</v>
      </c>
      <c r="L272" s="4986"/>
      <c r="M272" s="2702" t="str">
        <f t="shared" ref="M272:M335" si="41">IF(AND(ReportType="Rough",SUM(X272,Y272,Z272,AB272,AC272,AD272,AE272)&gt;0),"!",IF(AND(ReportType="Final", SUM(X272,Y272,AA272,AB272,AC272,AD272,AE272)&gt;0),"!",""))</f>
        <v/>
      </c>
      <c r="X272" s="32">
        <f>IF(AND(H272&gt;0,I272&gt;0),1,0)</f>
        <v>0</v>
      </c>
      <c r="Y272" s="32">
        <f>IF(AND(J272&lt;&gt;"",J273=""),1,0)</f>
        <v>0</v>
      </c>
    </row>
    <row r="273" spans="3:25" ht="41.25" customHeight="1">
      <c r="C273" s="2142" t="str">
        <f>IF(G272&gt;0,"P","")</f>
        <v/>
      </c>
      <c r="D273" s="433" t="s">
        <v>2796</v>
      </c>
      <c r="E273" s="4878"/>
      <c r="F273" s="4488"/>
      <c r="G273" s="4593"/>
      <c r="H273" s="4981"/>
      <c r="I273" s="4899"/>
      <c r="J273" s="1877"/>
      <c r="K273" s="4987"/>
      <c r="L273" s="4988"/>
      <c r="M273" s="2702" t="str">
        <f t="shared" si="41"/>
        <v/>
      </c>
    </row>
    <row r="274" spans="3:25">
      <c r="C274" s="2142" t="str">
        <f t="shared" si="40"/>
        <v/>
      </c>
      <c r="D274" s="433" t="s">
        <v>2796</v>
      </c>
      <c r="E274" s="4897" t="s">
        <v>2791</v>
      </c>
      <c r="F274" s="4719">
        <v>4</v>
      </c>
      <c r="G274" s="4592">
        <f>claim606.2_2</f>
        <v>0</v>
      </c>
      <c r="H274" s="4957"/>
      <c r="I274" s="4898"/>
      <c r="J274" s="1985" t="str">
        <f>IF(SUM(H274:I274)&gt;0,"Enter product types &amp; certification","")</f>
        <v/>
      </c>
      <c r="K274" s="4987"/>
      <c r="L274" s="4988"/>
      <c r="M274" s="2702" t="str">
        <f t="shared" si="41"/>
        <v/>
      </c>
      <c r="X274" s="32">
        <f>IF(AND(H274&gt;0,I274&gt;0),1,0)</f>
        <v>0</v>
      </c>
      <c r="Y274" s="32">
        <f>IF(AND(J274&lt;&gt;"",J275=""),1,0)</f>
        <v>0</v>
      </c>
    </row>
    <row r="275" spans="3:25" ht="39.75" customHeight="1" thickBot="1">
      <c r="C275" s="2142" t="str">
        <f>IF(G274&gt;0,"P","")</f>
        <v/>
      </c>
      <c r="D275" s="433" t="s">
        <v>2796</v>
      </c>
      <c r="E275" s="4873"/>
      <c r="F275" s="4968"/>
      <c r="G275" s="4889"/>
      <c r="H275" s="4981"/>
      <c r="I275" s="4899"/>
      <c r="J275" s="1877"/>
      <c r="K275" s="4989"/>
      <c r="L275" s="4990"/>
      <c r="M275" s="2702" t="str">
        <f t="shared" si="41"/>
        <v/>
      </c>
    </row>
    <row r="276" spans="3:25" ht="30.75" customHeight="1" thickTop="1">
      <c r="C276" s="2142" t="str">
        <f>IF(SUM(G277:G279)&gt;0,"P","")</f>
        <v/>
      </c>
      <c r="D276" s="433" t="s">
        <v>2795</v>
      </c>
      <c r="E276" s="4991" t="s">
        <v>2370</v>
      </c>
      <c r="F276" s="4992"/>
      <c r="G276" s="4992"/>
      <c r="H276" s="4992"/>
      <c r="I276" s="4993"/>
      <c r="J276" s="840"/>
      <c r="K276" s="4495"/>
      <c r="L276" s="4495"/>
      <c r="M276" s="2702" t="str">
        <f t="shared" si="41"/>
        <v/>
      </c>
    </row>
    <row r="277" spans="3:25">
      <c r="C277" s="2142" t="str">
        <f t="shared" ref="C277:C285" si="42">IF(G277&gt;0,"P","")</f>
        <v/>
      </c>
      <c r="D277" s="433" t="s">
        <v>2795</v>
      </c>
      <c r="E277" s="2423" t="s">
        <v>1023</v>
      </c>
      <c r="F277" s="2390">
        <v>2</v>
      </c>
      <c r="G277" s="2380">
        <f>IF(claim606.3=F277,F277,0)</f>
        <v>0</v>
      </c>
      <c r="H277" s="4957"/>
      <c r="I277" s="4957"/>
      <c r="J277" s="1985" t="str">
        <f>IF(SUM(H277:I280)&gt;0,"Enter product types","")</f>
        <v/>
      </c>
      <c r="K277" s="4902">
        <f>note606.3</f>
        <v>0</v>
      </c>
      <c r="L277" s="4903"/>
      <c r="M277" s="2702" t="str">
        <f t="shared" si="41"/>
        <v/>
      </c>
      <c r="X277" s="32">
        <f>IF(AND(H277&gt;0,I277&gt;0),1,0)</f>
        <v>0</v>
      </c>
      <c r="Y277" s="32">
        <f>IF(AND(J277&lt;&gt;"",J278=""),1,0)</f>
        <v>0</v>
      </c>
    </row>
    <row r="278" spans="3:25">
      <c r="C278" s="2142" t="str">
        <f t="shared" si="42"/>
        <v/>
      </c>
      <c r="D278" s="433" t="s">
        <v>2795</v>
      </c>
      <c r="E278" s="2423" t="s">
        <v>2368</v>
      </c>
      <c r="F278" s="2390">
        <v>4</v>
      </c>
      <c r="G278" s="2380">
        <f>IF(claim606.3=F278,F278,0)</f>
        <v>0</v>
      </c>
      <c r="H278" s="4958"/>
      <c r="I278" s="4958"/>
      <c r="J278" s="4892"/>
      <c r="K278" s="4566"/>
      <c r="L278" s="4904"/>
      <c r="M278" s="2702" t="str">
        <f t="shared" si="41"/>
        <v/>
      </c>
    </row>
    <row r="279" spans="3:25" ht="16" thickBot="1">
      <c r="C279" s="2142" t="str">
        <f t="shared" si="42"/>
        <v/>
      </c>
      <c r="D279" s="433" t="s">
        <v>2795</v>
      </c>
      <c r="E279" s="2423" t="s">
        <v>2371</v>
      </c>
      <c r="F279" s="2390">
        <v>6</v>
      </c>
      <c r="G279" s="2380">
        <f>IF(claim606.3=F279,F279,0)</f>
        <v>0</v>
      </c>
      <c r="H279" s="4959"/>
      <c r="I279" s="4959"/>
      <c r="J279" s="4956"/>
      <c r="K279" s="4572"/>
      <c r="L279" s="4953"/>
      <c r="M279" s="2702" t="str">
        <f t="shared" si="41"/>
        <v/>
      </c>
    </row>
    <row r="280" spans="3:25" ht="16" thickTop="1">
      <c r="D280" s="433" t="s">
        <v>2795</v>
      </c>
      <c r="E280" s="4918" t="s">
        <v>2386</v>
      </c>
      <c r="F280" s="4919"/>
      <c r="G280" s="4919"/>
      <c r="H280" s="4919"/>
      <c r="I280" s="4919"/>
      <c r="J280" s="4919"/>
      <c r="K280" s="4919"/>
      <c r="L280" s="4920"/>
      <c r="M280" s="2702" t="str">
        <f t="shared" si="41"/>
        <v/>
      </c>
    </row>
    <row r="281" spans="3:25" ht="30">
      <c r="C281" s="2142" t="str">
        <f t="shared" si="42"/>
        <v/>
      </c>
      <c r="D281" s="433" t="s">
        <v>2797</v>
      </c>
      <c r="E281" s="2445" t="s">
        <v>2372</v>
      </c>
      <c r="F281" s="2325">
        <v>3</v>
      </c>
      <c r="G281" s="2335">
        <f>claim607.1_1</f>
        <v>0</v>
      </c>
      <c r="H281" s="2387"/>
      <c r="I281" s="2395"/>
      <c r="J281" s="1888"/>
      <c r="K281" s="4857">
        <f>note607.1_1</f>
        <v>0</v>
      </c>
      <c r="L281" s="4858"/>
      <c r="M281" s="2702" t="str">
        <f t="shared" si="41"/>
        <v/>
      </c>
      <c r="X281" s="32">
        <f>IF(AND(H281&gt;0,I281&gt;0),1,0)</f>
        <v>0</v>
      </c>
    </row>
    <row r="282" spans="3:25" ht="16" thickBot="1">
      <c r="C282" s="2142" t="str">
        <f t="shared" si="42"/>
        <v/>
      </c>
      <c r="D282" s="433" t="s">
        <v>2797</v>
      </c>
      <c r="E282" s="2447" t="s">
        <v>2373</v>
      </c>
      <c r="F282" s="2342">
        <v>3</v>
      </c>
      <c r="G282" s="2334">
        <f>claim607.1_2</f>
        <v>0</v>
      </c>
      <c r="H282" s="2387"/>
      <c r="I282" s="2395"/>
      <c r="J282" s="2350"/>
      <c r="K282" s="4540">
        <f>note607.1_2</f>
        <v>0</v>
      </c>
      <c r="L282" s="4924"/>
      <c r="M282" s="2702" t="str">
        <f t="shared" si="41"/>
        <v/>
      </c>
      <c r="X282" s="32">
        <f>IF(AND(H282&gt;0,I282&gt;0),1,0)</f>
        <v>0</v>
      </c>
    </row>
    <row r="283" spans="3:25" ht="16" thickTop="1">
      <c r="C283" s="2142" t="str">
        <f t="shared" si="42"/>
        <v/>
      </c>
      <c r="D283" s="433" t="s">
        <v>2797</v>
      </c>
      <c r="E283" s="2400" t="s">
        <v>2374</v>
      </c>
      <c r="F283" s="277">
        <v>1</v>
      </c>
      <c r="G283" s="1614">
        <f>claim607.2</f>
        <v>0</v>
      </c>
      <c r="H283" s="2387"/>
      <c r="I283" s="2395"/>
      <c r="J283" s="1890"/>
      <c r="K283" s="4607">
        <f>note607.2</f>
        <v>0</v>
      </c>
      <c r="L283" s="5472"/>
      <c r="M283" s="2702" t="str">
        <f t="shared" si="41"/>
        <v/>
      </c>
      <c r="X283" s="32">
        <f>IF(AND(H283&gt;0,I283&gt;0),1,0)</f>
        <v>0</v>
      </c>
    </row>
    <row r="284" spans="3:25">
      <c r="D284" s="433" t="s">
        <v>2797</v>
      </c>
      <c r="E284" s="4918" t="s">
        <v>2385</v>
      </c>
      <c r="F284" s="4919"/>
      <c r="G284" s="4919"/>
      <c r="H284" s="4919"/>
      <c r="I284" s="4919"/>
      <c r="J284" s="4919"/>
      <c r="K284" s="4919"/>
      <c r="L284" s="4920"/>
      <c r="M284" s="2702" t="str">
        <f t="shared" si="41"/>
        <v/>
      </c>
    </row>
    <row r="285" spans="3:25" ht="15" customHeight="1">
      <c r="C285" s="2142" t="str">
        <f t="shared" si="42"/>
        <v/>
      </c>
      <c r="D285" s="433" t="s">
        <v>2795</v>
      </c>
      <c r="E285" s="5297" t="s">
        <v>2660</v>
      </c>
      <c r="F285" s="5440" t="s">
        <v>2695</v>
      </c>
      <c r="G285" s="4982">
        <f>claim608.1</f>
        <v>0</v>
      </c>
      <c r="H285" s="4957"/>
      <c r="I285" s="4936"/>
      <c r="J285" s="1988" t="str">
        <f>IF(SUM(H285,I285)&gt;0,"Enter product descriptions:","")</f>
        <v/>
      </c>
      <c r="K285" s="5199">
        <f>note608.1</f>
        <v>0</v>
      </c>
      <c r="L285" s="4903"/>
      <c r="M285" s="2702" t="str">
        <f t="shared" si="41"/>
        <v/>
      </c>
    </row>
    <row r="286" spans="3:25" ht="54" customHeight="1">
      <c r="C286" s="2142" t="str">
        <f>IF(G285&gt;0,"P","")</f>
        <v/>
      </c>
      <c r="D286" s="433" t="s">
        <v>2795</v>
      </c>
      <c r="E286" s="5347"/>
      <c r="F286" s="3750"/>
      <c r="G286" s="4983"/>
      <c r="H286" s="4958"/>
      <c r="I286" s="4937"/>
      <c r="J286" s="5141"/>
      <c r="K286" s="3101"/>
      <c r="L286" s="4904"/>
      <c r="M286" s="2702" t="str">
        <f t="shared" si="41"/>
        <v/>
      </c>
      <c r="X286" s="32">
        <f>IF(SUM(H285,I285)&gt;9,1,0)</f>
        <v>0</v>
      </c>
      <c r="Y286" s="32">
        <f>IF(AND(J285&lt;&gt;"",J286=""),1,0)</f>
        <v>0</v>
      </c>
    </row>
    <row r="287" spans="3:25">
      <c r="C287" s="2142" t="str">
        <f>IF(G285&gt;0,"P","")</f>
        <v/>
      </c>
      <c r="E287" s="5271"/>
      <c r="F287" s="5441"/>
      <c r="G287" s="4984"/>
      <c r="H287" s="4981"/>
      <c r="I287" s="4938"/>
      <c r="J287" s="5142"/>
      <c r="K287" s="4364"/>
      <c r="L287" s="4953"/>
      <c r="M287" s="2702" t="str">
        <f t="shared" si="41"/>
        <v/>
      </c>
    </row>
    <row r="288" spans="3:25">
      <c r="E288" s="4921"/>
      <c r="F288" s="4922"/>
      <c r="G288" s="4922"/>
      <c r="H288" s="4922"/>
      <c r="I288" s="4922"/>
      <c r="J288" s="4922"/>
      <c r="K288" s="4922"/>
      <c r="L288" s="4923"/>
      <c r="M288" s="2702" t="str">
        <f t="shared" si="41"/>
        <v/>
      </c>
    </row>
    <row r="289" spans="3:25" ht="18.75" customHeight="1">
      <c r="C289" s="2142" t="str">
        <f t="shared" ref="C289" si="43">IF(G289&gt;0,"P","")</f>
        <v/>
      </c>
      <c r="D289" s="433" t="s">
        <v>2795</v>
      </c>
      <c r="E289" s="5466" t="s">
        <v>2693</v>
      </c>
      <c r="F289" s="5440" t="s">
        <v>2694</v>
      </c>
      <c r="G289" s="5468">
        <f>claim609.1</f>
        <v>0</v>
      </c>
      <c r="H289" s="4957"/>
      <c r="I289" s="4957"/>
      <c r="J289" s="1988" t="str">
        <f>IF(SUM(H289,I289)&gt;0,"Enter material descriptions:","")</f>
        <v/>
      </c>
      <c r="K289" s="4902">
        <f>note609.1</f>
        <v>0</v>
      </c>
      <c r="L289" s="4903"/>
      <c r="M289" s="2702" t="str">
        <f t="shared" si="41"/>
        <v/>
      </c>
      <c r="X289" s="32">
        <f>IF(SUM(H289,I289)&gt;10,1,0)</f>
        <v>0</v>
      </c>
      <c r="Y289" s="32">
        <f>IF(AND(J289&lt;&gt;"",J290=""),1,0)</f>
        <v>0</v>
      </c>
    </row>
    <row r="290" spans="3:25" ht="19.5" customHeight="1">
      <c r="C290" s="2142" t="str">
        <f>IF(G289&gt;0,"P","")</f>
        <v/>
      </c>
      <c r="D290" s="433" t="s">
        <v>2795</v>
      </c>
      <c r="E290" s="5467"/>
      <c r="F290" s="5441"/>
      <c r="G290" s="5469"/>
      <c r="H290" s="4981"/>
      <c r="I290" s="4981"/>
      <c r="J290" s="2001"/>
      <c r="K290" s="4572"/>
      <c r="L290" s="4953"/>
      <c r="M290" s="2702" t="str">
        <f t="shared" si="41"/>
        <v/>
      </c>
    </row>
    <row r="291" spans="3:25">
      <c r="E291" s="4918" t="s">
        <v>2382</v>
      </c>
      <c r="F291" s="4919"/>
      <c r="G291" s="4919"/>
      <c r="H291" s="4919"/>
      <c r="I291" s="4919"/>
      <c r="J291" s="4919"/>
      <c r="K291" s="4919"/>
      <c r="L291" s="4920"/>
      <c r="M291" s="2702" t="str">
        <f t="shared" si="41"/>
        <v/>
      </c>
    </row>
    <row r="292" spans="3:25" ht="16">
      <c r="C292" s="2142" t="str">
        <f t="shared" ref="C292" si="44">IF(G292&gt;0,"P","")</f>
        <v/>
      </c>
      <c r="D292" s="433" t="s">
        <v>2796</v>
      </c>
      <c r="E292" s="5297" t="s">
        <v>2671</v>
      </c>
      <c r="F292" s="5438" t="s">
        <v>2661</v>
      </c>
      <c r="G292" s="5442">
        <f>claim610.1</f>
        <v>0</v>
      </c>
      <c r="H292" s="4914">
        <f>IF(SUM(H294,I294,H297,H301)&gt;15,15,SUM(H294,I294,H297,H301))</f>
        <v>0</v>
      </c>
      <c r="I292" s="4915"/>
      <c r="J292" s="1988" t="str">
        <f>IF(SUM(I294:I305)&gt;0,"Explain verification at final","")</f>
        <v/>
      </c>
      <c r="K292" s="5199">
        <f>note610.1</f>
        <v>0</v>
      </c>
      <c r="L292" s="4903"/>
      <c r="M292" s="2702" t="str">
        <f t="shared" si="41"/>
        <v/>
      </c>
      <c r="Y292" s="32">
        <f>IF(AND(J292&lt;&gt;"",J293=""),1,0)</f>
        <v>0</v>
      </c>
    </row>
    <row r="293" spans="3:25" ht="49.5" customHeight="1">
      <c r="C293" s="2142" t="str">
        <f>IF(G292&gt;0,"P","")</f>
        <v/>
      </c>
      <c r="D293" s="433" t="s">
        <v>2796</v>
      </c>
      <c r="E293" s="5271"/>
      <c r="F293" s="5439"/>
      <c r="G293" s="5443"/>
      <c r="H293" s="4916"/>
      <c r="I293" s="4917"/>
      <c r="J293" s="2343"/>
      <c r="K293" s="4364"/>
      <c r="L293" s="4953"/>
      <c r="M293" s="2702" t="str">
        <f t="shared" si="41"/>
        <v/>
      </c>
    </row>
    <row r="294" spans="3:25" ht="21" customHeight="1">
      <c r="C294" s="2142" t="str">
        <f t="shared" ref="C294:C304" si="45">IF(G294&gt;0,"P","")</f>
        <v/>
      </c>
      <c r="D294" s="433" t="s">
        <v>2796</v>
      </c>
      <c r="E294" s="4897" t="s">
        <v>2672</v>
      </c>
      <c r="F294" s="4934">
        <v>15</v>
      </c>
      <c r="G294" s="4592">
        <f>claim610.1.1</f>
        <v>0</v>
      </c>
      <c r="H294" s="4910"/>
      <c r="I294" s="4834"/>
      <c r="J294" s="2010" t="str">
        <f>IF(SUM(H294:I297)&gt;0,"Enter LCA tool used and who did the LCA","")</f>
        <v/>
      </c>
      <c r="K294" s="4902">
        <f>note610.1.1</f>
        <v>0</v>
      </c>
      <c r="L294" s="4903"/>
      <c r="M294" s="2702" t="str">
        <f t="shared" si="41"/>
        <v/>
      </c>
      <c r="Y294" s="32">
        <f>IF(AND(J294&lt;&gt;"",J295=""),1,0)</f>
        <v>0</v>
      </c>
    </row>
    <row r="295" spans="3:25" ht="33" customHeight="1">
      <c r="C295" s="2142" t="str">
        <f>IF(G294&gt;0,"P","")</f>
        <v/>
      </c>
      <c r="D295" s="433" t="s">
        <v>2796</v>
      </c>
      <c r="E295" s="4878"/>
      <c r="F295" s="4935"/>
      <c r="G295" s="4593"/>
      <c r="H295" s="4951"/>
      <c r="I295" s="4933"/>
      <c r="J295" s="2337"/>
      <c r="K295" s="4572"/>
      <c r="L295" s="4953"/>
      <c r="M295" s="2702" t="str">
        <f t="shared" si="41"/>
        <v/>
      </c>
    </row>
    <row r="296" spans="3:25" ht="60" customHeight="1">
      <c r="C296" s="2142" t="str">
        <f t="shared" si="45"/>
        <v/>
      </c>
      <c r="D296" s="433" t="s">
        <v>2796</v>
      </c>
      <c r="E296" s="2447" t="s">
        <v>2677</v>
      </c>
      <c r="F296" s="1987" t="s">
        <v>2673</v>
      </c>
      <c r="G296" s="2334">
        <f>claim610.1.2</f>
        <v>0</v>
      </c>
      <c r="H296" s="5362"/>
      <c r="I296" s="5363"/>
      <c r="J296" s="2448"/>
      <c r="K296" s="5412"/>
      <c r="L296" s="5412"/>
      <c r="M296" s="2702" t="str">
        <f t="shared" si="41"/>
        <v/>
      </c>
      <c r="W296" s="2679"/>
    </row>
    <row r="297" spans="3:25" ht="28.5" customHeight="1">
      <c r="C297" s="2142" t="str">
        <f t="shared" si="45"/>
        <v/>
      </c>
      <c r="D297" s="433" t="s">
        <v>2796</v>
      </c>
      <c r="E297" s="4897" t="s">
        <v>2678</v>
      </c>
      <c r="F297" s="5409" t="s">
        <v>609</v>
      </c>
      <c r="G297" s="4592">
        <f>claim610.1.2</f>
        <v>0</v>
      </c>
      <c r="H297" s="4867">
        <f>IF(SUM(H299*2,H300*3,I299*2,I300*3)&gt;10,10,SUM(H299*2,H300*3,I299*2,I300*3))</f>
        <v>0</v>
      </c>
      <c r="I297" s="4868"/>
      <c r="J297" s="2010" t="str">
        <f>IF(SUM(H299:I300)&gt;0,"Enter LCA tool used, products compared &amp; who did the LCA","")</f>
        <v/>
      </c>
      <c r="K297" s="4810">
        <f>note610.1.2_1</f>
        <v>0</v>
      </c>
      <c r="L297" s="4811"/>
      <c r="M297" s="2702" t="str">
        <f t="shared" si="41"/>
        <v/>
      </c>
      <c r="Y297" s="32">
        <f>IF(AND(J297&lt;&gt;"",J298=""),1,0)</f>
        <v>0</v>
      </c>
    </row>
    <row r="298" spans="3:25" ht="51.75" customHeight="1">
      <c r="C298" s="2142" t="str">
        <f>IF(G297&gt;0,"P","")</f>
        <v/>
      </c>
      <c r="D298" s="433" t="s">
        <v>2796</v>
      </c>
      <c r="E298" s="4878"/>
      <c r="F298" s="5410"/>
      <c r="G298" s="4593"/>
      <c r="H298" s="4925"/>
      <c r="I298" s="4926"/>
      <c r="J298" s="4892"/>
      <c r="K298" s="4491"/>
      <c r="L298" s="4833"/>
      <c r="M298" s="2702" t="str">
        <f t="shared" si="41"/>
        <v/>
      </c>
      <c r="W298" s="2679"/>
    </row>
    <row r="299" spans="3:25">
      <c r="C299" s="2142" t="str">
        <f t="shared" si="45"/>
        <v/>
      </c>
      <c r="D299" s="433" t="s">
        <v>2796</v>
      </c>
      <c r="E299" s="4927" t="s">
        <v>2408</v>
      </c>
      <c r="F299" s="4928"/>
      <c r="G299" s="2380">
        <f>enter610.1.2_1_4meas</f>
        <v>0</v>
      </c>
      <c r="H299" s="1996"/>
      <c r="I299" s="1997"/>
      <c r="J299" s="4892"/>
      <c r="K299" s="4491"/>
      <c r="L299" s="4833"/>
      <c r="M299" s="2702" t="str">
        <f t="shared" si="41"/>
        <v/>
      </c>
    </row>
    <row r="300" spans="3:25">
      <c r="C300" s="2142" t="str">
        <f t="shared" si="45"/>
        <v/>
      </c>
      <c r="D300" s="433" t="s">
        <v>2796</v>
      </c>
      <c r="E300" s="4927" t="s">
        <v>2409</v>
      </c>
      <c r="F300" s="4928"/>
      <c r="G300" s="2380">
        <f>enter610.1.2_1_5meas</f>
        <v>0</v>
      </c>
      <c r="H300" s="1998"/>
      <c r="I300" s="1999"/>
      <c r="J300" s="4956"/>
      <c r="K300" s="4493"/>
      <c r="L300" s="4856"/>
      <c r="M300" s="2702" t="str">
        <f t="shared" si="41"/>
        <v/>
      </c>
    </row>
    <row r="301" spans="3:25" ht="42" customHeight="1">
      <c r="C301" s="2142" t="str">
        <f t="shared" si="45"/>
        <v/>
      </c>
      <c r="D301" s="433" t="s">
        <v>2796</v>
      </c>
      <c r="E301" s="2386" t="s">
        <v>2679</v>
      </c>
      <c r="F301" s="2449" t="s">
        <v>609</v>
      </c>
      <c r="G301" s="2380">
        <f>choice610.1.2_2</f>
        <v>0</v>
      </c>
      <c r="H301" s="4912">
        <f>ar610.1.2.2</f>
        <v>0</v>
      </c>
      <c r="I301" s="4913"/>
      <c r="J301" s="2010" t="str">
        <f>IF(SUM(H301:I304)&gt;0,"Enter LCA tool used, assemblies compared &amp; who did the LCA","")</f>
        <v/>
      </c>
      <c r="K301" s="4810">
        <f>note610.1.2_2</f>
        <v>0</v>
      </c>
      <c r="L301" s="4811"/>
      <c r="M301" s="2702" t="str">
        <f t="shared" si="41"/>
        <v/>
      </c>
      <c r="Y301" s="32">
        <f>IF(AND(J301&lt;&gt;"",J302=""),1,0)</f>
        <v>0</v>
      </c>
    </row>
    <row r="302" spans="3:25">
      <c r="C302" s="2142" t="str">
        <f t="shared" si="45"/>
        <v/>
      </c>
      <c r="D302" s="433" t="s">
        <v>2796</v>
      </c>
      <c r="E302" s="4927" t="s">
        <v>2411</v>
      </c>
      <c r="F302" s="4928"/>
      <c r="G302" s="2450">
        <f>enter610.1.2_2_walls</f>
        <v>0</v>
      </c>
      <c r="H302" s="1996"/>
      <c r="I302" s="1997"/>
      <c r="J302" s="4892"/>
      <c r="K302" s="4491"/>
      <c r="L302" s="4833"/>
      <c r="M302" s="2702" t="str">
        <f t="shared" si="41"/>
        <v/>
      </c>
    </row>
    <row r="303" spans="3:25">
      <c r="C303" s="2142" t="str">
        <f t="shared" si="45"/>
        <v/>
      </c>
      <c r="D303" s="433" t="s">
        <v>2796</v>
      </c>
      <c r="E303" s="4927" t="s">
        <v>2412</v>
      </c>
      <c r="F303" s="4928"/>
      <c r="G303" s="2450">
        <f>enter610.1.2_2_walls</f>
        <v>0</v>
      </c>
      <c r="H303" s="1996"/>
      <c r="I303" s="2000"/>
      <c r="J303" s="4892"/>
      <c r="K303" s="4491"/>
      <c r="L303" s="4833"/>
      <c r="M303" s="2702" t="str">
        <f t="shared" si="41"/>
        <v/>
      </c>
    </row>
    <row r="304" spans="3:25">
      <c r="C304" s="2142" t="str">
        <f t="shared" si="45"/>
        <v/>
      </c>
      <c r="D304" s="433" t="s">
        <v>2796</v>
      </c>
      <c r="E304" s="4927" t="s">
        <v>2413</v>
      </c>
      <c r="F304" s="4928"/>
      <c r="G304" s="2450">
        <f>enter610.1.2_2_interior</f>
        <v>0</v>
      </c>
      <c r="H304" s="1996"/>
      <c r="I304" s="2000"/>
      <c r="J304" s="4892"/>
      <c r="K304" s="4491"/>
      <c r="L304" s="4833"/>
      <c r="M304" s="2702" t="str">
        <f t="shared" si="41"/>
        <v/>
      </c>
    </row>
    <row r="305" spans="3:25">
      <c r="C305" s="2142" t="str">
        <f>IF(G304&gt;0,"P","")</f>
        <v/>
      </c>
      <c r="D305" s="433" t="s">
        <v>2796</v>
      </c>
      <c r="E305" s="4927" t="s">
        <v>2414</v>
      </c>
      <c r="F305" s="4928"/>
      <c r="G305" s="2450">
        <f>enter610.1.2_2_floors</f>
        <v>0</v>
      </c>
      <c r="H305" s="1996"/>
      <c r="I305" s="1999"/>
      <c r="J305" s="4956"/>
      <c r="K305" s="4493"/>
      <c r="L305" s="4856"/>
      <c r="M305" s="2702" t="str">
        <f t="shared" si="41"/>
        <v/>
      </c>
    </row>
    <row r="306" spans="3:25">
      <c r="E306" s="4918" t="s">
        <v>2381</v>
      </c>
      <c r="F306" s="4919"/>
      <c r="G306" s="4919"/>
      <c r="H306" s="4919"/>
      <c r="I306" s="4919"/>
      <c r="J306" s="4919"/>
      <c r="K306" s="4919"/>
      <c r="L306" s="4920"/>
      <c r="M306" s="2702" t="str">
        <f t="shared" si="41"/>
        <v/>
      </c>
    </row>
    <row r="307" spans="3:25" ht="21.75" customHeight="1">
      <c r="C307" s="2142" t="str">
        <f t="shared" ref="C307" si="46">IF(G307&gt;0,"P","")</f>
        <v/>
      </c>
      <c r="D307" s="433" t="s">
        <v>2795</v>
      </c>
      <c r="E307" s="5297" t="s">
        <v>2686</v>
      </c>
      <c r="F307" s="5346"/>
      <c r="G307" s="5034">
        <f>claim611.1</f>
        <v>0</v>
      </c>
      <c r="H307" s="4910"/>
      <c r="I307" s="4910"/>
      <c r="J307" s="1989" t="str">
        <f>IF(SUM(H307:I307)&gt;0,"Enter manufacturer &amp; ISO registrar","")</f>
        <v/>
      </c>
      <c r="K307" s="4902">
        <f>note611.1</f>
        <v>0</v>
      </c>
      <c r="L307" s="4903"/>
      <c r="M307" s="2702" t="str">
        <f t="shared" si="41"/>
        <v/>
      </c>
      <c r="X307" s="32">
        <f>IF(SUM(H307,I307)&gt;10,1,0)</f>
        <v>0</v>
      </c>
      <c r="Y307" s="32">
        <f>IF(AND(J307&lt;&gt;"",J308=""),1,0)</f>
        <v>0</v>
      </c>
    </row>
    <row r="308" spans="3:25" ht="15" customHeight="1">
      <c r="C308" s="2142" t="str">
        <f>IF(G307&gt;0,"P","")</f>
        <v/>
      </c>
      <c r="D308" s="433" t="s">
        <v>2795</v>
      </c>
      <c r="E308" s="5347"/>
      <c r="F308" s="4005"/>
      <c r="G308" s="5399"/>
      <c r="H308" s="4946"/>
      <c r="I308" s="4946"/>
      <c r="J308" s="4892"/>
      <c r="K308" s="4566"/>
      <c r="L308" s="4904"/>
      <c r="M308" s="2702" t="str">
        <f t="shared" si="41"/>
        <v/>
      </c>
    </row>
    <row r="309" spans="3:25" ht="15.75" customHeight="1">
      <c r="C309" s="2142" t="str">
        <f>IF(G307&gt;0,"P","")</f>
        <v/>
      </c>
      <c r="D309" s="433" t="s">
        <v>2795</v>
      </c>
      <c r="E309" s="5347"/>
      <c r="F309" s="4005"/>
      <c r="G309" s="5399"/>
      <c r="H309" s="4946"/>
      <c r="I309" s="4946"/>
      <c r="J309" s="4892"/>
      <c r="K309" s="4566"/>
      <c r="L309" s="4904"/>
      <c r="M309" s="2702" t="str">
        <f t="shared" si="41"/>
        <v/>
      </c>
    </row>
    <row r="310" spans="3:25" ht="33.75" customHeight="1">
      <c r="C310" s="2142" t="str">
        <f>IF(G307&gt;0,"P","")</f>
        <v/>
      </c>
      <c r="D310" s="433" t="s">
        <v>2795</v>
      </c>
      <c r="E310" s="5271"/>
      <c r="F310" s="5272"/>
      <c r="G310" s="5035"/>
      <c r="H310" s="4951"/>
      <c r="I310" s="4951"/>
      <c r="J310" s="4892"/>
      <c r="K310" s="4572"/>
      <c r="L310" s="4953"/>
      <c r="M310" s="2702" t="str">
        <f t="shared" si="41"/>
        <v/>
      </c>
    </row>
    <row r="311" spans="3:25" ht="18.75" customHeight="1">
      <c r="C311" s="2142" t="str">
        <f t="shared" ref="C311" si="47">IF(G311&gt;0,"P","")</f>
        <v/>
      </c>
      <c r="D311" s="433" t="s">
        <v>2795</v>
      </c>
      <c r="E311" s="4897" t="s">
        <v>2389</v>
      </c>
      <c r="F311" s="5397" t="s">
        <v>584</v>
      </c>
      <c r="G311" s="5364">
        <f>claim611.2</f>
        <v>0</v>
      </c>
      <c r="H311" s="5366"/>
      <c r="I311" s="5366"/>
      <c r="J311" s="2011" t="str">
        <f>IF(OR(I317&gt;0,H313&gt;0,H314&gt;0,H316&gt;0,H318&gt;0,H319&gt;0),"Explain verification out of sequence","")</f>
        <v/>
      </c>
      <c r="K311" s="5368"/>
      <c r="L311" s="5369"/>
      <c r="M311" s="2702" t="str">
        <f t="shared" si="41"/>
        <v/>
      </c>
      <c r="W311" s="2679"/>
      <c r="X311" s="32">
        <f>IF(SUM(H313:I319)&gt;9,1,0)</f>
        <v>0</v>
      </c>
      <c r="Y311" s="32">
        <f>IF(AND(J311&lt;&gt;"",J312=""),1,0)</f>
        <v>0</v>
      </c>
    </row>
    <row r="312" spans="3:25" ht="40.5" customHeight="1">
      <c r="C312" s="2142" t="str">
        <f>IF(G311&gt;0,"P","")</f>
        <v/>
      </c>
      <c r="D312" s="433" t="s">
        <v>2795</v>
      </c>
      <c r="E312" s="4878"/>
      <c r="F312" s="5398"/>
      <c r="G312" s="5365"/>
      <c r="H312" s="5367"/>
      <c r="I312" s="5367"/>
      <c r="J312" s="2337"/>
      <c r="K312" s="5370"/>
      <c r="L312" s="5371"/>
      <c r="M312" s="2702" t="str">
        <f t="shared" si="41"/>
        <v/>
      </c>
    </row>
    <row r="313" spans="3:25" ht="30">
      <c r="C313" s="2142" t="str">
        <f t="shared" ref="C313:C324" si="48">IF(G313&gt;0,"P","")</f>
        <v/>
      </c>
      <c r="D313" s="433" t="s">
        <v>2797</v>
      </c>
      <c r="E313" s="2423" t="s">
        <v>2390</v>
      </c>
      <c r="F313" s="2451">
        <v>3</v>
      </c>
      <c r="G313" s="2380">
        <f>IF(claim611.2_1=F313,F313,0)</f>
        <v>0</v>
      </c>
      <c r="H313" s="2387"/>
      <c r="I313" s="2381"/>
      <c r="J313" s="2381"/>
      <c r="K313" s="4857">
        <f>note611.2_1</f>
        <v>0</v>
      </c>
      <c r="L313" s="4858"/>
      <c r="M313" s="2702" t="str">
        <f t="shared" si="41"/>
        <v/>
      </c>
      <c r="X313" s="32">
        <f t="shared" ref="X313:X319" si="49">IF(AND(H313&gt;0,I313&gt;0),1,0)</f>
        <v>0</v>
      </c>
    </row>
    <row r="314" spans="3:25" ht="30">
      <c r="C314" s="2142" t="str">
        <f t="shared" si="48"/>
        <v/>
      </c>
      <c r="D314" s="433" t="s">
        <v>2797</v>
      </c>
      <c r="E314" s="2423" t="s">
        <v>2391</v>
      </c>
      <c r="F314" s="2451">
        <v>3</v>
      </c>
      <c r="G314" s="2380">
        <f>IF(claim611.2_2=F314,F314,0)</f>
        <v>0</v>
      </c>
      <c r="H314" s="2387"/>
      <c r="I314" s="2381"/>
      <c r="J314" s="2381"/>
      <c r="K314" s="4857">
        <f>note611.2_2</f>
        <v>0</v>
      </c>
      <c r="L314" s="4858"/>
      <c r="M314" s="2702" t="str">
        <f t="shared" si="41"/>
        <v/>
      </c>
      <c r="X314" s="32">
        <f t="shared" si="49"/>
        <v>0</v>
      </c>
    </row>
    <row r="315" spans="3:25" ht="30">
      <c r="C315" s="2142" t="str">
        <f t="shared" si="48"/>
        <v/>
      </c>
      <c r="D315" s="433" t="s">
        <v>2795</v>
      </c>
      <c r="E315" s="2423" t="s">
        <v>2392</v>
      </c>
      <c r="F315" s="2451">
        <v>3</v>
      </c>
      <c r="G315" s="2380">
        <f>IF(claim611.2_3=F315,F315,0)</f>
        <v>0</v>
      </c>
      <c r="H315" s="2381"/>
      <c r="I315" s="2381"/>
      <c r="J315" s="2381"/>
      <c r="K315" s="4857">
        <f>note611.2_3</f>
        <v>0</v>
      </c>
      <c r="L315" s="4858"/>
      <c r="M315" s="2702" t="str">
        <f t="shared" si="41"/>
        <v/>
      </c>
      <c r="X315" s="32">
        <f t="shared" si="49"/>
        <v>0</v>
      </c>
    </row>
    <row r="316" spans="3:25" ht="30">
      <c r="C316" s="2142" t="str">
        <f t="shared" si="48"/>
        <v/>
      </c>
      <c r="D316" s="433" t="s">
        <v>2797</v>
      </c>
      <c r="E316" s="2423" t="s">
        <v>2393</v>
      </c>
      <c r="F316" s="2451">
        <v>3</v>
      </c>
      <c r="G316" s="2380">
        <f>IF(claim611.2_4=F316,F316,0)</f>
        <v>0</v>
      </c>
      <c r="H316" s="2387"/>
      <c r="I316" s="2381"/>
      <c r="J316" s="2381"/>
      <c r="K316" s="4857">
        <f>note611.2_4</f>
        <v>0</v>
      </c>
      <c r="L316" s="4858"/>
      <c r="M316" s="2702" t="str">
        <f t="shared" si="41"/>
        <v/>
      </c>
      <c r="X316" s="32">
        <f t="shared" si="49"/>
        <v>0</v>
      </c>
    </row>
    <row r="317" spans="3:25" ht="30">
      <c r="C317" s="2142" t="str">
        <f t="shared" si="48"/>
        <v/>
      </c>
      <c r="D317" s="433" t="s">
        <v>2797</v>
      </c>
      <c r="E317" s="2423" t="s">
        <v>2394</v>
      </c>
      <c r="F317" s="2451">
        <v>3</v>
      </c>
      <c r="G317" s="2380">
        <f>IF(claim611.2_5=F317,F317,0)</f>
        <v>0</v>
      </c>
      <c r="H317" s="2381"/>
      <c r="I317" s="2387"/>
      <c r="J317" s="2381"/>
      <c r="K317" s="4857">
        <f>note611.2_5</f>
        <v>0</v>
      </c>
      <c r="L317" s="4858"/>
      <c r="M317" s="2702" t="str">
        <f t="shared" si="41"/>
        <v/>
      </c>
      <c r="X317" s="32">
        <f t="shared" si="49"/>
        <v>0</v>
      </c>
    </row>
    <row r="318" spans="3:25" ht="30">
      <c r="C318" s="2142" t="str">
        <f t="shared" si="48"/>
        <v/>
      </c>
      <c r="D318" s="433" t="s">
        <v>2797</v>
      </c>
      <c r="E318" s="2423" t="s">
        <v>2395</v>
      </c>
      <c r="F318" s="2451">
        <v>3</v>
      </c>
      <c r="G318" s="2380">
        <f>IF(claim611.2_6=F318,F318,0)</f>
        <v>0</v>
      </c>
      <c r="H318" s="2387"/>
      <c r="I318" s="2381"/>
      <c r="J318" s="2381"/>
      <c r="K318" s="4857">
        <f>note611.2_6</f>
        <v>0</v>
      </c>
      <c r="L318" s="4858"/>
      <c r="M318" s="2702" t="str">
        <f t="shared" si="41"/>
        <v/>
      </c>
      <c r="X318" s="32">
        <f t="shared" si="49"/>
        <v>0</v>
      </c>
    </row>
    <row r="319" spans="3:25" ht="45">
      <c r="C319" s="2142" t="str">
        <f t="shared" si="48"/>
        <v/>
      </c>
      <c r="D319" s="433" t="s">
        <v>2797</v>
      </c>
      <c r="E319" s="2423" t="s">
        <v>2396</v>
      </c>
      <c r="F319" s="2451">
        <v>3</v>
      </c>
      <c r="G319" s="2380">
        <f>IF(claim611.2_7=F319,F319,0)</f>
        <v>0</v>
      </c>
      <c r="H319" s="2387"/>
      <c r="I319" s="2381"/>
      <c r="J319" s="2381"/>
      <c r="K319" s="4857">
        <f>note611.2_7</f>
        <v>0</v>
      </c>
      <c r="L319" s="4858"/>
      <c r="M319" s="2702" t="str">
        <f t="shared" si="41"/>
        <v/>
      </c>
      <c r="X319" s="32">
        <f t="shared" si="49"/>
        <v>0</v>
      </c>
    </row>
    <row r="320" spans="3:25" ht="30">
      <c r="C320" s="2142" t="str">
        <f t="shared" si="48"/>
        <v/>
      </c>
      <c r="D320" s="433" t="s">
        <v>2795</v>
      </c>
      <c r="E320" s="2445" t="s">
        <v>2397</v>
      </c>
      <c r="F320" s="1990" t="s">
        <v>609</v>
      </c>
      <c r="G320" s="2357"/>
      <c r="H320" s="1833"/>
      <c r="I320" s="1833"/>
      <c r="J320" s="1833"/>
      <c r="K320" s="5073"/>
      <c r="L320" s="5074"/>
      <c r="M320" s="2702" t="str">
        <f t="shared" si="41"/>
        <v/>
      </c>
      <c r="X320" s="32">
        <f>IF(SUM(H321:I324)&gt;10,1,0)</f>
        <v>0</v>
      </c>
    </row>
    <row r="321" spans="3:26" ht="82.5" customHeight="1">
      <c r="C321" s="2142" t="str">
        <f t="shared" si="48"/>
        <v/>
      </c>
      <c r="D321" s="433" t="s">
        <v>2797</v>
      </c>
      <c r="E321" s="2423" t="s">
        <v>2398</v>
      </c>
      <c r="F321" s="2451">
        <v>3</v>
      </c>
      <c r="G321" s="2380">
        <f>IF(claim611.3_1=F321,F321,0)</f>
        <v>0</v>
      </c>
      <c r="H321" s="2387"/>
      <c r="I321" s="2381"/>
      <c r="J321" s="2381"/>
      <c r="K321" s="4857">
        <f>note611.3_1</f>
        <v>0</v>
      </c>
      <c r="L321" s="4858"/>
      <c r="M321" s="2702" t="str">
        <f t="shared" si="41"/>
        <v/>
      </c>
      <c r="X321" s="32">
        <f>IF(AND(H321&gt;0,I321&gt;0),1,0)</f>
        <v>0</v>
      </c>
    </row>
    <row r="322" spans="3:26" ht="69.75" customHeight="1">
      <c r="C322" s="2142" t="str">
        <f t="shared" si="48"/>
        <v/>
      </c>
      <c r="D322" s="433" t="s">
        <v>2797</v>
      </c>
      <c r="E322" s="2423" t="s">
        <v>2399</v>
      </c>
      <c r="F322" s="2451">
        <v>3</v>
      </c>
      <c r="G322" s="2380">
        <f>IF(claim611.3_2=F322,F322,0)</f>
        <v>0</v>
      </c>
      <c r="H322" s="2387"/>
      <c r="I322" s="2381"/>
      <c r="J322" s="2381"/>
      <c r="K322" s="4857">
        <f>note611.3_2</f>
        <v>0</v>
      </c>
      <c r="L322" s="4858"/>
      <c r="M322" s="2702" t="str">
        <f t="shared" si="41"/>
        <v/>
      </c>
      <c r="X322" s="32">
        <f>IF(AND(H322&gt;0,I322&gt;0),1,0)</f>
        <v>0</v>
      </c>
    </row>
    <row r="323" spans="3:26" ht="42" customHeight="1">
      <c r="C323" s="2142" t="str">
        <f t="shared" si="48"/>
        <v/>
      </c>
      <c r="D323" s="433" t="s">
        <v>2797</v>
      </c>
      <c r="E323" s="2423" t="s">
        <v>2400</v>
      </c>
      <c r="F323" s="2451">
        <v>3</v>
      </c>
      <c r="G323" s="2380">
        <f>IF(claim611.3_3=F323,F323,0)</f>
        <v>0</v>
      </c>
      <c r="H323" s="2387"/>
      <c r="I323" s="2381"/>
      <c r="J323" s="2381"/>
      <c r="K323" s="4857">
        <f>note611.3_3</f>
        <v>0</v>
      </c>
      <c r="L323" s="4858"/>
      <c r="M323" s="2702" t="str">
        <f t="shared" si="41"/>
        <v/>
      </c>
      <c r="X323" s="32">
        <f>IF(AND(H323&gt;0,I323&gt;0),1,0)</f>
        <v>0</v>
      </c>
    </row>
    <row r="324" spans="3:26" ht="15" customHeight="1">
      <c r="C324" s="2142" t="str">
        <f t="shared" si="48"/>
        <v/>
      </c>
      <c r="D324" s="433" t="s">
        <v>2796</v>
      </c>
      <c r="E324" s="4929" t="s">
        <v>2401</v>
      </c>
      <c r="F324" s="5027">
        <v>1</v>
      </c>
      <c r="G324" s="4592">
        <f>IF(claim611.3_4=F324,F324,0)</f>
        <v>0</v>
      </c>
      <c r="H324" s="4957"/>
      <c r="I324" s="4931"/>
      <c r="J324" s="2347" t="str">
        <f>IF(I324&gt;0,"Explain verification at final:","")</f>
        <v/>
      </c>
      <c r="K324" s="1991"/>
      <c r="L324" s="2452"/>
      <c r="M324" s="2702" t="str">
        <f t="shared" si="41"/>
        <v/>
      </c>
      <c r="X324" s="32">
        <f>IF(AND(H324&gt;0,I324&gt;0),1,0)</f>
        <v>0</v>
      </c>
      <c r="Y324" s="32">
        <f>IF(AND(J324&lt;&gt;"",J325=""),1,0)</f>
        <v>0</v>
      </c>
    </row>
    <row r="325" spans="3:26" ht="27" customHeight="1">
      <c r="C325" s="2142" t="str">
        <f>IF(G324&gt;0,"P","")</f>
        <v/>
      </c>
      <c r="D325" s="433" t="s">
        <v>2796</v>
      </c>
      <c r="E325" s="4930"/>
      <c r="F325" s="5028"/>
      <c r="G325" s="4593"/>
      <c r="H325" s="4981"/>
      <c r="I325" s="4932"/>
      <c r="J325" s="2337"/>
      <c r="K325" s="4857">
        <f>note611.3_4</f>
        <v>0</v>
      </c>
      <c r="L325" s="4858"/>
      <c r="M325" s="2702" t="str">
        <f t="shared" si="41"/>
        <v/>
      </c>
    </row>
    <row r="326" spans="3:26">
      <c r="C326" s="2142" t="s">
        <v>2800</v>
      </c>
      <c r="D326" s="433" t="s">
        <v>2795</v>
      </c>
      <c r="E326" s="5050" t="s">
        <v>2632</v>
      </c>
      <c r="F326" s="5411"/>
      <c r="G326" s="2685">
        <f>SUM(G139:G292)+SUM(G307:G325)-G268-G269</f>
        <v>0</v>
      </c>
      <c r="H326" s="2685">
        <f>SUM(H139:H325)-SUM(H302:H305)-SUM(H299:H300)</f>
        <v>0</v>
      </c>
      <c r="I326" s="2685">
        <f>SUM(I139:I325)-SUM(I302:I305)-SUM(I299:I300)</f>
        <v>0</v>
      </c>
      <c r="J326" s="2686" t="str">
        <f>IF(SUM(H326,I326)&gt;118,"EMERALD",IF(SUM(H326,I326)&gt;88,"GOLD",IF(SUM(H326,I326)&gt;58,"SILVER",IF(SUM(H326,I326)&gt;42,"BRONZE","no threshold achieved yet"))))</f>
        <v>no threshold achieved yet</v>
      </c>
      <c r="K326" s="4861" t="str">
        <f>IF(J326="Emerald","Minimum points for Emerald = 119",IF(J326="Gold","Minimum points for Gold = 89; for Emerald = 119",IF(J326="Silver","Minimum points for Silver = 59; for Gold = 89",IF(J326="Bronze","Minimum points for Bronze = 43; for Silver = 59","Minimum points for Bronze = 43"))))</f>
        <v>Minimum points for Bronze = 43</v>
      </c>
      <c r="L326" s="4862"/>
      <c r="M326" s="2702" t="str">
        <f t="shared" si="41"/>
        <v/>
      </c>
    </row>
    <row r="327" spans="3:26">
      <c r="E327" s="4918" t="s">
        <v>610</v>
      </c>
      <c r="F327" s="4919"/>
      <c r="G327" s="4919"/>
      <c r="H327" s="4919"/>
      <c r="I327" s="4919"/>
      <c r="J327" s="4919"/>
      <c r="K327" s="4919"/>
      <c r="L327" s="4920"/>
      <c r="M327" s="2702" t="str">
        <f t="shared" si="41"/>
        <v/>
      </c>
    </row>
    <row r="328" spans="3:26">
      <c r="E328" s="4918" t="s">
        <v>611</v>
      </c>
      <c r="F328" s="4919"/>
      <c r="G328" s="4919"/>
      <c r="H328" s="4919"/>
      <c r="I328" s="4919"/>
      <c r="J328" s="4919"/>
      <c r="K328" s="4919"/>
      <c r="L328" s="4920"/>
      <c r="M328" s="2702" t="str">
        <f t="shared" si="41"/>
        <v/>
      </c>
    </row>
    <row r="329" spans="3:26">
      <c r="E329" s="5403" t="s">
        <v>612</v>
      </c>
      <c r="F329" s="5404"/>
      <c r="G329" s="5404"/>
      <c r="H329" s="5404"/>
      <c r="I329" s="5404"/>
      <c r="J329" s="5404"/>
      <c r="K329" s="5404"/>
      <c r="L329" s="5405"/>
      <c r="M329" s="2702" t="str">
        <f t="shared" si="41"/>
        <v/>
      </c>
    </row>
    <row r="330" spans="3:26">
      <c r="E330" s="2453" t="s">
        <v>613</v>
      </c>
      <c r="F330" s="2454"/>
      <c r="G330" s="2454"/>
      <c r="H330" s="2455"/>
      <c r="I330" s="2455"/>
      <c r="J330" s="2456"/>
      <c r="K330" s="4954">
        <f>note701.1</f>
        <v>0</v>
      </c>
      <c r="L330" s="4955"/>
      <c r="M330" s="2702" t="str">
        <f t="shared" si="41"/>
        <v/>
      </c>
    </row>
    <row r="331" spans="3:26" ht="195">
      <c r="C331" s="2142" t="s">
        <v>2800</v>
      </c>
      <c r="D331" s="433" t="s">
        <v>2795</v>
      </c>
      <c r="E331" s="2453" t="s">
        <v>614</v>
      </c>
      <c r="F331" s="2390" t="s">
        <v>615</v>
      </c>
      <c r="G331" s="2457">
        <f>choice701.1</f>
        <v>0</v>
      </c>
      <c r="H331" s="2039" t="s">
        <v>1579</v>
      </c>
      <c r="I331" s="2029"/>
      <c r="J331" s="2392"/>
      <c r="K331" s="4857">
        <f>note701.1.1</f>
        <v>0</v>
      </c>
      <c r="L331" s="4858"/>
      <c r="M331" s="2702" t="str">
        <f t="shared" si="41"/>
        <v/>
      </c>
      <c r="Z331" s="32">
        <f>IF(Vreport701.1="",1,0)</f>
        <v>0</v>
      </c>
    </row>
    <row r="332" spans="3:26" ht="15" customHeight="1">
      <c r="C332" s="2142" t="s">
        <v>2800</v>
      </c>
      <c r="D332" s="433" t="s">
        <v>2797</v>
      </c>
      <c r="E332" s="5297" t="s">
        <v>616</v>
      </c>
      <c r="F332" s="4719">
        <v>30</v>
      </c>
      <c r="G332" s="4592">
        <f>claim701.1</f>
        <v>0</v>
      </c>
      <c r="H332" s="5421"/>
      <c r="I332" s="5002">
        <f>IF(AND(Vreport701.1="Alternative Bronze",vn701.1.3Step1&lt;&gt;""),30,0)</f>
        <v>0</v>
      </c>
      <c r="J332" s="1975" t="str">
        <f>IF(ar701.1="Alternative Bronze","Enter Energy Star Rater ID #","")</f>
        <v/>
      </c>
      <c r="K332" s="4902">
        <f>note701.1.3</f>
        <v>0</v>
      </c>
      <c r="L332" s="4903"/>
      <c r="M332" s="2702" t="str">
        <f t="shared" si="41"/>
        <v/>
      </c>
      <c r="Y332" s="32">
        <f>IF(AND(ReportType="Final",J332&lt;&gt;"",J333=""),1,0)</f>
        <v>0</v>
      </c>
    </row>
    <row r="333" spans="3:26" ht="26.25" customHeight="1">
      <c r="C333" s="2142" t="s">
        <v>2800</v>
      </c>
      <c r="D333" s="433" t="s">
        <v>2797</v>
      </c>
      <c r="E333" s="5347"/>
      <c r="F333" s="4488"/>
      <c r="G333" s="4593"/>
      <c r="H333" s="5422"/>
      <c r="I333" s="5003"/>
      <c r="J333" s="2337"/>
      <c r="K333" s="4566"/>
      <c r="L333" s="4904"/>
      <c r="M333" s="2702" t="str">
        <f t="shared" si="41"/>
        <v/>
      </c>
    </row>
    <row r="334" spans="3:26" ht="101.25" customHeight="1" thickBot="1">
      <c r="C334" s="2142" t="s">
        <v>2800</v>
      </c>
      <c r="E334" s="5381"/>
      <c r="F334" s="5423" t="str">
        <f>IF(af701.1.3&gt;0,"Chapter 7 MANDATORY practices met by Energy Star and do not highlight yellow.  It is recommended that you indicate compliance in case there is a need to change the scoring path after the rough inspection is completed.","")</f>
        <v/>
      </c>
      <c r="G334" s="5424"/>
      <c r="H334" s="5425"/>
      <c r="I334" s="5026"/>
      <c r="J334" s="2405"/>
      <c r="K334" s="4905"/>
      <c r="L334" s="4906"/>
      <c r="M334" s="2702" t="str">
        <f t="shared" si="41"/>
        <v/>
      </c>
    </row>
    <row r="335" spans="3:26" ht="27" customHeight="1" thickTop="1" thickBot="1">
      <c r="E335" s="5394" t="s">
        <v>617</v>
      </c>
      <c r="F335" s="5395"/>
      <c r="G335" s="5395"/>
      <c r="H335" s="5396"/>
      <c r="I335" s="2687"/>
      <c r="J335" s="1841"/>
      <c r="K335" s="4598">
        <f>note701.2</f>
        <v>0</v>
      </c>
      <c r="L335" s="4896"/>
      <c r="M335" s="2702" t="str">
        <f t="shared" si="41"/>
        <v/>
      </c>
    </row>
    <row r="336" spans="3:26" ht="16" thickTop="1">
      <c r="C336" s="2142" t="s">
        <v>2800</v>
      </c>
      <c r="D336" s="433" t="s">
        <v>2795</v>
      </c>
      <c r="E336" s="4830" t="s">
        <v>2415</v>
      </c>
      <c r="F336" s="5041" t="s">
        <v>3</v>
      </c>
      <c r="G336" s="5400">
        <f>IF(G331="Alternative Bronze", "N/A", claim701.3)</f>
        <v>0</v>
      </c>
      <c r="H336" s="5401"/>
      <c r="I336" s="5407"/>
      <c r="J336" s="2089" t="str">
        <f>IF(H336="Met","Enter name &amp; company of reviewer","")</f>
        <v/>
      </c>
      <c r="K336" s="5244">
        <f>note701.3</f>
        <v>0</v>
      </c>
      <c r="L336" s="5245"/>
      <c r="M336" s="2702" t="str">
        <f t="shared" ref="M336:M399" si="50">IF(AND(ReportType="Rough",SUM(X336,Y336,Z336,AB336,AC336,AD336,AE336)&gt;0),"!",IF(AND(ReportType="Final", SUM(X336,Y336,AA336,AB336,AC336,AD336,AE336)&gt;0),"!",""))</f>
        <v>!</v>
      </c>
      <c r="Y336" s="32">
        <f>IF(AND(J336&lt;&gt;"",J337=""),1,0)</f>
        <v>0</v>
      </c>
      <c r="Z336" s="32">
        <f>IF(AND(Vreport701.1&lt;&gt;"Alternative Bronze",H336=""),1,0)</f>
        <v>1</v>
      </c>
    </row>
    <row r="337" spans="3:27" ht="16" thickBot="1">
      <c r="C337" s="2142" t="s">
        <v>2800</v>
      </c>
      <c r="D337" s="433" t="s">
        <v>2796</v>
      </c>
      <c r="E337" s="4873"/>
      <c r="F337" s="5420"/>
      <c r="G337" s="5173"/>
      <c r="H337" s="5402"/>
      <c r="I337" s="5408"/>
      <c r="J337" s="2337"/>
      <c r="K337" s="4905"/>
      <c r="L337" s="4906"/>
      <c r="M337" s="2702" t="str">
        <f t="shared" si="50"/>
        <v/>
      </c>
    </row>
    <row r="338" spans="3:27" ht="16" thickTop="1">
      <c r="C338" s="2142" t="s">
        <v>2800</v>
      </c>
      <c r="D338" s="433" t="s">
        <v>2795</v>
      </c>
      <c r="E338" s="2458" t="s">
        <v>618</v>
      </c>
      <c r="F338" s="283"/>
      <c r="G338" s="283"/>
      <c r="H338" s="1856"/>
      <c r="I338" s="1856"/>
      <c r="J338" s="1842"/>
      <c r="K338" s="4516"/>
      <c r="L338" s="4853"/>
      <c r="M338" s="2702" t="str">
        <f t="shared" si="50"/>
        <v/>
      </c>
    </row>
    <row r="339" spans="3:27">
      <c r="C339" s="2142" t="s">
        <v>2800</v>
      </c>
      <c r="D339" s="433" t="s">
        <v>2796</v>
      </c>
      <c r="E339" s="2459" t="s">
        <v>619</v>
      </c>
      <c r="F339" s="2460"/>
      <c r="G339" s="2460"/>
      <c r="H339" s="2461"/>
      <c r="I339" s="2461"/>
      <c r="J339" s="2462"/>
      <c r="K339" s="4847"/>
      <c r="L339" s="4848"/>
      <c r="M339" s="2702" t="str">
        <f t="shared" si="50"/>
        <v/>
      </c>
    </row>
    <row r="340" spans="3:27" ht="45">
      <c r="C340" s="2142" t="s">
        <v>2800</v>
      </c>
      <c r="D340" s="433" t="s">
        <v>2796</v>
      </c>
      <c r="E340" s="2378" t="s">
        <v>2972</v>
      </c>
      <c r="F340" s="2442" t="s">
        <v>3</v>
      </c>
      <c r="G340" s="2073">
        <f>IF(G331="Alternative Bronze", "N/A", claim701.4.1.1)</f>
        <v>0</v>
      </c>
      <c r="H340" s="2395"/>
      <c r="I340" s="2437"/>
      <c r="J340" s="2395"/>
      <c r="K340" s="4857">
        <f>note701.4.1.1</f>
        <v>0</v>
      </c>
      <c r="L340" s="4858"/>
      <c r="M340" s="2702" t="str">
        <f t="shared" si="50"/>
        <v>!</v>
      </c>
      <c r="Z340" s="32">
        <f>IF(AND(Vreport701.1&lt;&gt;"Alternative Bronze",H340=""),1,0)</f>
        <v>1</v>
      </c>
    </row>
    <row r="341" spans="3:27" ht="61" thickBot="1">
      <c r="C341" s="2142" t="s">
        <v>2800</v>
      </c>
      <c r="D341" s="433" t="s">
        <v>2796</v>
      </c>
      <c r="E341" s="2420" t="s">
        <v>2973</v>
      </c>
      <c r="F341" s="2019" t="s">
        <v>3</v>
      </c>
      <c r="G341" s="1644">
        <f>IF(G331="Alternative Bronze", "N/A", claim701.4.1.2)</f>
        <v>0</v>
      </c>
      <c r="H341" s="2012"/>
      <c r="I341" s="2013"/>
      <c r="J341" s="1891"/>
      <c r="K341" s="4540">
        <f>note701.4.1.2</f>
        <v>0</v>
      </c>
      <c r="L341" s="4924"/>
      <c r="M341" s="2702" t="str">
        <f t="shared" si="50"/>
        <v>!</v>
      </c>
      <c r="Z341" s="32">
        <f>IF(AND(Vreport701.1&lt;&gt;"Alternative Bronze",H341=""),1,0)</f>
        <v>1</v>
      </c>
    </row>
    <row r="342" spans="3:27" ht="16" thickTop="1">
      <c r="C342" s="2142" t="s">
        <v>2800</v>
      </c>
      <c r="D342" s="433" t="s">
        <v>2796</v>
      </c>
      <c r="E342" s="2463" t="s">
        <v>621</v>
      </c>
      <c r="F342" s="291"/>
      <c r="G342" s="291"/>
      <c r="H342" s="1858"/>
      <c r="I342" s="1858"/>
      <c r="J342" s="1843"/>
      <c r="K342" s="4516"/>
      <c r="L342" s="4853"/>
      <c r="M342" s="2702" t="str">
        <f t="shared" si="50"/>
        <v/>
      </c>
    </row>
    <row r="343" spans="3:27" ht="45">
      <c r="C343" s="2142" t="s">
        <v>2800</v>
      </c>
      <c r="D343" s="433" t="s">
        <v>2796</v>
      </c>
      <c r="E343" s="2378" t="s">
        <v>2974</v>
      </c>
      <c r="F343" s="2442" t="s">
        <v>3</v>
      </c>
      <c r="G343" s="2464">
        <f>IF(G331="Alternative Bronze", "N/A", claim701.4.2.1)</f>
        <v>0</v>
      </c>
      <c r="H343" s="2050"/>
      <c r="I343" s="2437"/>
      <c r="J343" s="2465"/>
      <c r="K343" s="4857">
        <f>note701.4.2.1</f>
        <v>0</v>
      </c>
      <c r="L343" s="4858"/>
      <c r="M343" s="2702" t="str">
        <f t="shared" si="50"/>
        <v>!</v>
      </c>
      <c r="Z343" s="32">
        <f>IF(AND(Vreport701.1&lt;&gt;"Alternative Bronze",H343=""),1,0)</f>
        <v>1</v>
      </c>
    </row>
    <row r="344" spans="3:27">
      <c r="C344" s="2142" t="s">
        <v>2800</v>
      </c>
      <c r="D344" s="433" t="s">
        <v>2796</v>
      </c>
      <c r="E344" s="2384" t="s">
        <v>622</v>
      </c>
      <c r="F344" s="2051" t="s">
        <v>3</v>
      </c>
      <c r="G344" s="2052">
        <f>IF(G331="Alternative Bronze", "N/A", claim701.4.2.2)</f>
        <v>0</v>
      </c>
      <c r="H344" s="2053"/>
      <c r="I344" s="2054"/>
      <c r="J344" s="2055"/>
      <c r="K344" s="4902">
        <f>note701.4.2.2</f>
        <v>0</v>
      </c>
      <c r="L344" s="4903"/>
      <c r="M344" s="2702" t="str">
        <f t="shared" si="50"/>
        <v>!</v>
      </c>
      <c r="Z344" s="32">
        <f>IF(AND(Vreport701.1&lt;&gt;"Alternative Bronze",H344=""),1,0)</f>
        <v>1</v>
      </c>
    </row>
    <row r="345" spans="3:27" ht="31" thickBot="1">
      <c r="C345" s="2142" t="s">
        <v>2800</v>
      </c>
      <c r="D345" s="433" t="s">
        <v>2795</v>
      </c>
      <c r="E345" s="2420" t="s">
        <v>2417</v>
      </c>
      <c r="F345" s="2019" t="s">
        <v>3</v>
      </c>
      <c r="G345" s="1646">
        <f>IF(G331="Alternative Bronze", "N/A", claim701.4.2.3)</f>
        <v>0</v>
      </c>
      <c r="H345" s="2012"/>
      <c r="I345" s="2013"/>
      <c r="J345" s="1892"/>
      <c r="K345" s="4540">
        <f>note701.4.2.3</f>
        <v>0</v>
      </c>
      <c r="L345" s="4924"/>
      <c r="M345" s="2702" t="str">
        <f t="shared" si="50"/>
        <v>!</v>
      </c>
      <c r="Z345" s="32">
        <f>IF(AND(Vreport701.1&lt;&gt;"Alternative Bronze",H345=""),1,0)</f>
        <v>1</v>
      </c>
    </row>
    <row r="346" spans="3:27" ht="16" thickTop="1">
      <c r="C346" s="2142" t="s">
        <v>2800</v>
      </c>
      <c r="D346" s="433" t="s">
        <v>2795</v>
      </c>
      <c r="E346" s="2463" t="s">
        <v>623</v>
      </c>
      <c r="F346" s="291"/>
      <c r="G346" s="291"/>
      <c r="H346" s="1858"/>
      <c r="I346" s="1858"/>
      <c r="J346" s="1843"/>
      <c r="K346" s="4516"/>
      <c r="L346" s="4853"/>
      <c r="M346" s="2702" t="str">
        <f t="shared" si="50"/>
        <v/>
      </c>
    </row>
    <row r="347" spans="3:27" ht="31" thickBot="1">
      <c r="C347" s="2142" t="s">
        <v>2800</v>
      </c>
      <c r="D347" s="433" t="s">
        <v>2796</v>
      </c>
      <c r="E347" s="2378" t="s">
        <v>2771</v>
      </c>
      <c r="F347" s="2466" t="s">
        <v>3</v>
      </c>
      <c r="G347" s="2052">
        <f>IF(G331="Alternative Bronze", "N/A", claim701.4.3.1)</f>
        <v>0</v>
      </c>
      <c r="H347" s="2012"/>
      <c r="I347" s="2077"/>
      <c r="J347" s="2055"/>
      <c r="K347" s="4854">
        <f>note701.4.3.1</f>
        <v>0</v>
      </c>
      <c r="L347" s="4855"/>
      <c r="M347" s="2702" t="str">
        <f t="shared" si="50"/>
        <v>!</v>
      </c>
      <c r="Z347" s="32">
        <f>IF(AND(Vreport701.1&lt;&gt;"Alternative Bronze",H347=""),1,0)</f>
        <v>1</v>
      </c>
    </row>
    <row r="348" spans="3:27" ht="26.25" customHeight="1" thickTop="1" thickBot="1">
      <c r="C348" s="2142" t="s">
        <v>2800</v>
      </c>
      <c r="D348" s="433" t="s">
        <v>2796</v>
      </c>
      <c r="E348" s="2378" t="s">
        <v>2880</v>
      </c>
      <c r="F348" s="2366" t="s">
        <v>3</v>
      </c>
      <c r="G348" s="2052"/>
      <c r="H348" s="2012"/>
      <c r="I348" s="2077"/>
      <c r="J348" s="2055"/>
      <c r="K348" s="2042"/>
      <c r="L348" s="2467"/>
      <c r="M348" s="2702" t="str">
        <f>IF(AND(ReportType="Rough",SUM(X348,Y348,Z348,AB348,AC348,AD348,AE348)&gt;0),"!",IF(AND(ReportType="Final", SUM(X348,Y348,Z348,AA348,AB348,AC348,AD348,AE348)&gt;0),"!",""))</f>
        <v>!</v>
      </c>
      <c r="Z348" s="32">
        <f>IF(AND(Vreport701.1&lt;&gt;"Alternative Bronze",H348=""),1,0)</f>
        <v>1</v>
      </c>
    </row>
    <row r="349" spans="3:27" ht="55.5" customHeight="1" thickTop="1">
      <c r="C349" s="2142" t="s">
        <v>2800</v>
      </c>
      <c r="D349" s="433" t="s">
        <v>2795</v>
      </c>
      <c r="E349" s="2378" t="s">
        <v>2881</v>
      </c>
      <c r="F349" s="1723"/>
      <c r="G349" s="2468"/>
      <c r="H349" s="4912" t="str">
        <f>IF(OR(H350="Visual Inspection - Insulation Better than Grade 3",AND(H350="Testing Option at Final",J351&lt;&gt;""),H331="Alternative Bronze"),"Met","")</f>
        <v/>
      </c>
      <c r="I349" s="4913"/>
      <c r="J349" s="2469"/>
      <c r="K349" s="4847"/>
      <c r="L349" s="4848"/>
      <c r="M349" s="2702" t="str">
        <f t="shared" si="50"/>
        <v/>
      </c>
    </row>
    <row r="350" spans="3:27">
      <c r="C350" s="2142" t="s">
        <v>2800</v>
      </c>
      <c r="D350" s="433" t="s">
        <v>2795</v>
      </c>
      <c r="E350" s="5046" t="s">
        <v>3026</v>
      </c>
      <c r="F350" s="5077" t="s">
        <v>3</v>
      </c>
      <c r="G350" s="2052">
        <f>IF(G331="Alternative Bronze", "N/A",IF(choice701.4.3.2="Testing Option", claim701.4.3.2,0))</f>
        <v>0</v>
      </c>
      <c r="H350" s="4957"/>
      <c r="I350" s="5391"/>
      <c r="J350" s="2470" t="str">
        <f>IF(OR(H350="Met",I350="Met"),"Enter ACH50 value","")</f>
        <v/>
      </c>
      <c r="K350" s="4810">
        <f>note701.4.3.2_1</f>
        <v>0</v>
      </c>
      <c r="L350" s="4811"/>
      <c r="M350" s="2702" t="str">
        <f t="shared" si="50"/>
        <v>!</v>
      </c>
      <c r="Y350" s="32">
        <f>IF(AND(J350&lt;&gt;"",J351=""),1,0)</f>
        <v>0</v>
      </c>
      <c r="Z350" s="32">
        <f>IF(AND(Vreport701.1&lt;&gt;"Alternative Bronze",H350=""),1,0)</f>
        <v>1</v>
      </c>
      <c r="AA350" s="32">
        <f>IF(ReportType="Final",IF(OR(Vreport701.1="Alternative Bronze", H350&lt;&gt;"Testing Option at Final",I350="Met",I349="Met"),0,1),0)</f>
        <v>0</v>
      </c>
    </row>
    <row r="351" spans="3:27">
      <c r="C351" s="2142" t="s">
        <v>2800</v>
      </c>
      <c r="D351" s="433" t="s">
        <v>2795</v>
      </c>
      <c r="E351" s="5406"/>
      <c r="F351" s="5042"/>
      <c r="G351" s="2023"/>
      <c r="H351" s="4958"/>
      <c r="I351" s="5392"/>
      <c r="J351" s="2024"/>
      <c r="K351" s="4491"/>
      <c r="L351" s="4833"/>
      <c r="M351" s="2702" t="str">
        <f t="shared" si="50"/>
        <v/>
      </c>
    </row>
    <row r="352" spans="3:27" ht="51" customHeight="1">
      <c r="C352" s="2142" t="s">
        <v>2800</v>
      </c>
      <c r="D352" s="433" t="s">
        <v>2795</v>
      </c>
      <c r="E352" s="5047"/>
      <c r="F352" s="5042"/>
      <c r="G352" s="1648">
        <f>IF(ch7ACH50&lt;&gt;"",CONCATENATE(ch7ACH50," ACH50"),0)</f>
        <v>0</v>
      </c>
      <c r="H352" s="4958"/>
      <c r="I352" s="5393"/>
      <c r="J352" s="2024"/>
      <c r="K352" s="4491"/>
      <c r="L352" s="4833"/>
      <c r="M352" s="2702" t="str">
        <f t="shared" si="50"/>
        <v/>
      </c>
    </row>
    <row r="353" spans="3:28" ht="66.75" customHeight="1">
      <c r="C353" s="2142" t="s">
        <v>2800</v>
      </c>
      <c r="D353" s="433" t="s">
        <v>2795</v>
      </c>
      <c r="E353" s="2471" t="s">
        <v>2784</v>
      </c>
      <c r="F353" s="5078"/>
      <c r="G353" s="2052">
        <f>IF(G331="Alternative Bronze", "N/A",IF(choice701.4.3.2="Visual Inspection Option", claim701.4.3.2,0))</f>
        <v>0</v>
      </c>
      <c r="H353" s="4981"/>
      <c r="I353" s="2054"/>
      <c r="J353" s="2055"/>
      <c r="K353" s="4854">
        <f>note701.4.3.2_2</f>
        <v>0</v>
      </c>
      <c r="L353" s="4855"/>
      <c r="M353" s="2702" t="str">
        <f t="shared" si="50"/>
        <v/>
      </c>
    </row>
    <row r="354" spans="3:28" ht="45">
      <c r="C354" s="2142" t="s">
        <v>2800</v>
      </c>
      <c r="D354" s="433" t="s">
        <v>2796</v>
      </c>
      <c r="E354" s="2378" t="s">
        <v>2423</v>
      </c>
      <c r="F354" s="2472" t="s">
        <v>3</v>
      </c>
      <c r="G354" s="2473">
        <f>IF(G331="Alternative Bronze", "N/A", claim701.4.3.3)</f>
        <v>0</v>
      </c>
      <c r="H354" s="2474"/>
      <c r="I354" s="2475"/>
      <c r="J354" s="2474"/>
      <c r="K354" s="4854">
        <f>note701.4.3.3</f>
        <v>0</v>
      </c>
      <c r="L354" s="4855"/>
      <c r="M354" s="2702" t="str">
        <f t="shared" si="50"/>
        <v>!</v>
      </c>
      <c r="Z354" s="32">
        <f>IF(AND(Vreport701.1&lt;&gt;"Alternative Bronze",H354="",ReportType="Rough"),1,0)</f>
        <v>1</v>
      </c>
      <c r="AA354" s="32">
        <f>IF(OR(Vreport701.1="Alternative Bronze", H354="Met",I354="Met"),0,1)</f>
        <v>1</v>
      </c>
    </row>
    <row r="355" spans="3:28" ht="109.5" customHeight="1" thickBot="1">
      <c r="C355" s="2142" t="s">
        <v>2800</v>
      </c>
      <c r="D355" s="433" t="s">
        <v>2795</v>
      </c>
      <c r="E355" s="2378" t="s">
        <v>2975</v>
      </c>
      <c r="F355" s="2472" t="s">
        <v>3</v>
      </c>
      <c r="G355" s="2476">
        <f>IF(G331="Alternative Bronze", "N/A", claim701.4.3.4)</f>
        <v>0</v>
      </c>
      <c r="H355" s="2477"/>
      <c r="I355" s="2478"/>
      <c r="J355" s="2478"/>
      <c r="K355" s="4854">
        <f>note701.4.3.4</f>
        <v>0</v>
      </c>
      <c r="L355" s="4855"/>
      <c r="M355" s="2702" t="str">
        <f t="shared" si="50"/>
        <v>!</v>
      </c>
      <c r="Z355" s="32">
        <f>IF(AND(Vreport701.1&lt;&gt;"Alternative Bronze",H355="",ReportType="Rough"),1,0)</f>
        <v>1</v>
      </c>
      <c r="AA355" s="32">
        <f>IF(AND(H355="",I355="",Vreport701.1&lt;&gt;"Alternative Bronze"),1,0)</f>
        <v>1</v>
      </c>
    </row>
    <row r="356" spans="3:28" ht="32" thickTop="1" thickBot="1">
      <c r="C356" s="2142" t="s">
        <v>2800</v>
      </c>
      <c r="D356" s="433" t="s">
        <v>2797</v>
      </c>
      <c r="E356" s="2479" t="s">
        <v>2421</v>
      </c>
      <c r="F356" s="2020" t="s">
        <v>3</v>
      </c>
      <c r="G356" s="1649">
        <f>IF(G331="Alternative Bronze", "N/A", claim701.4.4)</f>
        <v>0</v>
      </c>
      <c r="H356" s="2025"/>
      <c r="I356" s="1966"/>
      <c r="J356" s="1967"/>
      <c r="K356" s="4522">
        <f>note701.4.4</f>
        <v>0</v>
      </c>
      <c r="L356" s="4980"/>
      <c r="M356" s="2702" t="str">
        <f t="shared" si="50"/>
        <v/>
      </c>
      <c r="AA356" s="32">
        <f>IF(AND(I356="",Vreport701.1&lt;&gt;"Alternative Bronze",ReportType="Final"),1,0)</f>
        <v>0</v>
      </c>
    </row>
    <row r="357" spans="3:28" ht="17" thickTop="1" thickBot="1">
      <c r="C357" s="2142" t="s">
        <v>2800</v>
      </c>
      <c r="D357" s="433" t="s">
        <v>2796</v>
      </c>
      <c r="E357" s="2479" t="s">
        <v>2424</v>
      </c>
      <c r="F357" s="2020" t="s">
        <v>3</v>
      </c>
      <c r="G357" s="1650">
        <f>IF(OR(G331="Alternative Bronze",AND(startHVAC1&lt;&gt;"Boiler",startHVAC2&lt;&gt;"Boiler",startHVAC3&lt;&gt;"Boiler",startHVAC1&lt;&gt;"")), "N/A", claim701.4.5)</f>
        <v>0</v>
      </c>
      <c r="H357" s="2477"/>
      <c r="I357" s="2478"/>
      <c r="J357" s="1893"/>
      <c r="K357" s="4522">
        <f>note701.4.5</f>
        <v>0</v>
      </c>
      <c r="L357" s="4980"/>
      <c r="M357" s="2702" t="str">
        <f t="shared" si="50"/>
        <v>!</v>
      </c>
      <c r="Z357" s="32">
        <f>IF(AND(Vreport701.1&lt;&gt;"Alternative Bronze",H357="",ReportType="Rough"),1,0)</f>
        <v>1</v>
      </c>
      <c r="AA357" s="32">
        <f>IF(OR(Vreport701.1="Alternative Bronze",H357&lt;&gt;"",I357="Met",ReportType="Rough"),0,1)</f>
        <v>0</v>
      </c>
    </row>
    <row r="358" spans="3:28" ht="16" thickBot="1">
      <c r="E358" s="4836" t="s">
        <v>624</v>
      </c>
      <c r="F358" s="4548"/>
      <c r="G358" s="4548"/>
      <c r="H358" s="4548"/>
      <c r="I358" s="4548"/>
      <c r="J358" s="4548"/>
      <c r="K358" s="4548"/>
      <c r="L358" s="4837"/>
      <c r="M358" s="2702" t="str">
        <f t="shared" si="50"/>
        <v/>
      </c>
    </row>
    <row r="359" spans="3:28" ht="31" thickBot="1">
      <c r="E359" s="2445" t="s">
        <v>625</v>
      </c>
      <c r="F359" s="1651"/>
      <c r="G359" s="1652"/>
      <c r="H359" s="4894" t="str">
        <f>IF(AND(H362&gt;0,H477&gt;0),"CANNOT TAKE POINTS IN 702 &amp; 703","")</f>
        <v/>
      </c>
      <c r="I359" s="4895"/>
      <c r="J359" s="1844"/>
      <c r="K359" s="4732"/>
      <c r="L359" s="4944"/>
      <c r="M359" s="2702" t="str">
        <f t="shared" si="50"/>
        <v/>
      </c>
      <c r="AB359" s="32" t="str">
        <f>IF(H359&lt;&gt;"",1,"")</f>
        <v/>
      </c>
    </row>
    <row r="360" spans="3:28" ht="32" thickTop="1" thickBot="1">
      <c r="C360" s="2142" t="str">
        <f>IF(G360="Met","P","")</f>
        <v/>
      </c>
      <c r="D360" s="433" t="s">
        <v>2795</v>
      </c>
      <c r="E360" s="2421" t="s">
        <v>2425</v>
      </c>
      <c r="F360" s="1653" t="s">
        <v>3</v>
      </c>
      <c r="G360" s="1654">
        <f>IF(OR(G331="Alternative Bronze",G331="Prescriptive Path"),"N/A", claim702.2.1)</f>
        <v>0</v>
      </c>
      <c r="H360" s="4890"/>
      <c r="I360" s="4891"/>
      <c r="J360" s="2336"/>
      <c r="K360" s="4609">
        <f>note702.2.1</f>
        <v>0</v>
      </c>
      <c r="L360" s="4945"/>
      <c r="M360" s="2702" t="str">
        <f t="shared" si="50"/>
        <v/>
      </c>
    </row>
    <row r="361" spans="3:28" ht="26.25" customHeight="1" thickTop="1">
      <c r="C361" s="2142" t="str">
        <f>IF(SUM(G362:G365)&gt;0,"P","")</f>
        <v/>
      </c>
      <c r="D361" s="433" t="s">
        <v>2797</v>
      </c>
      <c r="E361" s="4830" t="s">
        <v>3029</v>
      </c>
      <c r="F361" s="2673" t="str">
        <f>IF(af702.2.2&gt;0,"REMINDER:  You must submit a copy of the energy analysis with this report","")</f>
        <v>REMINDER:  You must submit a copy of the energy analysis with this report</v>
      </c>
      <c r="G361" s="246"/>
      <c r="H361" s="1854"/>
      <c r="I361" s="1854"/>
      <c r="J361" s="1828"/>
      <c r="K361" s="4516"/>
      <c r="L361" s="4853"/>
      <c r="M361" s="2702" t="str">
        <f t="shared" si="50"/>
        <v/>
      </c>
    </row>
    <row r="362" spans="3:28">
      <c r="C362" s="2142" t="str">
        <f>IF(SUM(G362:G365)&gt;0,"P","")</f>
        <v/>
      </c>
      <c r="D362" s="433" t="s">
        <v>2797</v>
      </c>
      <c r="E362" s="4831"/>
      <c r="F362" s="4719" t="s">
        <v>3027</v>
      </c>
      <c r="G362" s="4721">
        <f>claim702.2.2</f>
        <v>0</v>
      </c>
      <c r="H362" s="5183">
        <f>IF(ROUNDDOWN(vn702.2.2Percentage*2,0)&gt;100,100,ROUNDDOWN(vn702.2.2Percentage*2,0))</f>
        <v>66</v>
      </c>
      <c r="I362" s="5184"/>
      <c r="J362" s="2481" t="str">
        <f>IF(Vreport701.1="Performance Path","Enter % above 2009 IECC  (e.g. 23,9)","")</f>
        <v/>
      </c>
      <c r="K362" s="4947">
        <f>note702.2.2</f>
        <v>0</v>
      </c>
      <c r="L362" s="4948"/>
      <c r="M362" s="2702" t="str">
        <f t="shared" si="50"/>
        <v/>
      </c>
      <c r="Y362" s="32">
        <f>IF(AND(ReportType="Final",J362&lt;&gt;"",J363=""),1,0)</f>
        <v>0</v>
      </c>
      <c r="AA362" s="32">
        <f>IF(J363&lt;&gt;"",IF(AND(H362=30,J363&lt;15),1,IF(AND(H362=60,J363&lt;30),1,IF(AND(H362=100,J363&lt;40),1,IF(AND(H362=120,J363&lt;50),1,0)))),0)</f>
        <v>0</v>
      </c>
    </row>
    <row r="363" spans="3:28">
      <c r="C363" s="2142" t="str">
        <f>IF(SUM(G362:G365)&gt;0,"P","")</f>
        <v/>
      </c>
      <c r="D363" s="433" t="s">
        <v>2797</v>
      </c>
      <c r="E363" s="4831"/>
      <c r="F363" s="4487"/>
      <c r="G363" s="4722"/>
      <c r="H363" s="5185"/>
      <c r="I363" s="5186"/>
      <c r="J363" s="2026">
        <v>33</v>
      </c>
      <c r="K363" s="4584"/>
      <c r="L363" s="4949"/>
      <c r="M363" s="2702" t="str">
        <f t="shared" si="50"/>
        <v/>
      </c>
      <c r="AA363" s="32">
        <f>IF(AND(Vreport701.1="Performance Path",H362&lt;30),1,0)</f>
        <v>0</v>
      </c>
    </row>
    <row r="364" spans="3:28">
      <c r="C364" s="2142" t="str">
        <f>IF(SUM(G362:G365)&gt;0,"P","")</f>
        <v/>
      </c>
      <c r="D364" s="433" t="s">
        <v>2797</v>
      </c>
      <c r="E364" s="4831"/>
      <c r="F364" s="4487"/>
      <c r="G364" s="4722"/>
      <c r="H364" s="5185"/>
      <c r="I364" s="5186"/>
      <c r="J364" s="4892"/>
      <c r="K364" s="4584"/>
      <c r="L364" s="4949"/>
      <c r="M364" s="2702" t="str">
        <f t="shared" si="50"/>
        <v/>
      </c>
    </row>
    <row r="365" spans="3:28" ht="16" thickBot="1">
      <c r="C365" s="2142" t="str">
        <f>IF(SUM(G362:G365)&gt;0,"P","")</f>
        <v/>
      </c>
      <c r="D365" s="433" t="s">
        <v>2797</v>
      </c>
      <c r="E365" s="4832"/>
      <c r="F365" s="4720"/>
      <c r="G365" s="4723"/>
      <c r="H365" s="5187"/>
      <c r="I365" s="5188"/>
      <c r="J365" s="5182"/>
      <c r="K365" s="4586"/>
      <c r="L365" s="4950"/>
      <c r="M365" s="2702" t="str">
        <f t="shared" si="50"/>
        <v/>
      </c>
    </row>
    <row r="366" spans="3:28" ht="16" thickBot="1">
      <c r="E366" s="4836" t="s">
        <v>626</v>
      </c>
      <c r="F366" s="4548"/>
      <c r="G366" s="4548"/>
      <c r="H366" s="4548"/>
      <c r="I366" s="4548"/>
      <c r="J366" s="4548"/>
      <c r="K366" s="4548"/>
      <c r="L366" s="4837"/>
      <c r="M366" s="2702" t="str">
        <f t="shared" si="50"/>
        <v/>
      </c>
    </row>
    <row r="367" spans="3:28">
      <c r="D367" s="433" t="s">
        <v>2796</v>
      </c>
      <c r="E367" s="2482" t="s">
        <v>627</v>
      </c>
      <c r="F367" s="296"/>
      <c r="G367" s="296"/>
      <c r="H367" s="1859"/>
      <c r="I367" s="1859"/>
      <c r="J367" s="1845"/>
      <c r="K367" s="4588"/>
      <c r="L367" s="4838"/>
      <c r="M367" s="2702" t="str">
        <f t="shared" si="50"/>
        <v/>
      </c>
    </row>
    <row r="368" spans="3:28" ht="90">
      <c r="C368" s="2142" t="str">
        <f>IF(SUM(G369:G372)&gt;0,"P","")</f>
        <v/>
      </c>
      <c r="D368" s="433" t="s">
        <v>2796</v>
      </c>
      <c r="E368" s="2483" t="s">
        <v>2426</v>
      </c>
      <c r="F368" s="2484"/>
      <c r="G368" s="2485"/>
      <c r="H368" s="2438"/>
      <c r="I368" s="2438"/>
      <c r="J368" s="2438"/>
      <c r="K368" s="4954"/>
      <c r="L368" s="4955"/>
      <c r="M368" s="2702" t="str">
        <f t="shared" si="50"/>
        <v/>
      </c>
    </row>
    <row r="369" spans="3:29">
      <c r="C369" s="2142" t="str">
        <f>IF(SUM(G369:G372)&gt;0,"P","")</f>
        <v/>
      </c>
      <c r="D369" s="433" t="s">
        <v>2796</v>
      </c>
      <c r="E369" s="2486" t="s">
        <v>1646</v>
      </c>
      <c r="F369" s="4719" t="s">
        <v>2700</v>
      </c>
      <c r="G369" s="2380">
        <f>IF(choice703.1.1="5% to &lt;10%", claim703.1.1,0)</f>
        <v>0</v>
      </c>
      <c r="H369" s="4910"/>
      <c r="I369" s="4834"/>
      <c r="J369" s="1989" t="str">
        <f>IF(H369&gt;0,"Enter Grade, name of grader, &amp; % better","")</f>
        <v/>
      </c>
      <c r="K369" s="4810">
        <f>note703.1.1</f>
        <v>0</v>
      </c>
      <c r="L369" s="4811"/>
      <c r="M369" s="2702" t="str">
        <f t="shared" si="50"/>
        <v/>
      </c>
      <c r="Y369" s="32">
        <f>IF(AND(J369&lt;&gt;"",J370=""),1,0)</f>
        <v>0</v>
      </c>
    </row>
    <row r="370" spans="3:29">
      <c r="C370" s="2142" t="str">
        <f>IF(SUM(G369:G372)&gt;0,"P","")</f>
        <v/>
      </c>
      <c r="D370" s="433" t="s">
        <v>2796</v>
      </c>
      <c r="E370" s="2486" t="s">
        <v>1648</v>
      </c>
      <c r="F370" s="4487"/>
      <c r="G370" s="2380">
        <f>IF(choice703.1.1="10% to &lt;15%", claim703.1.1,0)</f>
        <v>0</v>
      </c>
      <c r="H370" s="4946"/>
      <c r="I370" s="4839"/>
      <c r="J370" s="4892"/>
      <c r="K370" s="4491"/>
      <c r="L370" s="4833"/>
      <c r="M370" s="2702" t="str">
        <f t="shared" si="50"/>
        <v/>
      </c>
    </row>
    <row r="371" spans="3:29">
      <c r="C371" s="2142" t="str">
        <f>IF(SUM(G369:G372)&gt;0,"P","")</f>
        <v/>
      </c>
      <c r="D371" s="433" t="s">
        <v>2796</v>
      </c>
      <c r="E371" s="2486" t="s">
        <v>1647</v>
      </c>
      <c r="F371" s="4487"/>
      <c r="G371" s="2380">
        <f>IF(choice703.1.1="15% to &lt;20%", claim703.1.1,0)</f>
        <v>0</v>
      </c>
      <c r="H371" s="4946"/>
      <c r="I371" s="4839"/>
      <c r="J371" s="4892"/>
      <c r="K371" s="4491"/>
      <c r="L371" s="4833"/>
      <c r="M371" s="2702" t="str">
        <f t="shared" si="50"/>
        <v/>
      </c>
    </row>
    <row r="372" spans="3:29" ht="16" thickBot="1">
      <c r="C372" s="2142" t="str">
        <f>IF(SUM(G369:G372)&gt;0,"P","")</f>
        <v/>
      </c>
      <c r="D372" s="433" t="s">
        <v>2796</v>
      </c>
      <c r="E372" s="2487" t="s">
        <v>1649</v>
      </c>
      <c r="F372" s="4487"/>
      <c r="G372" s="2334">
        <f>IF(choice703.1.1="20% or more", claim703.1.1,0)</f>
        <v>0</v>
      </c>
      <c r="H372" s="4911"/>
      <c r="I372" s="4835"/>
      <c r="J372" s="4893"/>
      <c r="K372" s="4491"/>
      <c r="L372" s="4833"/>
      <c r="M372" s="2702" t="str">
        <f t="shared" si="50"/>
        <v/>
      </c>
    </row>
    <row r="373" spans="3:29" ht="46" thickTop="1">
      <c r="C373" s="2142" t="str">
        <f>IF(SUM(G374:G375)&gt;0,"P","")</f>
        <v/>
      </c>
      <c r="D373" s="433" t="s">
        <v>2796</v>
      </c>
      <c r="E373" s="2479" t="s">
        <v>3018</v>
      </c>
      <c r="F373" s="843"/>
      <c r="G373" s="840"/>
      <c r="H373" s="1831"/>
      <c r="I373" s="1831"/>
      <c r="J373" s="1831"/>
      <c r="K373" s="4528"/>
      <c r="L373" s="4901"/>
      <c r="M373" s="2702" t="str">
        <f t="shared" si="50"/>
        <v/>
      </c>
    </row>
    <row r="374" spans="3:29">
      <c r="C374" s="2142" t="str">
        <f>IF(SUM(G374:G375)&gt;0,"P","")</f>
        <v/>
      </c>
      <c r="D374" s="433" t="s">
        <v>2796</v>
      </c>
      <c r="E374" s="2384" t="s">
        <v>1677</v>
      </c>
      <c r="F374" s="2342">
        <v>7</v>
      </c>
      <c r="G374" s="2334">
        <f>IF(claim703.1.2=F374,F374,0)</f>
        <v>0</v>
      </c>
      <c r="H374" s="4910"/>
      <c r="I374" s="4834"/>
      <c r="J374" s="2444" t="str">
        <f>IF(H374&gt;0,"Enter grade and name of grader","")</f>
        <v/>
      </c>
      <c r="K374" s="4902">
        <f>note703.1.2</f>
        <v>0</v>
      </c>
      <c r="L374" s="4903"/>
      <c r="M374" s="2702" t="str">
        <f t="shared" si="50"/>
        <v/>
      </c>
      <c r="Y374" s="32">
        <f>IF(AND(J374&lt;&gt;"",J375=""),1,0)</f>
        <v>0</v>
      </c>
    </row>
    <row r="375" spans="3:29" ht="16" thickBot="1">
      <c r="C375" s="2142" t="str">
        <f>IF(SUM(G374:G375)&gt;0,"P","")</f>
        <v/>
      </c>
      <c r="D375" s="433" t="s">
        <v>2796</v>
      </c>
      <c r="E375" s="2384" t="str">
        <f>IF(ar703.1.2&lt;&gt;4,"Grade 2", "Grade 2 limits certification to BRONZE")</f>
        <v>Grade 2</v>
      </c>
      <c r="F375" s="2342">
        <v>4</v>
      </c>
      <c r="G375" s="2334">
        <f>IF(claim703.1.2=F375,F375,0)</f>
        <v>0</v>
      </c>
      <c r="H375" s="4911"/>
      <c r="I375" s="4835"/>
      <c r="J375" s="2087"/>
      <c r="K375" s="4566"/>
      <c r="L375" s="4904"/>
      <c r="M375" s="2702" t="str">
        <f t="shared" si="50"/>
        <v/>
      </c>
    </row>
    <row r="376" spans="3:29" ht="31" thickTop="1">
      <c r="C376" s="2142" t="str">
        <f>IF(SUM(G377:G378)&gt;0,"P","")</f>
        <v/>
      </c>
      <c r="D376" s="433" t="s">
        <v>2796</v>
      </c>
      <c r="E376" s="2479" t="s">
        <v>2427</v>
      </c>
      <c r="F376" s="1657"/>
      <c r="G376" s="840"/>
      <c r="H376" s="1831"/>
      <c r="I376" s="1831"/>
      <c r="J376" s="1831"/>
      <c r="K376" s="4516"/>
      <c r="L376" s="4853"/>
      <c r="M376" s="2702" t="str">
        <f t="shared" si="50"/>
        <v/>
      </c>
    </row>
    <row r="377" spans="3:29">
      <c r="C377" s="2142" t="str">
        <f>IF(SUM(G377:G378)&gt;0,"P","")</f>
        <v/>
      </c>
      <c r="D377" s="433" t="s">
        <v>2796</v>
      </c>
      <c r="E377" s="2378" t="s">
        <v>1703</v>
      </c>
      <c r="F377" s="2379" t="str">
        <f>pts703.1.3_1</f>
        <v>0</v>
      </c>
      <c r="G377" s="2380">
        <f>IF(choice703.1.3=E377,claim703.1.3,0)</f>
        <v>0</v>
      </c>
      <c r="H377" s="4910"/>
      <c r="I377" s="4898"/>
      <c r="J377" s="2444" t="str">
        <f>IF(SUM(H377:I378)&gt;0,"Describe type of walls","")</f>
        <v/>
      </c>
      <c r="K377" s="4810">
        <f>note703.1.3</f>
        <v>0</v>
      </c>
      <c r="L377" s="4811"/>
      <c r="M377" s="2702" t="str">
        <f t="shared" si="50"/>
        <v/>
      </c>
      <c r="X377" s="32">
        <f>IF(AND(H377&gt;0,I377&gt;0),1,0)</f>
        <v>0</v>
      </c>
      <c r="Y377" s="32">
        <f>IF(AND(J377&lt;&gt;"",J378=""),1,0)</f>
        <v>0</v>
      </c>
    </row>
    <row r="378" spans="3:29" ht="16" thickBot="1">
      <c r="C378" s="2142" t="str">
        <f>IF(SUM(G377:G378)&gt;0,"P","")</f>
        <v/>
      </c>
      <c r="D378" s="433" t="s">
        <v>2796</v>
      </c>
      <c r="E378" s="2420" t="s">
        <v>1704</v>
      </c>
      <c r="F378" s="252" t="str">
        <f>pts703.1.3_2</f>
        <v>0 points</v>
      </c>
      <c r="G378" s="2334">
        <f>IF(choice703.1.3=E378,claim703.1.3,0)</f>
        <v>0</v>
      </c>
      <c r="H378" s="4911"/>
      <c r="I378" s="5029"/>
      <c r="J378" s="2087"/>
      <c r="K378" s="4491"/>
      <c r="L378" s="4833"/>
      <c r="M378" s="2702" t="str">
        <f t="shared" si="50"/>
        <v/>
      </c>
    </row>
    <row r="379" spans="3:29" ht="17" thickTop="1" thickBot="1">
      <c r="C379" s="2142" t="str">
        <f>IF(G379&gt;0,"P","")</f>
        <v/>
      </c>
      <c r="D379" s="433" t="s">
        <v>2796</v>
      </c>
      <c r="E379" s="2488" t="s">
        <v>2428</v>
      </c>
      <c r="F379" s="1655" t="str">
        <f>IF(points703.1.4=0,"0",points703.1.4)</f>
        <v>0</v>
      </c>
      <c r="G379" s="1656">
        <f>claim703.1.4</f>
        <v>0</v>
      </c>
      <c r="H379" s="2063"/>
      <c r="I379" s="2064"/>
      <c r="J379" s="2090"/>
      <c r="K379" s="4504">
        <f>note703.1.4</f>
        <v>0</v>
      </c>
      <c r="L379" s="4994"/>
      <c r="M379" s="2702" t="str">
        <f t="shared" si="50"/>
        <v/>
      </c>
      <c r="X379" s="32">
        <f>IF(AND(H379&gt;0,I379&gt;0),1,0)</f>
        <v>0</v>
      </c>
    </row>
    <row r="380" spans="3:29" ht="31" thickTop="1">
      <c r="C380" s="2142" t="str">
        <f>IF(SUM(G381:G385)&gt;0,"P","")</f>
        <v/>
      </c>
      <c r="D380" s="433" t="s">
        <v>2797</v>
      </c>
      <c r="E380" s="2479" t="s">
        <v>2429</v>
      </c>
      <c r="F380" s="1657"/>
      <c r="G380" s="840"/>
      <c r="H380" s="1831"/>
      <c r="I380" s="1831"/>
      <c r="J380" s="1831"/>
      <c r="K380" s="4516"/>
      <c r="L380" s="4853"/>
      <c r="M380" s="2702" t="str">
        <f t="shared" si="50"/>
        <v/>
      </c>
    </row>
    <row r="381" spans="3:29">
      <c r="C381" s="2142" t="str">
        <f>IF(SUM(G381:G385)&gt;0,"P","")</f>
        <v/>
      </c>
      <c r="D381" s="433" t="s">
        <v>2797</v>
      </c>
      <c r="E381" s="2378" t="s">
        <v>2434</v>
      </c>
      <c r="F381" s="2379">
        <f>points703.1.5_5</f>
        <v>0</v>
      </c>
      <c r="G381" s="2380">
        <f>IF(choice703.1.5="5 = Max Leakage Rate",claim703.1.5,0)</f>
        <v>0</v>
      </c>
      <c r="H381" s="4834"/>
      <c r="I381" s="4840">
        <f>Formulas!Z30</f>
        <v>0</v>
      </c>
      <c r="J381" s="2693" t="str">
        <f>IF(ar701.1="Prescriptive Path", "Enter ACH50 value for points in 703.1.5","")</f>
        <v>Enter ACH50 value for points in 703.1.5</v>
      </c>
      <c r="K381" s="4810">
        <f>note703.1.5</f>
        <v>0</v>
      </c>
      <c r="L381" s="4811"/>
      <c r="M381" s="2702" t="str">
        <f t="shared" si="50"/>
        <v/>
      </c>
    </row>
    <row r="382" spans="3:29">
      <c r="C382" s="2142" t="str">
        <f>IF(SUM(G381:G385)&gt;0,"P","")</f>
        <v/>
      </c>
      <c r="D382" s="433" t="s">
        <v>2797</v>
      </c>
      <c r="E382" s="2378" t="s">
        <v>2433</v>
      </c>
      <c r="F382" s="2379">
        <f>points703.1.5_4</f>
        <v>0</v>
      </c>
      <c r="G382" s="2380">
        <f>IF(choice703.1.5="4 = Max Leakage Rate",claim703.1.5,0)</f>
        <v>0</v>
      </c>
      <c r="H382" s="4839"/>
      <c r="I382" s="4841"/>
      <c r="J382" s="2694"/>
      <c r="K382" s="4491"/>
      <c r="L382" s="4833"/>
      <c r="M382" s="2702" t="str">
        <f t="shared" si="50"/>
        <v/>
      </c>
      <c r="AB382" s="32">
        <f>IF(J382&gt;7.49,1,0)</f>
        <v>0</v>
      </c>
      <c r="AC382" s="32">
        <f>IF(AND(J382&gt;0,J351&gt;0,J351&lt;&gt;J382),1,0)</f>
        <v>0</v>
      </c>
    </row>
    <row r="383" spans="3:29">
      <c r="C383" s="2142" t="str">
        <f>IF(SUM(G381:G385)&gt;0,"P","")</f>
        <v/>
      </c>
      <c r="D383" s="433" t="s">
        <v>2797</v>
      </c>
      <c r="E383" s="2378" t="s">
        <v>2432</v>
      </c>
      <c r="F383" s="2379">
        <f>points703.1.5_3</f>
        <v>0</v>
      </c>
      <c r="G383" s="2380">
        <f>IF(choice703.1.5="3 = Max Leakage Rate",claim703.1.5,0)</f>
        <v>0</v>
      </c>
      <c r="H383" s="4839"/>
      <c r="I383" s="4841"/>
      <c r="J383" s="4892"/>
      <c r="K383" s="4491"/>
      <c r="L383" s="4833"/>
      <c r="M383" s="2702" t="str">
        <f t="shared" si="50"/>
        <v/>
      </c>
    </row>
    <row r="384" spans="3:29">
      <c r="C384" s="2142" t="str">
        <f>IF(SUM(G381:G385)&gt;0,"P","")</f>
        <v/>
      </c>
      <c r="D384" s="433" t="s">
        <v>2797</v>
      </c>
      <c r="E384" s="2378" t="s">
        <v>2431</v>
      </c>
      <c r="F384" s="2379">
        <f>points703.1.5_2</f>
        <v>0</v>
      </c>
      <c r="G384" s="2380">
        <f>IF(choice703.1.5="2 = Max Leakage Rate",claim703.1.5,0)</f>
        <v>0</v>
      </c>
      <c r="H384" s="4839"/>
      <c r="I384" s="4841"/>
      <c r="J384" s="4892"/>
      <c r="K384" s="4491"/>
      <c r="L384" s="4833"/>
      <c r="M384" s="2702" t="str">
        <f t="shared" si="50"/>
        <v/>
      </c>
    </row>
    <row r="385" spans="3:30" ht="16" thickBot="1">
      <c r="C385" s="2142" t="str">
        <f>IF(SUM(G381:G385)&gt;0,"P","")</f>
        <v/>
      </c>
      <c r="D385" s="433" t="s">
        <v>2797</v>
      </c>
      <c r="E385" s="2384" t="s">
        <v>2430</v>
      </c>
      <c r="F385" s="252">
        <f>points703.1.5_1</f>
        <v>0</v>
      </c>
      <c r="G385" s="2334">
        <f>IF(choice703.1.5="1 = Max Leakage Rate",claim703.1.5,0)</f>
        <v>0</v>
      </c>
      <c r="H385" s="4835"/>
      <c r="I385" s="4842"/>
      <c r="J385" s="4893"/>
      <c r="K385" s="4491"/>
      <c r="L385" s="4833"/>
      <c r="M385" s="2702" t="str">
        <f t="shared" si="50"/>
        <v/>
      </c>
    </row>
    <row r="386" spans="3:30" ht="17" thickTop="1" thickBot="1">
      <c r="D386" s="433" t="s">
        <v>2796</v>
      </c>
      <c r="E386" s="2489" t="s">
        <v>2435</v>
      </c>
      <c r="F386" s="1660"/>
      <c r="G386" s="1661"/>
      <c r="H386" s="1846"/>
      <c r="I386" s="1846"/>
      <c r="J386" s="1846"/>
      <c r="K386" s="4598"/>
      <c r="L386" s="4896"/>
      <c r="M386" s="2702" t="str">
        <f t="shared" si="50"/>
        <v/>
      </c>
    </row>
    <row r="387" spans="3:30" ht="19.5" customHeight="1" thickTop="1">
      <c r="C387" s="2142" t="str">
        <f>IF(G331="Prescriptive Path","P","")</f>
        <v/>
      </c>
      <c r="D387" s="433" t="s">
        <v>2796</v>
      </c>
      <c r="E387" s="4830" t="s">
        <v>2436</v>
      </c>
      <c r="F387" s="2021" t="s">
        <v>3</v>
      </c>
      <c r="G387" s="2357">
        <f>IF(OR(G331="Alternative Bronze",G331="Performance Path"), "N/A", claim703.1.6.1)</f>
        <v>0</v>
      </c>
      <c r="H387" s="4874" t="str">
        <f>IF(AND(J388&lt;&gt;"",J390&lt;&gt;"",J392&lt;&gt;"",J394&lt;&gt;""),Formulas!AH30,"")</f>
        <v/>
      </c>
      <c r="I387" s="4875"/>
      <c r="J387" s="2031" t="str">
        <f>IF(Vreport701.1="Prescriptive Path","Enter Window U-value","")</f>
        <v>Enter Window U-value</v>
      </c>
      <c r="K387" s="4491">
        <f>note703.1.6.1</f>
        <v>0</v>
      </c>
      <c r="L387" s="4833"/>
      <c r="M387" s="2702" t="str">
        <f t="shared" si="50"/>
        <v>!</v>
      </c>
      <c r="Z387" s="32">
        <f>IF(AND(Vreport701.1="Prescriptive Path",H387&lt;&gt;"Met"),1,0)</f>
        <v>1</v>
      </c>
    </row>
    <row r="388" spans="3:30" ht="27" customHeight="1" thickBot="1">
      <c r="C388" s="2142" t="str">
        <f>IF(G331="Prescriptive Path","P","")</f>
        <v/>
      </c>
      <c r="D388" s="433" t="s">
        <v>2796</v>
      </c>
      <c r="E388" s="4873"/>
      <c r="F388" s="2021"/>
      <c r="G388" s="2357"/>
      <c r="H388" s="4876"/>
      <c r="I388" s="4877"/>
      <c r="J388" s="2030"/>
      <c r="K388" s="2327"/>
      <c r="L388" s="2490"/>
      <c r="M388" s="2702" t="str">
        <f t="shared" si="50"/>
        <v/>
      </c>
    </row>
    <row r="389" spans="3:30" ht="18" customHeight="1" thickTop="1">
      <c r="C389" s="2142" t="str">
        <f>IF(G331="Prescriptive Path","P","")</f>
        <v/>
      </c>
      <c r="D389" s="433" t="s">
        <v>2796</v>
      </c>
      <c r="E389" s="4830" t="s">
        <v>2437</v>
      </c>
      <c r="F389" s="4879"/>
      <c r="G389" s="4881"/>
      <c r="H389" s="5214"/>
      <c r="I389" s="5215"/>
      <c r="J389" s="2031" t="str">
        <f>IF(Vreport701.1="Prescriptive Path","Enter Window SHGC value","")</f>
        <v>Enter Window SHGC value</v>
      </c>
      <c r="K389" s="4516"/>
      <c r="L389" s="4853"/>
      <c r="M389" s="2702" t="str">
        <f t="shared" si="50"/>
        <v/>
      </c>
    </row>
    <row r="390" spans="3:30" ht="27" customHeight="1" thickBot="1">
      <c r="C390" s="2142" t="str">
        <f>IF(G331="Prescriptive Path","P","")</f>
        <v/>
      </c>
      <c r="D390" s="433" t="s">
        <v>2796</v>
      </c>
      <c r="E390" s="4878"/>
      <c r="F390" s="4880"/>
      <c r="G390" s="4882"/>
      <c r="H390" s="5216"/>
      <c r="I390" s="5217"/>
      <c r="J390" s="2030"/>
      <c r="K390" s="2032"/>
      <c r="L390" s="2491"/>
      <c r="M390" s="2702" t="str">
        <f t="shared" si="50"/>
        <v/>
      </c>
    </row>
    <row r="391" spans="3:30" ht="16" thickTop="1">
      <c r="C391" s="2142" t="str">
        <f>IF(G331="Prescriptive Path","P","")</f>
        <v/>
      </c>
      <c r="D391" s="433" t="s">
        <v>2796</v>
      </c>
      <c r="E391" s="2378" t="s">
        <v>1728</v>
      </c>
      <c r="F391" s="2492">
        <f>points703.1.6.2_a</f>
        <v>0</v>
      </c>
      <c r="G391" s="2380">
        <f>IF(choice703.1.6.2="Table 703.1.6.2(a)",claim703.1.6.2,0)</f>
        <v>0</v>
      </c>
      <c r="H391" s="4867">
        <f>IF(AND(J388&lt;&gt;"",J390&lt;&gt;"",J392&lt;&gt;"",J394&lt;&gt;""),MAX(Formulas!AJ31:AJ33),0)</f>
        <v>0</v>
      </c>
      <c r="I391" s="4868"/>
      <c r="J391" s="2031" t="str">
        <f>IF(Vreport701.1="Prescriptive Path","Enter Skylight/TDD U-value (enter 0 for none)","")</f>
        <v>Enter Skylight/TDD U-value (enter 0 for none)</v>
      </c>
      <c r="K391" s="4939">
        <f>note703.1.6.2</f>
        <v>0</v>
      </c>
      <c r="L391" s="4811"/>
      <c r="M391" s="2702" t="str">
        <f t="shared" si="50"/>
        <v/>
      </c>
    </row>
    <row r="392" spans="3:30" ht="16" thickBot="1">
      <c r="C392" s="2142" t="str">
        <f>IF(G331="Prescriptive Path","P","")</f>
        <v/>
      </c>
      <c r="D392" s="433" t="s">
        <v>2796</v>
      </c>
      <c r="E392" s="2378" t="s">
        <v>1733</v>
      </c>
      <c r="F392" s="2492">
        <f>points703.1.6.2_b</f>
        <v>0</v>
      </c>
      <c r="G392" s="2380">
        <f>IF(choice703.1.6.2="Table 703.1.6.2(b)",claim703.1.6.2,0)</f>
        <v>0</v>
      </c>
      <c r="H392" s="4869"/>
      <c r="I392" s="4870"/>
      <c r="J392" s="2030"/>
      <c r="K392" s="4491"/>
      <c r="L392" s="4833"/>
      <c r="M392" s="2702" t="str">
        <f t="shared" si="50"/>
        <v/>
      </c>
    </row>
    <row r="393" spans="3:30" ht="16" thickTop="1">
      <c r="C393" s="2142" t="str">
        <f>IF(G331="Prescriptive Path","P","")</f>
        <v/>
      </c>
      <c r="D393" s="433" t="s">
        <v>2796</v>
      </c>
      <c r="E393" s="4883" t="s">
        <v>1734</v>
      </c>
      <c r="F393" s="4886" t="str">
        <f>IF(points703.1.6.2_c=0,"0",points703.1.6.2_c)</f>
        <v>0</v>
      </c>
      <c r="G393" s="4592">
        <f>IF(choice703.1.6.2="Table 703.1.6.2(c)",claim703.1.6.2,0)</f>
        <v>0</v>
      </c>
      <c r="H393" s="4869"/>
      <c r="I393" s="4870"/>
      <c r="J393" s="2031" t="str">
        <f>IF(Vreport701.1="Prescriptive Path","Enter skylight/TDD SHGC value (enter 0 for none)","")</f>
        <v>Enter skylight/TDD SHGC value (enter 0 for none)</v>
      </c>
      <c r="K393" s="4491"/>
      <c r="L393" s="4833"/>
      <c r="M393" s="2702" t="str">
        <f t="shared" si="50"/>
        <v/>
      </c>
    </row>
    <row r="394" spans="3:30">
      <c r="C394" s="2142" t="str">
        <f>IF(G331="Prescriptive Path","P","")</f>
        <v/>
      </c>
      <c r="D394" s="433" t="s">
        <v>2796</v>
      </c>
      <c r="E394" s="4884"/>
      <c r="F394" s="4545"/>
      <c r="G394" s="4888"/>
      <c r="H394" s="4869"/>
      <c r="I394" s="4870"/>
      <c r="J394" s="2030"/>
      <c r="K394" s="4491"/>
      <c r="L394" s="4833"/>
      <c r="M394" s="2702" t="str">
        <f t="shared" si="50"/>
        <v/>
      </c>
    </row>
    <row r="395" spans="3:30" ht="16" thickBot="1">
      <c r="C395" s="2142" t="str">
        <f>IF(G331="Prescriptive Path","P","")</f>
        <v/>
      </c>
      <c r="D395" s="433" t="s">
        <v>2796</v>
      </c>
      <c r="E395" s="4885"/>
      <c r="F395" s="4887"/>
      <c r="G395" s="4889"/>
      <c r="H395" s="4871"/>
      <c r="I395" s="4872"/>
      <c r="J395" s="2493"/>
      <c r="K395" s="4849"/>
      <c r="L395" s="4850"/>
      <c r="M395" s="2702" t="str">
        <f t="shared" si="50"/>
        <v/>
      </c>
    </row>
    <row r="396" spans="3:30" ht="16" thickTop="1">
      <c r="D396" s="433" t="s">
        <v>2795</v>
      </c>
      <c r="E396" s="2494" t="s">
        <v>2438</v>
      </c>
      <c r="F396" s="299"/>
      <c r="G396" s="299"/>
      <c r="H396" s="1856"/>
      <c r="I396" s="1856"/>
      <c r="J396" s="1847"/>
      <c r="K396" s="4516"/>
      <c r="L396" s="4853"/>
      <c r="M396" s="2702" t="str">
        <f t="shared" si="50"/>
        <v/>
      </c>
    </row>
    <row r="397" spans="3:30" ht="61" thickBot="1">
      <c r="C397" s="2142" t="str">
        <f>IF(G397&gt;0,"P","")</f>
        <v/>
      </c>
      <c r="D397" s="433" t="s">
        <v>2795</v>
      </c>
      <c r="E397" s="2483" t="s">
        <v>2439</v>
      </c>
      <c r="F397" s="2397">
        <v>4</v>
      </c>
      <c r="G397" s="2495">
        <f>claim703.2.1</f>
        <v>0</v>
      </c>
      <c r="H397" s="2496"/>
      <c r="I397" s="2496"/>
      <c r="J397" s="2684"/>
      <c r="K397" s="4540">
        <f>note703.2.1</f>
        <v>0</v>
      </c>
      <c r="L397" s="4924"/>
      <c r="M397" s="2702" t="str">
        <f t="shared" si="50"/>
        <v/>
      </c>
      <c r="X397" s="32">
        <f>IF(AND(H397&gt;0,I397&gt;0),1,0)</f>
        <v>0</v>
      </c>
    </row>
    <row r="398" spans="3:30" ht="21" customHeight="1" thickTop="1">
      <c r="C398" s="2142" t="str">
        <f>IF(G398&gt;0,"P","")</f>
        <v/>
      </c>
      <c r="D398" s="433" t="s">
        <v>2795</v>
      </c>
      <c r="E398" s="5149" t="s">
        <v>2440</v>
      </c>
      <c r="F398" s="5221" t="s">
        <v>2603</v>
      </c>
      <c r="G398" s="1590">
        <f>claim703.2.2</f>
        <v>0</v>
      </c>
      <c r="H398" s="5203"/>
      <c r="I398" s="5218">
        <f>Formulas!CC29</f>
        <v>0</v>
      </c>
      <c r="J398" s="2695" t="str">
        <f>IF(H331="Prescriptive Path","Enter heating system type (multiple system enter least efficient):","")</f>
        <v>Enter heating system type (multiple system enter least efficient):</v>
      </c>
      <c r="K398" s="4504">
        <f>note703.2.2</f>
        <v>0</v>
      </c>
      <c r="L398" s="4994"/>
      <c r="M398" s="2702" t="str">
        <f t="shared" si="50"/>
        <v/>
      </c>
      <c r="AB398" s="32">
        <f>IF(AND($I$398&gt;0,$I$414&gt;0),1,0)</f>
        <v>0</v>
      </c>
      <c r="AC398" s="32">
        <f>IF(AND($I$398&gt;0,$I$414&gt;0),1,0)</f>
        <v>0</v>
      </c>
      <c r="AD398" s="32">
        <f>IF(AND($I$398&gt;0,$I$404&gt;0),1,0)</f>
        <v>0</v>
      </c>
    </row>
    <row r="399" spans="3:30">
      <c r="C399" s="2142" t="str">
        <f>IF(G398&gt;0,"P","")</f>
        <v/>
      </c>
      <c r="D399" s="433" t="s">
        <v>2795</v>
      </c>
      <c r="E399" s="5018"/>
      <c r="F399" s="5222"/>
      <c r="G399" s="2380">
        <f>choice703.2.2step1</f>
        <v>0</v>
      </c>
      <c r="H399" s="4839"/>
      <c r="I399" s="5219"/>
      <c r="J399" s="2696"/>
      <c r="K399" s="4491"/>
      <c r="L399" s="4833"/>
      <c r="M399" s="2702" t="str">
        <f t="shared" si="50"/>
        <v/>
      </c>
    </row>
    <row r="400" spans="3:30">
      <c r="C400" s="2142" t="str">
        <f>IF(G398&gt;0,"P","")</f>
        <v/>
      </c>
      <c r="D400" s="433" t="s">
        <v>2795</v>
      </c>
      <c r="E400" s="5018"/>
      <c r="F400" s="5222"/>
      <c r="G400" s="4592">
        <f>choice703.2.2step2</f>
        <v>0</v>
      </c>
      <c r="H400" s="4839"/>
      <c r="I400" s="5219"/>
      <c r="J400" s="2697" t="str">
        <f>IF(H331="Prescriptive Path","Enter AFUE:","")</f>
        <v>Enter AFUE:</v>
      </c>
      <c r="K400" s="4491"/>
      <c r="L400" s="4833"/>
      <c r="M400" s="2702" t="str">
        <f t="shared" ref="M400:M463" si="51">IF(AND(ReportType="Rough",SUM(X400,Y400,Z400,AB400,AC400,AD400,AE400)&gt;0),"!",IF(AND(ReportType="Final", SUM(X400,Y400,AA400,AB400,AC400,AD400,AE400)&gt;0),"!",""))</f>
        <v/>
      </c>
    </row>
    <row r="401" spans="3:31">
      <c r="C401" s="2142" t="str">
        <f>IF(G398&gt;0,"P","")</f>
        <v/>
      </c>
      <c r="D401" s="433" t="s">
        <v>2795</v>
      </c>
      <c r="E401" s="5018"/>
      <c r="F401" s="5222"/>
      <c r="G401" s="4888"/>
      <c r="H401" s="4839"/>
      <c r="I401" s="5219"/>
      <c r="J401" s="2698"/>
      <c r="K401" s="4491"/>
      <c r="L401" s="4833"/>
      <c r="M401" s="2702" t="str">
        <f t="shared" si="51"/>
        <v/>
      </c>
    </row>
    <row r="402" spans="3:31" ht="17.25" customHeight="1" thickBot="1">
      <c r="C402" s="2142" t="str">
        <f>IF(G398&gt;0,"P","")</f>
        <v/>
      </c>
      <c r="D402" s="433" t="s">
        <v>2795</v>
      </c>
      <c r="E402" s="5019"/>
      <c r="F402" s="5223"/>
      <c r="G402" s="4889"/>
      <c r="H402" s="4835"/>
      <c r="I402" s="5220"/>
      <c r="J402" s="766"/>
      <c r="K402" s="4849"/>
      <c r="L402" s="4850"/>
      <c r="M402" s="2702" t="str">
        <f t="shared" si="51"/>
        <v/>
      </c>
    </row>
    <row r="403" spans="3:31" ht="31" thickTop="1">
      <c r="C403" s="2142" t="str">
        <f>IF(SUM(G404:G407)&gt;0,"P","")</f>
        <v/>
      </c>
      <c r="D403" s="433" t="s">
        <v>2795</v>
      </c>
      <c r="E403" s="2479" t="s">
        <v>2441</v>
      </c>
      <c r="F403" s="1657"/>
      <c r="G403" s="840"/>
      <c r="H403" s="1831"/>
      <c r="I403" s="1831"/>
      <c r="J403" s="1831"/>
      <c r="K403" s="4516"/>
      <c r="L403" s="4853"/>
      <c r="M403" s="2702" t="str">
        <f t="shared" si="51"/>
        <v/>
      </c>
    </row>
    <row r="404" spans="3:31">
      <c r="C404" s="2142" t="str">
        <f>IF(SUM(G404:G407)&gt;0,"P","")</f>
        <v/>
      </c>
      <c r="D404" s="433" t="s">
        <v>2795</v>
      </c>
      <c r="E404" s="2378" t="s">
        <v>2442</v>
      </c>
      <c r="F404" s="2492">
        <f>points703.2.3_1</f>
        <v>0</v>
      </c>
      <c r="G404" s="2380">
        <f>IF(choice703.2.3="8.2 HSPF",claim703.2.3,0)</f>
        <v>0</v>
      </c>
      <c r="H404" s="4834"/>
      <c r="I404" s="4840">
        <f>Formulas!AU42</f>
        <v>0</v>
      </c>
      <c r="J404" s="2695" t="str">
        <f>IF(H331="Prescriptive Path","Enter HSPF (mulitple systems enter least efficient)","")</f>
        <v>Enter HSPF (mulitple systems enter least efficient)</v>
      </c>
      <c r="K404" s="4810">
        <f>note703.2.3</f>
        <v>0</v>
      </c>
      <c r="L404" s="4811"/>
      <c r="M404" s="2702" t="str">
        <f t="shared" si="51"/>
        <v/>
      </c>
      <c r="AB404" s="32">
        <f>IF(AND($I$404&gt;0,$I$418&gt;0),1,0)</f>
        <v>0</v>
      </c>
      <c r="AC404" s="32">
        <f>IF(AND($I$404&gt;0,$I$414&gt;0),1,0)</f>
        <v>0</v>
      </c>
      <c r="AD404" s="32">
        <f>IF(AND($I$398&gt;0,$I$404&gt;0),1,0)</f>
        <v>0</v>
      </c>
    </row>
    <row r="405" spans="3:31">
      <c r="C405" s="2142" t="str">
        <f>IF(SUM(G404:G407)&gt;0,"P","")</f>
        <v/>
      </c>
      <c r="D405" s="433" t="s">
        <v>2795</v>
      </c>
      <c r="E405" s="2378" t="s">
        <v>2443</v>
      </c>
      <c r="F405" s="2492">
        <f>points703.2.3_2</f>
        <v>0</v>
      </c>
      <c r="G405" s="2380">
        <f>IF(choice703.2.3="9.0 HSPF",claim703.2.3,0)</f>
        <v>0</v>
      </c>
      <c r="H405" s="4839"/>
      <c r="I405" s="4841"/>
      <c r="J405" s="2696"/>
      <c r="K405" s="4491"/>
      <c r="L405" s="4833"/>
      <c r="M405" s="2702" t="str">
        <f t="shared" si="51"/>
        <v/>
      </c>
    </row>
    <row r="406" spans="3:31">
      <c r="C406" s="2142" t="str">
        <f>IF(SUM(G404:G407)&gt;0,"P","")</f>
        <v/>
      </c>
      <c r="D406" s="433" t="s">
        <v>2795</v>
      </c>
      <c r="E406" s="2378" t="s">
        <v>1768</v>
      </c>
      <c r="F406" s="2492">
        <f>points703.2.3_3</f>
        <v>0</v>
      </c>
      <c r="G406" s="2380">
        <f>IF(choice703.2.3="9.5 HSPF",claim703.2.3,0)</f>
        <v>0</v>
      </c>
      <c r="H406" s="4839"/>
      <c r="I406" s="4841"/>
      <c r="J406" s="4892"/>
      <c r="K406" s="4491"/>
      <c r="L406" s="4833"/>
      <c r="M406" s="2702" t="str">
        <f t="shared" si="51"/>
        <v/>
      </c>
    </row>
    <row r="407" spans="3:31" ht="16" thickBot="1">
      <c r="C407" s="2142" t="str">
        <f>IF(SUM(G404:G407)&gt;0,"P","")</f>
        <v/>
      </c>
      <c r="D407" s="433" t="s">
        <v>2795</v>
      </c>
      <c r="E407" s="2378" t="s">
        <v>1769</v>
      </c>
      <c r="F407" s="2492">
        <f>points703.2.3_4</f>
        <v>0</v>
      </c>
      <c r="G407" s="2380">
        <f>IF(choice703.2.3="10.0 HSPF",claim703.2.3,0)</f>
        <v>0</v>
      </c>
      <c r="H407" s="4835"/>
      <c r="I407" s="4842"/>
      <c r="J407" s="4893"/>
      <c r="K407" s="4849"/>
      <c r="L407" s="4850"/>
      <c r="M407" s="2702" t="str">
        <f t="shared" si="51"/>
        <v/>
      </c>
    </row>
    <row r="408" spans="3:31" ht="31" thickTop="1">
      <c r="C408" s="2142" t="str">
        <f>IF(SUM(G409:G413)&gt;0,"P","")</f>
        <v/>
      </c>
      <c r="D408" s="433" t="s">
        <v>2795</v>
      </c>
      <c r="E408" s="2479" t="s">
        <v>2444</v>
      </c>
      <c r="F408" s="1657"/>
      <c r="G408" s="840"/>
      <c r="H408" s="1831"/>
      <c r="I408" s="1831"/>
      <c r="J408" s="1831"/>
      <c r="K408" s="4516"/>
      <c r="L408" s="4853"/>
      <c r="M408" s="2702" t="str">
        <f t="shared" si="51"/>
        <v/>
      </c>
    </row>
    <row r="409" spans="3:31">
      <c r="C409" s="2142" t="str">
        <f>IF(SUM(G409:G413)&gt;0,"P","")</f>
        <v/>
      </c>
      <c r="D409" s="433" t="s">
        <v>2795</v>
      </c>
      <c r="E409" s="2497" t="s">
        <v>2445</v>
      </c>
      <c r="F409" s="2492">
        <f>points703.2.4_1</f>
        <v>0</v>
      </c>
      <c r="G409" s="2380">
        <f>IF(choice703.2.4=E409,claim703.2.4,0)</f>
        <v>0</v>
      </c>
      <c r="H409" s="4834"/>
      <c r="I409" s="4840">
        <f>Formulas!AU53</f>
        <v>0</v>
      </c>
      <c r="J409" s="2695" t="str">
        <f>IF(H331="Prescriptive Path","Enter SEER (multiple systems enter least efficient):","")</f>
        <v>Enter SEER (multiple systems enter least efficient):</v>
      </c>
      <c r="K409" s="4810">
        <f>note703.2.4</f>
        <v>0</v>
      </c>
      <c r="L409" s="4811"/>
      <c r="M409" s="2702" t="str">
        <f t="shared" si="51"/>
        <v/>
      </c>
      <c r="AB409" s="32">
        <f>IF(AND($I$409&gt;0,$I$418&gt;0),1,0)</f>
        <v>0</v>
      </c>
      <c r="AC409" s="32">
        <f>IF(AND($I$409&gt;0,$I$414&gt;0),1,0)</f>
        <v>0</v>
      </c>
    </row>
    <row r="410" spans="3:31">
      <c r="C410" s="2142" t="str">
        <f>IF(SUM(G409:G413)&gt;0,"P","")</f>
        <v/>
      </c>
      <c r="D410" s="433" t="s">
        <v>2795</v>
      </c>
      <c r="E410" s="2497" t="s">
        <v>2446</v>
      </c>
      <c r="F410" s="2492">
        <f>points703.2.4_2</f>
        <v>0</v>
      </c>
      <c r="G410" s="2380">
        <f>IF(choice703.2.4=E410,claim703.2.4,0)</f>
        <v>0</v>
      </c>
      <c r="H410" s="4839"/>
      <c r="I410" s="4841"/>
      <c r="J410" s="2696"/>
      <c r="K410" s="4491"/>
      <c r="L410" s="4833"/>
      <c r="M410" s="2702" t="str">
        <f t="shared" si="51"/>
        <v/>
      </c>
    </row>
    <row r="411" spans="3:31">
      <c r="C411" s="2142" t="str">
        <f>IF(SUM(G409:G413)&gt;0,"P","")</f>
        <v/>
      </c>
      <c r="D411" s="433" t="s">
        <v>2795</v>
      </c>
      <c r="E411" s="2497" t="s">
        <v>2447</v>
      </c>
      <c r="F411" s="2492">
        <f>points703.2.4_3</f>
        <v>0</v>
      </c>
      <c r="G411" s="2380">
        <f>IF(choice703.2.4=E411,claim703.2.4,0)</f>
        <v>0</v>
      </c>
      <c r="H411" s="4839"/>
      <c r="I411" s="4841"/>
      <c r="J411" s="4909"/>
      <c r="K411" s="4491"/>
      <c r="L411" s="4833"/>
      <c r="M411" s="2702" t="str">
        <f t="shared" si="51"/>
        <v/>
      </c>
    </row>
    <row r="412" spans="3:31">
      <c r="C412" s="2142" t="str">
        <f>IF(SUM(G409:G413)&gt;0,"P","")</f>
        <v/>
      </c>
      <c r="D412" s="433" t="s">
        <v>2795</v>
      </c>
      <c r="E412" s="2497" t="s">
        <v>1782</v>
      </c>
      <c r="F412" s="2492">
        <f>points703.2.4_4</f>
        <v>0</v>
      </c>
      <c r="G412" s="2380">
        <f>IF(choice703.2.4=E412,claim703.2.4,0)</f>
        <v>0</v>
      </c>
      <c r="H412" s="4839"/>
      <c r="I412" s="4841"/>
      <c r="J412" s="4892"/>
      <c r="K412" s="4491"/>
      <c r="L412" s="4833"/>
      <c r="M412" s="2702" t="str">
        <f t="shared" si="51"/>
        <v/>
      </c>
    </row>
    <row r="413" spans="3:31" ht="16" thickBot="1">
      <c r="C413" s="2142" t="str">
        <f>IF(SUM(G409:G413)&gt;0,"P","")</f>
        <v/>
      </c>
      <c r="D413" s="433" t="s">
        <v>2795</v>
      </c>
      <c r="E413" s="2498" t="s">
        <v>1781</v>
      </c>
      <c r="F413" s="1666">
        <f>points703.2.4_5</f>
        <v>0</v>
      </c>
      <c r="G413" s="2334">
        <f>IF(choice703.2.4=E413,claim703.2.4,0)</f>
        <v>0</v>
      </c>
      <c r="H413" s="4835"/>
      <c r="I413" s="4842"/>
      <c r="J413" s="4893"/>
      <c r="K413" s="4491"/>
      <c r="L413" s="4833"/>
      <c r="M413" s="2702" t="str">
        <f t="shared" si="51"/>
        <v/>
      </c>
    </row>
    <row r="414" spans="3:31" ht="16" thickTop="1">
      <c r="C414" s="2142" t="str">
        <f>IF(G414&gt;0,"P","")</f>
        <v/>
      </c>
      <c r="D414" s="433" t="s">
        <v>2795</v>
      </c>
      <c r="E414" s="4830" t="s">
        <v>2448</v>
      </c>
      <c r="F414" s="5205">
        <f>points703.2.5</f>
        <v>0</v>
      </c>
      <c r="G414" s="5208">
        <f>claim703.2.5</f>
        <v>0</v>
      </c>
      <c r="H414" s="5203"/>
      <c r="I414" s="5204">
        <f>Formulas!AU63</f>
        <v>0</v>
      </c>
      <c r="J414" s="2695" t="str">
        <f>IF(H331="Prescriptive Path","Enter EER (multiple systems enter least efficient):","")</f>
        <v>Enter EER (multiple systems enter least efficient):</v>
      </c>
      <c r="K414" s="5130">
        <f>note703.2.5</f>
        <v>0</v>
      </c>
      <c r="L414" s="5131"/>
      <c r="M414" s="2702" t="str">
        <f t="shared" si="51"/>
        <v/>
      </c>
      <c r="AB414" s="32">
        <f>IF(AND($I$409&gt;0,$I$414&gt;0),1,0)</f>
        <v>0</v>
      </c>
      <c r="AC414" s="32">
        <f>IF(AND($I$414&gt;0,$I$404&gt;0),1,0)</f>
        <v>0</v>
      </c>
      <c r="AD414" s="32">
        <f>IF(AND($I$414&gt;0,$I$409&gt;0),1,0)</f>
        <v>0</v>
      </c>
      <c r="AE414" s="32">
        <f>IF(AND($I$414&gt;0,$I$418&gt;0),1,0)</f>
        <v>0</v>
      </c>
    </row>
    <row r="415" spans="3:31">
      <c r="C415" s="2142" t="str">
        <f>IF(G414&gt;0,"P","")</f>
        <v/>
      </c>
      <c r="D415" s="433" t="s">
        <v>2795</v>
      </c>
      <c r="E415" s="4831"/>
      <c r="F415" s="5206"/>
      <c r="G415" s="5209"/>
      <c r="H415" s="4839"/>
      <c r="I415" s="4841"/>
      <c r="J415" s="2696"/>
      <c r="K415" s="5132"/>
      <c r="L415" s="5133"/>
      <c r="M415" s="2702" t="str">
        <f t="shared" si="51"/>
        <v/>
      </c>
    </row>
    <row r="416" spans="3:31" ht="16" thickBot="1">
      <c r="C416" s="2142" t="str">
        <f>IF(G414&gt;0,"P","")</f>
        <v/>
      </c>
      <c r="D416" s="433" t="s">
        <v>2795</v>
      </c>
      <c r="E416" s="4873"/>
      <c r="F416" s="5207"/>
      <c r="G416" s="5210"/>
      <c r="H416" s="4835"/>
      <c r="I416" s="4842"/>
      <c r="J416" s="2499"/>
      <c r="K416" s="5134"/>
      <c r="L416" s="5135"/>
      <c r="M416" s="2702" t="str">
        <f t="shared" si="51"/>
        <v/>
      </c>
    </row>
    <row r="417" spans="3:31" ht="31" thickTop="1">
      <c r="C417" s="2142" t="str">
        <f>IF(SUM(G418:G422)&gt;0,"P","")</f>
        <v/>
      </c>
      <c r="D417" s="433" t="s">
        <v>2795</v>
      </c>
      <c r="E417" s="2479" t="s">
        <v>2449</v>
      </c>
      <c r="F417" s="1657"/>
      <c r="G417" s="840"/>
      <c r="H417" s="1831"/>
      <c r="I417" s="1831"/>
      <c r="J417" s="1831"/>
      <c r="K417" s="4516"/>
      <c r="L417" s="4853"/>
      <c r="M417" s="2702" t="str">
        <f t="shared" si="51"/>
        <v/>
      </c>
    </row>
    <row r="418" spans="3:31">
      <c r="C418" s="2142" t="str">
        <f>IF(SUM(G418:G422)&gt;0,"P","")</f>
        <v/>
      </c>
      <c r="D418" s="433" t="s">
        <v>2795</v>
      </c>
      <c r="E418" s="2497" t="s">
        <v>1788</v>
      </c>
      <c r="F418" s="2492">
        <f>points703.2.6_1</f>
        <v>0</v>
      </c>
      <c r="G418" s="2380">
        <f>IF(choice703.2.6=E418,claim703.2.6,0)</f>
        <v>0</v>
      </c>
      <c r="H418" s="4834"/>
      <c r="I418" s="4840">
        <f>Formulas!AU69</f>
        <v>0</v>
      </c>
      <c r="J418" s="2695" t="str">
        <f>IF(H331="Prescriptive Path","Enter EER (multiple systems enter least efficient):","")</f>
        <v>Enter EER (multiple systems enter least efficient):</v>
      </c>
      <c r="K418" s="4810">
        <f>note703.2.6</f>
        <v>0</v>
      </c>
      <c r="L418" s="4811"/>
      <c r="M418" s="2702" t="str">
        <f t="shared" si="51"/>
        <v/>
      </c>
      <c r="AB418" s="32">
        <f>IF(AND($I$418&gt;0,$I$398&gt;0),1,0)</f>
        <v>0</v>
      </c>
      <c r="AC418" s="32">
        <f>IF(AND($I$418&gt;0,$I$404&gt;0),1,0)</f>
        <v>0</v>
      </c>
      <c r="AD418" s="32">
        <f>IF(AND($I$418&gt;0,$I$409&gt;0),1,0)</f>
        <v>0</v>
      </c>
      <c r="AE418" s="32">
        <f>IF(AND($I$418&gt;0,$I$414&gt;0),1,0)</f>
        <v>0</v>
      </c>
    </row>
    <row r="419" spans="3:31">
      <c r="C419" s="2142" t="str">
        <f>IF(SUM(G418:G422)&gt;0,"P","")</f>
        <v/>
      </c>
      <c r="D419" s="433" t="s">
        <v>2795</v>
      </c>
      <c r="E419" s="2497" t="s">
        <v>1789</v>
      </c>
      <c r="F419" s="2492">
        <f>points703.2.6_2</f>
        <v>0</v>
      </c>
      <c r="G419" s="2380">
        <f>IF(choice703.2.6=E419,claim703.2.6,0)</f>
        <v>0</v>
      </c>
      <c r="H419" s="4839"/>
      <c r="I419" s="4841"/>
      <c r="J419" s="2696"/>
      <c r="K419" s="4491"/>
      <c r="L419" s="4833"/>
      <c r="M419" s="2702" t="str">
        <f t="shared" si="51"/>
        <v/>
      </c>
    </row>
    <row r="420" spans="3:31">
      <c r="C420" s="2142" t="str">
        <f>IF(SUM(G418:G422)&gt;0,"P","")</f>
        <v/>
      </c>
      <c r="D420" s="433" t="s">
        <v>2795</v>
      </c>
      <c r="E420" s="2497" t="s">
        <v>1796</v>
      </c>
      <c r="F420" s="2492">
        <f>points703.2.6_3</f>
        <v>0</v>
      </c>
      <c r="G420" s="2380">
        <f>IF(choice703.2.6=E420,claim703.2.6,0)</f>
        <v>0</v>
      </c>
      <c r="H420" s="4839"/>
      <c r="I420" s="4841"/>
      <c r="J420" s="4909"/>
      <c r="K420" s="4491"/>
      <c r="L420" s="4833"/>
      <c r="M420" s="2702" t="str">
        <f t="shared" si="51"/>
        <v/>
      </c>
    </row>
    <row r="421" spans="3:31">
      <c r="C421" s="2142" t="str">
        <f>IF(SUM(G418:G422)&gt;0,"P","")</f>
        <v/>
      </c>
      <c r="D421" s="433" t="s">
        <v>2795</v>
      </c>
      <c r="E421" s="2497" t="s">
        <v>1797</v>
      </c>
      <c r="F421" s="2492">
        <f>points703.2.6_4</f>
        <v>0</v>
      </c>
      <c r="G421" s="2380">
        <f>IF(choice703.2.6=E421,claim703.2.6,0)</f>
        <v>0</v>
      </c>
      <c r="H421" s="4839"/>
      <c r="I421" s="4841"/>
      <c r="J421" s="4892"/>
      <c r="K421" s="4491"/>
      <c r="L421" s="4833"/>
      <c r="M421" s="2702" t="str">
        <f t="shared" si="51"/>
        <v/>
      </c>
    </row>
    <row r="422" spans="3:31" ht="16" thickBot="1">
      <c r="C422" s="2142" t="str">
        <f>IF(SUM(G418:G422)&gt;0,"P","")</f>
        <v/>
      </c>
      <c r="D422" s="433" t="s">
        <v>2795</v>
      </c>
      <c r="E422" s="2498" t="s">
        <v>1798</v>
      </c>
      <c r="F422" s="1666">
        <f>points703.2.6_5</f>
        <v>0</v>
      </c>
      <c r="G422" s="2334">
        <f>IF(choice703.2.6=E422,claim703.2.6,0)</f>
        <v>0</v>
      </c>
      <c r="H422" s="4835"/>
      <c r="I422" s="4842"/>
      <c r="J422" s="4893"/>
      <c r="K422" s="4491"/>
      <c r="L422" s="4833"/>
      <c r="M422" s="2702" t="str">
        <f t="shared" si="51"/>
        <v/>
      </c>
    </row>
    <row r="423" spans="3:31" ht="17" thickTop="1" thickBot="1">
      <c r="C423" s="2142" t="str">
        <f>IF(G423&gt;0,"P","")</f>
        <v/>
      </c>
      <c r="D423" s="433" t="s">
        <v>2797</v>
      </c>
      <c r="E423" s="2489" t="s">
        <v>2450</v>
      </c>
      <c r="F423" s="1664">
        <v>1</v>
      </c>
      <c r="G423" s="1665">
        <f>claim703.2.7</f>
        <v>0</v>
      </c>
      <c r="H423" s="2036"/>
      <c r="I423" s="1894"/>
      <c r="J423" s="1894"/>
      <c r="K423" s="4568">
        <f>note703.2.7</f>
        <v>0</v>
      </c>
      <c r="L423" s="5138"/>
      <c r="M423" s="2702" t="str">
        <f t="shared" si="51"/>
        <v/>
      </c>
    </row>
    <row r="424" spans="3:31" ht="29.25" customHeight="1" thickTop="1" thickBot="1">
      <c r="C424" s="2142" t="str">
        <f>IF(G424&gt;0,"P","")</f>
        <v/>
      </c>
      <c r="D424" s="433" t="s">
        <v>2797</v>
      </c>
      <c r="E424" s="2489" t="s">
        <v>2732</v>
      </c>
      <c r="F424" s="1664">
        <f>points703.2.8</f>
        <v>0</v>
      </c>
      <c r="G424" s="1665">
        <f>claim703.2.8</f>
        <v>0</v>
      </c>
      <c r="H424" s="2036"/>
      <c r="I424" s="1894"/>
      <c r="J424" s="1894"/>
      <c r="K424" s="4568">
        <f>note703.2.8</f>
        <v>0</v>
      </c>
      <c r="L424" s="5138"/>
      <c r="M424" s="2702" t="e">
        <f t="shared" si="51"/>
        <v>#N/A</v>
      </c>
      <c r="AB424" s="32" t="e">
        <f>IF(AND($I$424&gt;0,$I$424&lt;&gt;pts703.2.8),1,0)</f>
        <v>#N/A</v>
      </c>
    </row>
    <row r="425" spans="3:31" ht="32" thickTop="1" thickBot="1">
      <c r="C425" s="2142" t="str">
        <f>IF(G425&gt;0,"P","")</f>
        <v/>
      </c>
      <c r="D425" s="433" t="s">
        <v>2797</v>
      </c>
      <c r="E425" s="2489" t="s">
        <v>2503</v>
      </c>
      <c r="F425" s="1664">
        <v>1</v>
      </c>
      <c r="G425" s="1665">
        <f>IF(startSingleorMulti="Multi-Unit",claim703.2.9,IF(AND(startSingleorMulti&lt;&gt;"",claim703.2.9=0),"N/A",claim703.2.9))</f>
        <v>0</v>
      </c>
      <c r="H425" s="2036"/>
      <c r="I425" s="1894"/>
      <c r="J425" s="1894"/>
      <c r="K425" s="4568">
        <f>note703.2.9</f>
        <v>0</v>
      </c>
      <c r="L425" s="5138"/>
      <c r="M425" s="2702" t="str">
        <f t="shared" si="51"/>
        <v/>
      </c>
      <c r="AB425" s="32">
        <f>IF(AND($I$425&gt;0,K3&lt;&gt;"Multi-Unit"),1,0)</f>
        <v>0</v>
      </c>
    </row>
    <row r="426" spans="3:31" ht="16" thickTop="1">
      <c r="D426" s="433" t="s">
        <v>2795</v>
      </c>
      <c r="E426" s="2422" t="s">
        <v>2453</v>
      </c>
      <c r="F426" s="264"/>
      <c r="G426" s="264"/>
      <c r="H426" s="1855"/>
      <c r="I426" s="1855"/>
      <c r="J426" s="2699"/>
      <c r="K426" s="4516"/>
      <c r="L426" s="4853"/>
      <c r="M426" s="2702" t="str">
        <f t="shared" si="51"/>
        <v/>
      </c>
    </row>
    <row r="427" spans="3:31" ht="28" thickBot="1">
      <c r="C427" s="2142" t="str">
        <f>IF(G427&gt;0,"P","")</f>
        <v/>
      </c>
      <c r="D427" s="433" t="s">
        <v>2795</v>
      </c>
      <c r="E427" s="2500" t="s">
        <v>2733</v>
      </c>
      <c r="F427" s="252">
        <f>points703.3.1</f>
        <v>0</v>
      </c>
      <c r="G427" s="253">
        <f>claim703.3.1</f>
        <v>0</v>
      </c>
      <c r="H427" s="1878"/>
      <c r="I427" s="1878"/>
      <c r="J427" s="1878"/>
      <c r="K427" s="4526">
        <f>note703.3.1</f>
        <v>0</v>
      </c>
      <c r="L427" s="4852"/>
      <c r="M427" s="2702" t="e">
        <f t="shared" si="51"/>
        <v>#N/A</v>
      </c>
      <c r="X427" s="32">
        <f>IF(AND(H427&gt;0,I427&gt;0),1,0)</f>
        <v>0</v>
      </c>
      <c r="AB427" s="32" t="e">
        <f>IF(AND($H$427&gt;0,$H$427&lt;&gt;pts703.3.1),1,0)</f>
        <v>#N/A</v>
      </c>
      <c r="AC427" s="32">
        <f>IF(AND(H427&gt;0,I427&gt;0),1,0)</f>
        <v>0</v>
      </c>
      <c r="AD427" s="32">
        <f>IF(AND($I$427&gt;0,$I$428&gt;0,$H$429&gt;0),1,0)</f>
        <v>0</v>
      </c>
    </row>
    <row r="428" spans="3:31" ht="29" thickTop="1" thickBot="1">
      <c r="C428" s="2142" t="str">
        <f>IF(G428&gt;0,"P","")</f>
        <v/>
      </c>
      <c r="D428" s="433" t="s">
        <v>2795</v>
      </c>
      <c r="E428" s="2500" t="s">
        <v>2734</v>
      </c>
      <c r="F428" s="252">
        <f>points703.3.2</f>
        <v>0</v>
      </c>
      <c r="G428" s="253">
        <f>claim703.3.2</f>
        <v>0</v>
      </c>
      <c r="H428" s="1878"/>
      <c r="I428" s="1878"/>
      <c r="J428" s="1878"/>
      <c r="K428" s="4526">
        <f>note703.3.2</f>
        <v>0</v>
      </c>
      <c r="L428" s="4852"/>
      <c r="M428" s="2702" t="e">
        <f t="shared" si="51"/>
        <v>#N/A</v>
      </c>
      <c r="X428" s="32">
        <f>IF(AND(H428&gt;0,I428&gt;0),1,0)</f>
        <v>0</v>
      </c>
      <c r="AB428" s="32">
        <f>IF(AND(I428&gt;0,SUM(H489,I489)&gt;0),1,0)</f>
        <v>0</v>
      </c>
      <c r="AC428" s="32" t="e">
        <f>IF(AND(I428&gt;0,I428&lt;&gt;pts703.3.2),1,0)</f>
        <v>#N/A</v>
      </c>
      <c r="AD428" s="32">
        <f>IF(AND(I428&gt;0,SUM(H489,I489)&gt;0),1,0)</f>
        <v>0</v>
      </c>
      <c r="AE428" s="32">
        <f>IF(AND($I$427&gt;0,$I$428&gt;0,$H$429&gt;0),1,0)</f>
        <v>0</v>
      </c>
    </row>
    <row r="429" spans="3:31" ht="77" thickTop="1" thickBot="1">
      <c r="C429" s="2142" t="str">
        <f>IF(G429&gt;0,"P","")</f>
        <v/>
      </c>
      <c r="D429" s="433" t="s">
        <v>2796</v>
      </c>
      <c r="E429" s="2500" t="s">
        <v>2456</v>
      </c>
      <c r="F429" s="252">
        <f>points703.3.3</f>
        <v>0</v>
      </c>
      <c r="G429" s="253">
        <f>claim703.3.3</f>
        <v>0</v>
      </c>
      <c r="H429" s="1878"/>
      <c r="I429" s="2013"/>
      <c r="J429" s="1878"/>
      <c r="K429" s="4526">
        <f>note703.3.3</f>
        <v>0</v>
      </c>
      <c r="L429" s="4852"/>
      <c r="M429" s="2702" t="e">
        <f t="shared" si="51"/>
        <v>#N/A</v>
      </c>
      <c r="AB429" s="32">
        <f>IF(AND(H429&gt;0,SUM(H427,I427)&gt;0,SUM(H428,I428)&gt;0),1,0)</f>
        <v>0</v>
      </c>
      <c r="AC429" s="32" t="e">
        <f>IF(AND(H429&gt;0,H429&lt;&gt;pts703.3.3),1,0)</f>
        <v>#N/A</v>
      </c>
      <c r="AD429" s="32">
        <f>IF(AND($H$427&gt;0,$H$428&gt;0,$H$429&gt;0),1,0)</f>
        <v>0</v>
      </c>
    </row>
    <row r="430" spans="3:31" ht="61" thickTop="1">
      <c r="C430" s="2142" t="str">
        <f>IF(SUM(G431:G435)&gt;0,"P","")</f>
        <v/>
      </c>
      <c r="D430" s="433" t="s">
        <v>2795</v>
      </c>
      <c r="E430" s="2479" t="s">
        <v>2457</v>
      </c>
      <c r="F430" s="843"/>
      <c r="G430" s="840"/>
      <c r="H430" s="1831"/>
      <c r="I430" s="1831"/>
      <c r="J430" s="1831"/>
      <c r="K430" s="4528"/>
      <c r="L430" s="4901"/>
      <c r="M430" s="2702" t="str">
        <f t="shared" si="51"/>
        <v/>
      </c>
    </row>
    <row r="431" spans="3:31">
      <c r="C431" s="2142" t="str">
        <f>IF(SUM(G431:G435)&gt;0,"P","")</f>
        <v/>
      </c>
      <c r="D431" s="433" t="s">
        <v>2795</v>
      </c>
      <c r="E431" s="2497" t="s">
        <v>1815</v>
      </c>
      <c r="F431" s="2492">
        <f>points703.3.4_1</f>
        <v>0</v>
      </c>
      <c r="G431" s="2380">
        <f>IF(choice703.3.4="Entirely outside",claim703.3.4,0)</f>
        <v>0</v>
      </c>
      <c r="H431" s="4867">
        <f>IF(AND(J434&lt;6.5,J434&lt;&gt;""),pts703.3.4,0)</f>
        <v>0</v>
      </c>
      <c r="I431" s="4868"/>
      <c r="J431" s="2695" t="str">
        <f>IF(H331="Prescriptive Path","Enter ductwork location:","")</f>
        <v>Enter ductwork location:</v>
      </c>
      <c r="K431" s="4854">
        <f>note703.3.4</f>
        <v>0</v>
      </c>
      <c r="L431" s="4855"/>
      <c r="M431" s="2702" t="str">
        <f t="shared" si="51"/>
        <v/>
      </c>
    </row>
    <row r="432" spans="3:31">
      <c r="C432" s="2142" t="str">
        <f>IF(SUM(G431:G435)&gt;0,"P","")</f>
        <v/>
      </c>
      <c r="D432" s="433" t="s">
        <v>2795</v>
      </c>
      <c r="E432" s="2497" t="s">
        <v>1816</v>
      </c>
      <c r="F432" s="2492">
        <f>points703.3.4_2</f>
        <v>0</v>
      </c>
      <c r="G432" s="2380">
        <f>IF(choice703.3.4="Entirely inside",claim703.3.4,0)</f>
        <v>0</v>
      </c>
      <c r="H432" s="4869"/>
      <c r="I432" s="4870"/>
      <c r="J432" s="2696"/>
      <c r="K432" s="4854"/>
      <c r="L432" s="4855"/>
      <c r="M432" s="2702" t="str">
        <f t="shared" si="51"/>
        <v/>
      </c>
    </row>
    <row r="433" spans="3:28">
      <c r="C433" s="2142" t="str">
        <f>IF(SUM(G431:G435)&gt;0,"P","")</f>
        <v/>
      </c>
      <c r="D433" s="433" t="s">
        <v>2795</v>
      </c>
      <c r="E433" s="5116" t="s">
        <v>1817</v>
      </c>
      <c r="F433" s="5119">
        <f>points703.3.4_3</f>
        <v>0</v>
      </c>
      <c r="G433" s="4592">
        <f>IF(choice703.3.4="Inside &amp; outside",claim703.3.4,0)</f>
        <v>0</v>
      </c>
      <c r="H433" s="4869"/>
      <c r="I433" s="4870"/>
      <c r="J433" s="2695" t="str">
        <f>IF(H331="Prescriptive Path","Enter leakage percentage:","")</f>
        <v>Enter leakage percentage:</v>
      </c>
      <c r="K433" s="4810"/>
      <c r="L433" s="4811"/>
      <c r="M433" s="2702" t="str">
        <f t="shared" si="51"/>
        <v/>
      </c>
    </row>
    <row r="434" spans="3:28">
      <c r="C434" s="2142" t="str">
        <f>IF(SUM(G431:G435)&gt;0,"P","")</f>
        <v/>
      </c>
      <c r="D434" s="433" t="s">
        <v>2795</v>
      </c>
      <c r="E434" s="5117"/>
      <c r="F434" s="5120"/>
      <c r="G434" s="4888"/>
      <c r="H434" s="4869"/>
      <c r="I434" s="4870"/>
      <c r="J434" s="2696"/>
      <c r="K434" s="4810"/>
      <c r="L434" s="4811"/>
      <c r="M434" s="2702" t="str">
        <f t="shared" si="51"/>
        <v/>
      </c>
    </row>
    <row r="435" spans="3:28" ht="16" thickBot="1">
      <c r="C435" s="2142" t="str">
        <f>IF(SUM(G431:G435)&gt;0,"P","")</f>
        <v/>
      </c>
      <c r="D435" s="433" t="s">
        <v>2795</v>
      </c>
      <c r="E435" s="5118"/>
      <c r="F435" s="5121"/>
      <c r="G435" s="4889"/>
      <c r="H435" s="4871"/>
      <c r="I435" s="4872"/>
      <c r="J435" s="2501"/>
      <c r="K435" s="4526"/>
      <c r="L435" s="4852"/>
      <c r="M435" s="2702" t="str">
        <f t="shared" si="51"/>
        <v/>
      </c>
    </row>
    <row r="436" spans="3:28" ht="16" thickTop="1">
      <c r="C436" s="2142" t="str">
        <f>IF(SUM(G437:G441)&gt;0,"P","")</f>
        <v/>
      </c>
      <c r="D436" s="433" t="s">
        <v>2797</v>
      </c>
      <c r="E436" s="2480" t="s">
        <v>2458</v>
      </c>
      <c r="F436" s="246"/>
      <c r="G436" s="246"/>
      <c r="H436" s="1854"/>
      <c r="I436" s="1854"/>
      <c r="J436" s="1828"/>
      <c r="K436" s="4530"/>
      <c r="L436" s="4851"/>
      <c r="M436" s="2702" t="str">
        <f t="shared" si="51"/>
        <v/>
      </c>
    </row>
    <row r="437" spans="3:28">
      <c r="C437" s="2142" t="str">
        <f>IF(SUM(G437:G441)&gt;0,"P","")</f>
        <v/>
      </c>
      <c r="D437" s="433" t="s">
        <v>2797</v>
      </c>
      <c r="E437" s="5017" t="s">
        <v>2459</v>
      </c>
      <c r="F437" s="5020" t="s">
        <v>2604</v>
      </c>
      <c r="G437" s="2380">
        <f>claim703.4.1</f>
        <v>0</v>
      </c>
      <c r="H437" s="4834"/>
      <c r="I437" s="4840">
        <f>IF(AND(J438&lt;&gt;"",J440&lt;&gt;""),pts703.4.1,0)</f>
        <v>0</v>
      </c>
      <c r="J437" s="2695" t="str">
        <f>IF(H331="Prescriptive Path","Enter water heater type:","")</f>
        <v>Enter water heater type:</v>
      </c>
      <c r="K437" s="4902">
        <f>note703.4.1</f>
        <v>0</v>
      </c>
      <c r="L437" s="4903"/>
      <c r="M437" s="2702" t="str">
        <f t="shared" si="51"/>
        <v/>
      </c>
    </row>
    <row r="438" spans="3:28">
      <c r="C438" s="2142" t="str">
        <f>IF(SUM(G437:G441)&gt;0,"P","")</f>
        <v/>
      </c>
      <c r="D438" s="433" t="s">
        <v>2797</v>
      </c>
      <c r="E438" s="5018"/>
      <c r="F438" s="5021"/>
      <c r="G438" s="2380">
        <f>choice703.4.1step1</f>
        <v>0</v>
      </c>
      <c r="H438" s="4839"/>
      <c r="I438" s="4841"/>
      <c r="J438" s="2696"/>
      <c r="K438" s="4566"/>
      <c r="L438" s="4904"/>
      <c r="M438" s="2702" t="str">
        <f t="shared" si="51"/>
        <v/>
      </c>
    </row>
    <row r="439" spans="3:28">
      <c r="C439" s="2142" t="str">
        <f>IF(SUM(G437:G441)&gt;0,"P","")</f>
        <v/>
      </c>
      <c r="D439" s="433" t="s">
        <v>2797</v>
      </c>
      <c r="E439" s="5018"/>
      <c r="F439" s="5021"/>
      <c r="G439" s="4592">
        <f>choice703.4.1step2</f>
        <v>0</v>
      </c>
      <c r="H439" s="4839"/>
      <c r="I439" s="4841"/>
      <c r="J439" s="2695" t="str">
        <f>IF(H331="Prescriptive Path","Enter Energy Factor(or thermal efficiency if &gt; 75000 BTU/hr)","")</f>
        <v>Enter Energy Factor(or thermal efficiency if &gt; 75000 BTU/hr)</v>
      </c>
      <c r="K439" s="4566"/>
      <c r="L439" s="4904"/>
      <c r="M439" s="2702" t="str">
        <f t="shared" si="51"/>
        <v/>
      </c>
    </row>
    <row r="440" spans="3:28">
      <c r="C440" s="2142" t="str">
        <f>IF(SUM(G437:G441)&gt;0,"P","")</f>
        <v/>
      </c>
      <c r="D440" s="433" t="s">
        <v>2797</v>
      </c>
      <c r="E440" s="5018"/>
      <c r="F440" s="5021"/>
      <c r="G440" s="4888"/>
      <c r="H440" s="4839"/>
      <c r="I440" s="4841"/>
      <c r="J440" s="2696"/>
      <c r="K440" s="4566"/>
      <c r="L440" s="4904"/>
      <c r="M440" s="2702" t="str">
        <f t="shared" si="51"/>
        <v/>
      </c>
      <c r="AB440" s="32">
        <f>IF(AND($J$438&lt;&gt;"Heat Pump",$J$440&gt;1),1,0)</f>
        <v>0</v>
      </c>
    </row>
    <row r="441" spans="3:28" ht="24" customHeight="1" thickBot="1">
      <c r="C441" s="2142" t="str">
        <f>IF(SUM(G437:G441)&gt;0,"P","")</f>
        <v/>
      </c>
      <c r="D441" s="433" t="s">
        <v>2797</v>
      </c>
      <c r="E441" s="5019"/>
      <c r="F441" s="5022"/>
      <c r="G441" s="4889"/>
      <c r="H441" s="4835"/>
      <c r="I441" s="4842"/>
      <c r="J441" s="2501"/>
      <c r="K441" s="4905"/>
      <c r="L441" s="4906"/>
      <c r="M441" s="2702" t="str">
        <f t="shared" si="51"/>
        <v/>
      </c>
    </row>
    <row r="442" spans="3:28" ht="31" thickTop="1">
      <c r="C442" s="2142" t="str">
        <f>IF(G442&gt;0,"P","")</f>
        <v/>
      </c>
      <c r="D442" s="433" t="s">
        <v>2797</v>
      </c>
      <c r="E442" s="2502" t="s">
        <v>2460</v>
      </c>
      <c r="F442" s="1668">
        <f>points703.4.2</f>
        <v>0</v>
      </c>
      <c r="G442" s="1516">
        <f>claim703.4.2</f>
        <v>0</v>
      </c>
      <c r="H442" s="1895"/>
      <c r="I442" s="1895"/>
      <c r="J442" s="1895"/>
      <c r="K442" s="4522">
        <f>note703.4.2</f>
        <v>0</v>
      </c>
      <c r="L442" s="4980"/>
      <c r="M442" s="2702" t="e">
        <f t="shared" si="51"/>
        <v>#N/A</v>
      </c>
      <c r="X442" s="32">
        <f>IF(AND(H442&gt;0,I442&gt;0),1,0)</f>
        <v>0</v>
      </c>
      <c r="AB442" s="32" t="e">
        <f>IF(AND(I442&gt;0,I442&lt;&gt;pts703.4.2),1,0)</f>
        <v>#N/A</v>
      </c>
    </row>
    <row r="443" spans="3:28">
      <c r="C443" s="2142" t="str">
        <f>IF(G443&gt;0,"P","")</f>
        <v/>
      </c>
      <c r="D443" s="433" t="s">
        <v>2797</v>
      </c>
      <c r="E443" s="2483" t="s">
        <v>2504</v>
      </c>
      <c r="F443" s="2379">
        <v>2</v>
      </c>
      <c r="G443" s="2380">
        <f>IF(startSingleorMulti="Multi-Unit",claim703.4.3,IF(AND(startSingleorMulti&lt;&gt;"",claim703.4.3=0),"N/A",claim703.4.3))</f>
        <v>0</v>
      </c>
      <c r="H443" s="2381"/>
      <c r="I443" s="2381"/>
      <c r="J443" s="2381"/>
      <c r="K443" s="4854">
        <f>note703.4.3</f>
        <v>0</v>
      </c>
      <c r="L443" s="4855"/>
      <c r="M443" s="2702" t="str">
        <f t="shared" si="51"/>
        <v/>
      </c>
      <c r="X443" s="32">
        <f>IF(AND(H443&gt;0,I443&gt;0),1,0)</f>
        <v>0</v>
      </c>
      <c r="AB443" s="32">
        <f>IF(AND(SUM(H443:I443)&gt;0,BldgType&lt;&gt;"Multi-Unit"),1,0)</f>
        <v>0</v>
      </c>
    </row>
    <row r="444" spans="3:28" ht="30">
      <c r="C444" s="2142" t="str">
        <f>IF(G444&gt;0,"P","")</f>
        <v/>
      </c>
      <c r="D444" s="433" t="s">
        <v>2797</v>
      </c>
      <c r="E444" s="2483" t="s">
        <v>2749</v>
      </c>
      <c r="F444" s="2379">
        <v>1</v>
      </c>
      <c r="G444" s="2380">
        <f>claim703.4.4</f>
        <v>0</v>
      </c>
      <c r="H444" s="2381"/>
      <c r="I444" s="2381"/>
      <c r="J444" s="2381"/>
      <c r="K444" s="4857">
        <f>note703.4.4</f>
        <v>0</v>
      </c>
      <c r="L444" s="4858"/>
      <c r="M444" s="2702" t="str">
        <f t="shared" si="51"/>
        <v/>
      </c>
      <c r="X444" s="32">
        <f>IF(AND(H444&gt;0,I444&gt;0),1,0)</f>
        <v>0</v>
      </c>
      <c r="AB444" s="32">
        <f>IF(AND(AND(I444&gt;0,$J$399&lt;&gt;"Oil Boiler"),AND(I444&gt;0,$J$399&lt;&gt;"Gas Boiler")),1,0)</f>
        <v>0</v>
      </c>
    </row>
    <row r="445" spans="3:28" ht="45">
      <c r="C445" s="2142" t="str">
        <f>IF(SUM(G446:G450)&gt;0,"P","")</f>
        <v/>
      </c>
      <c r="D445" s="433" t="s">
        <v>2797</v>
      </c>
      <c r="E445" s="2483" t="s">
        <v>2462</v>
      </c>
      <c r="F445" s="2503"/>
      <c r="G445" s="2503"/>
      <c r="H445" s="2504"/>
      <c r="I445" s="2504"/>
      <c r="J445" s="2505"/>
      <c r="K445" s="4847"/>
      <c r="L445" s="4848"/>
      <c r="M445" s="2702" t="str">
        <f t="shared" si="51"/>
        <v/>
      </c>
    </row>
    <row r="446" spans="3:28">
      <c r="C446" s="2142" t="str">
        <f>IF(SUM(G446:G450)&gt;0,"P","")</f>
        <v/>
      </c>
      <c r="D446" s="433" t="s">
        <v>2797</v>
      </c>
      <c r="E446" s="2497" t="s">
        <v>1972</v>
      </c>
      <c r="F446" s="2379">
        <f>points703.4.5_1</f>
        <v>0</v>
      </c>
      <c r="G446" s="2380">
        <f>IF(choice703.4.5=E446,claim703.4.5,0)</f>
        <v>0</v>
      </c>
      <c r="H446" s="4834"/>
      <c r="I446" s="4840">
        <f>pts703.4.5</f>
        <v>0</v>
      </c>
      <c r="J446" s="2695" t="str">
        <f>IF(H331="Prescriptive Path","ENTER SEF:","")</f>
        <v>ENTER SEF:</v>
      </c>
      <c r="K446" s="4902">
        <f>note703.4.5</f>
        <v>0</v>
      </c>
      <c r="L446" s="4903"/>
      <c r="M446" s="2702" t="str">
        <f t="shared" si="51"/>
        <v/>
      </c>
      <c r="AB446" s="32">
        <f>IF(AND(I446&gt;0,I437&gt;0),1,0)</f>
        <v>0</v>
      </c>
    </row>
    <row r="447" spans="3:28">
      <c r="C447" s="2142" t="str">
        <f>IF(SUM(G446:G450)&gt;0,"P","")</f>
        <v/>
      </c>
      <c r="D447" s="433" t="s">
        <v>2797</v>
      </c>
      <c r="E447" s="2497" t="s">
        <v>1973</v>
      </c>
      <c r="F447" s="2379">
        <f>points703.4.5_2</f>
        <v>0</v>
      </c>
      <c r="G447" s="2380">
        <f>IF(choice703.4.5=E447,claim703.4.5,0)</f>
        <v>0</v>
      </c>
      <c r="H447" s="4839"/>
      <c r="I447" s="4841"/>
      <c r="J447" s="2696"/>
      <c r="K447" s="4566"/>
      <c r="L447" s="4904"/>
      <c r="M447" s="2702" t="str">
        <f t="shared" si="51"/>
        <v/>
      </c>
    </row>
    <row r="448" spans="3:28">
      <c r="C448" s="2142" t="str">
        <f>IF(SUM(G446:G450)&gt;0,"P","")</f>
        <v/>
      </c>
      <c r="D448" s="433" t="s">
        <v>2797</v>
      </c>
      <c r="E448" s="2497" t="s">
        <v>1974</v>
      </c>
      <c r="F448" s="2379">
        <f>points703.4.5_3</f>
        <v>0</v>
      </c>
      <c r="G448" s="2380">
        <f>IF(choice703.4.5=E448,claim703.4.5,0)</f>
        <v>0</v>
      </c>
      <c r="H448" s="4839"/>
      <c r="I448" s="4841"/>
      <c r="J448" s="4892"/>
      <c r="K448" s="4566"/>
      <c r="L448" s="4904"/>
      <c r="M448" s="2702" t="str">
        <f t="shared" si="51"/>
        <v/>
      </c>
    </row>
    <row r="449" spans="3:28">
      <c r="C449" s="2142" t="str">
        <f>IF(SUM(G446:G450)&gt;0,"P","")</f>
        <v/>
      </c>
      <c r="D449" s="433" t="s">
        <v>2797</v>
      </c>
      <c r="E449" s="2497" t="s">
        <v>1975</v>
      </c>
      <c r="F449" s="2379">
        <f>points703.4.5_4</f>
        <v>0</v>
      </c>
      <c r="G449" s="2380">
        <f>IF(choice703.4.5=E449,claim703.4.5,0)</f>
        <v>0</v>
      </c>
      <c r="H449" s="4839"/>
      <c r="I449" s="4841"/>
      <c r="J449" s="4892"/>
      <c r="K449" s="4566"/>
      <c r="L449" s="4904"/>
      <c r="M449" s="2702" t="str">
        <f t="shared" si="51"/>
        <v/>
      </c>
    </row>
    <row r="450" spans="3:28" ht="16" thickBot="1">
      <c r="C450" s="2142" t="str">
        <f>IF(SUM(G446:G450)&gt;0,"P","")</f>
        <v/>
      </c>
      <c r="D450" s="433" t="s">
        <v>2797</v>
      </c>
      <c r="E450" s="2506" t="s">
        <v>1971</v>
      </c>
      <c r="F450" s="2507">
        <f>points703.4.5_5</f>
        <v>0</v>
      </c>
      <c r="G450" s="2334">
        <f>IF(choice703.4.5=E450,claim703.4.5,0)</f>
        <v>0</v>
      </c>
      <c r="H450" s="4835"/>
      <c r="I450" s="4842"/>
      <c r="J450" s="4893"/>
      <c r="K450" s="4566"/>
      <c r="L450" s="4904"/>
      <c r="M450" s="2702" t="str">
        <f t="shared" si="51"/>
        <v/>
      </c>
    </row>
    <row r="451" spans="3:28" ht="16" thickTop="1">
      <c r="D451" s="433" t="s">
        <v>2797</v>
      </c>
      <c r="E451" s="2422" t="s">
        <v>2463</v>
      </c>
      <c r="F451" s="264"/>
      <c r="G451" s="264"/>
      <c r="H451" s="1855"/>
      <c r="I451" s="1855"/>
      <c r="J451" s="1837"/>
      <c r="K451" s="4516"/>
      <c r="L451" s="4853"/>
      <c r="M451" s="2702" t="str">
        <f t="shared" si="51"/>
        <v/>
      </c>
    </row>
    <row r="452" spans="3:28">
      <c r="C452" s="2142" t="str">
        <f>IF(SUM(G453:G455),"P","")</f>
        <v/>
      </c>
      <c r="D452" s="433" t="s">
        <v>2797</v>
      </c>
      <c r="E452" s="2483" t="s">
        <v>2859</v>
      </c>
      <c r="F452" s="2508"/>
      <c r="G452" s="2508"/>
      <c r="H452" s="2509"/>
      <c r="I452" s="2509"/>
      <c r="J452" s="2510"/>
      <c r="K452" s="4954"/>
      <c r="L452" s="4955"/>
      <c r="M452" s="2702" t="str">
        <f t="shared" si="51"/>
        <v/>
      </c>
    </row>
    <row r="453" spans="3:28" ht="30">
      <c r="C453" s="2142" t="str">
        <f>IF(SUM(G453:G455),"P","")</f>
        <v/>
      </c>
      <c r="D453" s="433" t="s">
        <v>2797</v>
      </c>
      <c r="E453" s="2378" t="s">
        <v>2467</v>
      </c>
      <c r="F453" s="2379">
        <f>points703.5.1_1</f>
        <v>0</v>
      </c>
      <c r="G453" s="2380">
        <f>IF(choice703.5.1="75% as ENERGY STAR",claim703.5.1,0)</f>
        <v>0</v>
      </c>
      <c r="H453" s="4834"/>
      <c r="I453" s="4840">
        <f>pts703.5.1</f>
        <v>0</v>
      </c>
      <c r="J453" s="2695" t="str">
        <f>IF(H331="Prescriptive Path","Enter percent of fixtures meeting this practice:","")</f>
        <v>Enter percent of fixtures meeting this practice:</v>
      </c>
      <c r="K453" s="4985">
        <f>note703.5.1</f>
        <v>0</v>
      </c>
      <c r="L453" s="4986"/>
      <c r="M453" s="2702" t="str">
        <f t="shared" si="51"/>
        <v/>
      </c>
    </row>
    <row r="454" spans="3:28" ht="30">
      <c r="C454" s="2142" t="str">
        <f>IF(SUM(G453:G455),"P","")</f>
        <v/>
      </c>
      <c r="D454" s="433" t="s">
        <v>2797</v>
      </c>
      <c r="E454" s="2378" t="s">
        <v>2468</v>
      </c>
      <c r="F454" s="2379">
        <f>points703.5.1_2</f>
        <v>0</v>
      </c>
      <c r="G454" s="2380">
        <f>IF(choice703.5.1="95% as ENERGY STAR",claim703.5.1,0)</f>
        <v>0</v>
      </c>
      <c r="H454" s="4839"/>
      <c r="I454" s="4841"/>
      <c r="J454" s="2700"/>
      <c r="K454" s="4562"/>
      <c r="L454" s="5126"/>
      <c r="M454" s="2702" t="str">
        <f t="shared" si="51"/>
        <v/>
      </c>
    </row>
    <row r="455" spans="3:28" ht="31" thickBot="1">
      <c r="C455" s="2142" t="str">
        <f>IF(SUM(G453:G455),"P","")</f>
        <v/>
      </c>
      <c r="D455" s="433" t="s">
        <v>2797</v>
      </c>
      <c r="E455" s="2420" t="s">
        <v>2469</v>
      </c>
      <c r="F455" s="252">
        <v>1</v>
      </c>
      <c r="G455" s="253">
        <f>claim703.5.1_2</f>
        <v>0</v>
      </c>
      <c r="H455" s="4835"/>
      <c r="I455" s="4842"/>
      <c r="J455" s="1878"/>
      <c r="K455" s="4556">
        <f>note703.5.1_2</f>
        <v>0</v>
      </c>
      <c r="L455" s="5127"/>
      <c r="M455" s="2702" t="str">
        <f t="shared" si="51"/>
        <v/>
      </c>
    </row>
    <row r="456" spans="3:28" ht="16" thickTop="1">
      <c r="C456" s="2142" t="str">
        <f>IF(SUM(G456:G459)&gt;0,"P","")</f>
        <v/>
      </c>
      <c r="D456" s="433" t="s">
        <v>2797</v>
      </c>
      <c r="E456" s="5149" t="s">
        <v>2470</v>
      </c>
      <c r="F456" s="4502">
        <v>2</v>
      </c>
      <c r="G456" s="1614">
        <f>claim703.5.2</f>
        <v>0</v>
      </c>
      <c r="H456" s="5203"/>
      <c r="I456" s="5204">
        <f>IF(AND(J457&gt;=0,J459&gt;0),IF(J459/400&gt;J457,2,0),0)</f>
        <v>0</v>
      </c>
      <c r="J456" s="2695" t="str">
        <f>IF(H331="Prescriptive Path","Enter number of penetrating recessed lights","")</f>
        <v>Enter number of penetrating recessed lights</v>
      </c>
      <c r="K456" s="4504">
        <f>note703.5.2</f>
        <v>0</v>
      </c>
      <c r="L456" s="4994"/>
      <c r="M456" s="2702" t="str">
        <f t="shared" si="51"/>
        <v/>
      </c>
    </row>
    <row r="457" spans="3:28" ht="17.25" customHeight="1">
      <c r="C457" s="2142" t="str">
        <f>IF(SUM(G456:G459)&gt;0,"P","")</f>
        <v/>
      </c>
      <c r="D457" s="433" t="s">
        <v>2797</v>
      </c>
      <c r="E457" s="5018"/>
      <c r="F457" s="4487"/>
      <c r="G457" s="5200">
        <f>IF(enterRecessedLights&lt;&gt;"",CONCATENATE(enterRecessedLights," recessed lights penetrating thermal envelope"),0)</f>
        <v>0</v>
      </c>
      <c r="H457" s="4839"/>
      <c r="I457" s="4841"/>
      <c r="J457" s="2700"/>
      <c r="K457" s="4491"/>
      <c r="L457" s="4833"/>
      <c r="M457" s="2702" t="str">
        <f t="shared" si="51"/>
        <v/>
      </c>
    </row>
    <row r="458" spans="3:28" ht="14.25" customHeight="1">
      <c r="C458" s="2142" t="str">
        <f>IF(SUM(G456:G459)&gt;0,"P","")</f>
        <v/>
      </c>
      <c r="D458" s="433" t="s">
        <v>2797</v>
      </c>
      <c r="E458" s="5018"/>
      <c r="F458" s="4487"/>
      <c r="G458" s="5201"/>
      <c r="H458" s="4839"/>
      <c r="I458" s="4841"/>
      <c r="J458" s="2695" t="str">
        <f>IF(H331="Prescriptive Path","Enter total conditioned square footage","")</f>
        <v>Enter total conditioned square footage</v>
      </c>
      <c r="K458" s="4491"/>
      <c r="L458" s="4833"/>
      <c r="M458" s="2702" t="str">
        <f t="shared" si="51"/>
        <v/>
      </c>
    </row>
    <row r="459" spans="3:28" ht="18" customHeight="1">
      <c r="C459" s="2142" t="str">
        <f>IF(SUM(G456:G459)&gt;0,"P","")</f>
        <v/>
      </c>
      <c r="D459" s="433" t="s">
        <v>2797</v>
      </c>
      <c r="E459" s="5018"/>
      <c r="F459" s="4487"/>
      <c r="G459" s="5202"/>
      <c r="H459" s="4839"/>
      <c r="I459" s="4841"/>
      <c r="J459" s="2700"/>
      <c r="K459" s="4491"/>
      <c r="L459" s="4833"/>
      <c r="M459" s="2702" t="str">
        <f t="shared" si="51"/>
        <v/>
      </c>
    </row>
    <row r="460" spans="3:28" ht="39" customHeight="1" thickBot="1">
      <c r="C460" s="2142" t="str">
        <f>IF(SUM(G456:G459)&gt;0,"P","")</f>
        <v/>
      </c>
      <c r="D460" s="433" t="s">
        <v>2797</v>
      </c>
      <c r="E460" s="5019"/>
      <c r="F460" s="4968"/>
      <c r="G460" s="253" t="str">
        <f>CONCATENATE(startTotalFloorArea," s.f. total floor area")</f>
        <v xml:space="preserve"> s.f. total floor area</v>
      </c>
      <c r="H460" s="4835"/>
      <c r="I460" s="4842"/>
      <c r="J460" s="2501"/>
      <c r="K460" s="4849"/>
      <c r="L460" s="4850"/>
      <c r="M460" s="2702" t="str">
        <f t="shared" si="51"/>
        <v/>
      </c>
    </row>
    <row r="461" spans="3:28" ht="16" thickTop="1">
      <c r="C461" s="2142" t="str">
        <f>IF(SUM(G462:G464)&gt;0,"P","")</f>
        <v/>
      </c>
      <c r="D461" s="433" t="s">
        <v>2797</v>
      </c>
      <c r="E461" s="2479" t="s">
        <v>2471</v>
      </c>
      <c r="F461" s="843"/>
      <c r="G461" s="840"/>
      <c r="H461" s="1831"/>
      <c r="I461" s="1831"/>
      <c r="J461" s="1831"/>
      <c r="K461" s="4516"/>
      <c r="L461" s="4853"/>
      <c r="M461" s="2702" t="str">
        <f t="shared" si="51"/>
        <v/>
      </c>
    </row>
    <row r="462" spans="3:28">
      <c r="C462" s="2142" t="str">
        <f>IF(SUM(G462:G464)&gt;0,"P","")</f>
        <v/>
      </c>
      <c r="D462" s="433" t="s">
        <v>2797</v>
      </c>
      <c r="E462" s="2378" t="s">
        <v>1867</v>
      </c>
      <c r="F462" s="2379">
        <f>points703.5.3_1</f>
        <v>0</v>
      </c>
      <c r="G462" s="2380">
        <f>claim703.5.3_1</f>
        <v>0</v>
      </c>
      <c r="H462" s="2437"/>
      <c r="I462" s="2381"/>
      <c r="J462" s="2381"/>
      <c r="K462" s="4854">
        <f>note703.5.3_1</f>
        <v>0</v>
      </c>
      <c r="L462" s="4855"/>
      <c r="M462" s="2702" t="e">
        <f t="shared" si="51"/>
        <v>#N/A</v>
      </c>
      <c r="AB462" s="32" t="e">
        <f>IF(AND(I462&gt;0,I462&lt;&gt;pts703.5.3),1,0)</f>
        <v>#N/A</v>
      </c>
    </row>
    <row r="463" spans="3:28">
      <c r="C463" s="2142" t="str">
        <f>IF(SUM(G462:G464)&gt;0,"P","")</f>
        <v/>
      </c>
      <c r="D463" s="433" t="s">
        <v>2797</v>
      </c>
      <c r="E463" s="2378" t="s">
        <v>1868</v>
      </c>
      <c r="F463" s="2379">
        <v>1</v>
      </c>
      <c r="G463" s="2380">
        <f>claim703.5.3_2</f>
        <v>0</v>
      </c>
      <c r="H463" s="2437"/>
      <c r="I463" s="2381"/>
      <c r="J463" s="2381"/>
      <c r="K463" s="4854">
        <f>note703.5.3_2</f>
        <v>0</v>
      </c>
      <c r="L463" s="4855"/>
      <c r="M463" s="2702" t="str">
        <f t="shared" si="51"/>
        <v/>
      </c>
    </row>
    <row r="464" spans="3:28" ht="16" thickBot="1">
      <c r="C464" s="2142" t="str">
        <f>IF(SUM(G462:G464)&gt;0,"P","")</f>
        <v/>
      </c>
      <c r="D464" s="433" t="s">
        <v>2797</v>
      </c>
      <c r="E464" s="2420" t="s">
        <v>1869</v>
      </c>
      <c r="F464" s="252">
        <v>4</v>
      </c>
      <c r="G464" s="253">
        <f>claim703.5.3_3</f>
        <v>0</v>
      </c>
      <c r="H464" s="2013"/>
      <c r="I464" s="1878"/>
      <c r="J464" s="1878"/>
      <c r="K464" s="4526">
        <f>note703.5.3_3</f>
        <v>0</v>
      </c>
      <c r="L464" s="4852"/>
      <c r="M464" s="2702" t="str">
        <f t="shared" ref="M464:M527" si="52">IF(AND(ReportType="Rough",SUM(X464,Y464,Z464,AB464,AC464,AD464,AE464)&gt;0),"!",IF(AND(ReportType="Final", SUM(X464,Y464,AA464,AB464,AC464,AD464,AE464)&gt;0),"!",""))</f>
        <v/>
      </c>
    </row>
    <row r="465" spans="3:29" ht="16" thickTop="1">
      <c r="C465" s="2142" t="str">
        <f>IF(G465&gt;0,"P","")</f>
        <v/>
      </c>
      <c r="D465" s="433" t="s">
        <v>2797</v>
      </c>
      <c r="E465" s="2502" t="s">
        <v>2472</v>
      </c>
      <c r="F465" s="2326">
        <v>1</v>
      </c>
      <c r="G465" s="2340">
        <f>claim703.5.4</f>
        <v>0</v>
      </c>
      <c r="H465" s="2038"/>
      <c r="I465" s="2351"/>
      <c r="J465" s="2351"/>
      <c r="K465" s="4493">
        <f>note703.5.4</f>
        <v>0</v>
      </c>
      <c r="L465" s="4856"/>
      <c r="M465" s="2702" t="str">
        <f t="shared" si="52"/>
        <v/>
      </c>
    </row>
    <row r="466" spans="3:29">
      <c r="D466" s="433" t="s">
        <v>2797</v>
      </c>
      <c r="E466" s="2511" t="s">
        <v>2473</v>
      </c>
      <c r="F466" s="1628"/>
      <c r="G466" s="842"/>
      <c r="H466" s="1833"/>
      <c r="I466" s="1833"/>
      <c r="J466" s="1833"/>
      <c r="K466" s="4954"/>
      <c r="L466" s="4955"/>
      <c r="M466" s="2702" t="str">
        <f t="shared" si="52"/>
        <v/>
      </c>
    </row>
    <row r="467" spans="3:29" ht="45">
      <c r="C467" s="2142" t="str">
        <f>IF(SUM(G467:G468,G470:G475)&gt;0,"P","")</f>
        <v/>
      </c>
      <c r="D467" s="433" t="s">
        <v>2797</v>
      </c>
      <c r="E467" s="2483" t="s">
        <v>2757</v>
      </c>
      <c r="F467" s="2379">
        <f>IF(points703.6.1=0,"0",points703.6.1)</f>
        <v>5</v>
      </c>
      <c r="G467" s="2380">
        <f>IF(claim703.6.1="0","0",claim703.6.1)</f>
        <v>0</v>
      </c>
      <c r="H467" s="2381"/>
      <c r="I467" s="2381"/>
      <c r="J467" s="2381"/>
      <c r="K467" s="4854">
        <f>note703.6.1</f>
        <v>0</v>
      </c>
      <c r="L467" s="4855"/>
      <c r="M467" s="2702" t="str">
        <f t="shared" si="52"/>
        <v/>
      </c>
      <c r="X467" s="32">
        <f>IF(AND(H467&gt;0,I467&gt;0),1,0)</f>
        <v>0</v>
      </c>
      <c r="AB467" s="32">
        <f>IF(AND(SUM(H467,I467)&gt;0,SUM(H471,I471)&gt;0),1,0)</f>
        <v>0</v>
      </c>
      <c r="AC467" s="32">
        <f>IF(AND(VCZ&lt;4,SUM(H467,I467)&gt;0),1,0)</f>
        <v>0</v>
      </c>
    </row>
    <row r="468" spans="3:29" ht="31" thickBot="1">
      <c r="C468" s="2142" t="str">
        <f>IF(SUM(G467:G468,G470:G475)&gt;0,"P","")</f>
        <v/>
      </c>
      <c r="D468" s="433" t="s">
        <v>2797</v>
      </c>
      <c r="E468" s="2488" t="s">
        <v>2475</v>
      </c>
      <c r="F468" s="2342">
        <v>1</v>
      </c>
      <c r="G468" s="2334">
        <f>claim703.6.2</f>
        <v>0</v>
      </c>
      <c r="H468" s="2054"/>
      <c r="I468" s="2350"/>
      <c r="J468" s="2350"/>
      <c r="K468" s="5124">
        <f>note703.6.2</f>
        <v>0</v>
      </c>
      <c r="L468" s="5125"/>
      <c r="M468" s="2702" t="str">
        <f t="shared" si="52"/>
        <v/>
      </c>
    </row>
    <row r="469" spans="3:29" ht="31" thickTop="1">
      <c r="C469" s="2142" t="str">
        <f>IF(SUM(G467:G468,G470:G475)&gt;0,"P","")</f>
        <v/>
      </c>
      <c r="D469" s="433" t="s">
        <v>2797</v>
      </c>
      <c r="E469" s="2479" t="s">
        <v>2758</v>
      </c>
      <c r="F469" s="843"/>
      <c r="G469" s="840"/>
      <c r="H469" s="1831"/>
      <c r="I469" s="1831"/>
      <c r="J469" s="1831"/>
      <c r="K469" s="4516"/>
      <c r="L469" s="4853"/>
      <c r="M469" s="2702" t="str">
        <f t="shared" si="52"/>
        <v/>
      </c>
    </row>
    <row r="470" spans="3:29" ht="135">
      <c r="C470" s="2142" t="str">
        <f>IF(SUM(G467:G468,G470:G475)&gt;0,"P","")</f>
        <v/>
      </c>
      <c r="D470" s="433" t="s">
        <v>2797</v>
      </c>
      <c r="E470" s="2423" t="s">
        <v>2850</v>
      </c>
      <c r="F470" s="2379">
        <f>points703.5.3_1</f>
        <v>0</v>
      </c>
      <c r="G470" s="2380">
        <f>claim703.6.3_1</f>
        <v>0</v>
      </c>
      <c r="H470" s="2350"/>
      <c r="I470" s="2350"/>
      <c r="J470" s="2350"/>
      <c r="K470" s="4810">
        <f>note703.6.3</f>
        <v>0</v>
      </c>
      <c r="L470" s="4811"/>
      <c r="M470" s="2702" t="str">
        <f t="shared" si="52"/>
        <v/>
      </c>
      <c r="X470" s="32">
        <f t="shared" ref="X470:X476" si="53">IF(AND(H470&gt;0,I470&gt;0),1,0)</f>
        <v>0</v>
      </c>
      <c r="AB470" s="32">
        <f>IF(AND(SUM($H$470:$I$475)&lt;3,SUM(H470:I475)&gt;0),1,0)</f>
        <v>0</v>
      </c>
      <c r="AC470" s="32">
        <f>IF(SUM($H$470:$I$475)&gt;4,1,0)</f>
        <v>0</v>
      </c>
    </row>
    <row r="471" spans="3:29" ht="45">
      <c r="C471" s="2142" t="str">
        <f>IF(SUM(G467:G468,G470:G475)&gt;0,"P","")</f>
        <v/>
      </c>
      <c r="D471" s="433" t="s">
        <v>2797</v>
      </c>
      <c r="E471" s="2423" t="s">
        <v>2851</v>
      </c>
      <c r="F471" s="2379">
        <v>1</v>
      </c>
      <c r="G471" s="2380">
        <f>claim703.6.3_2</f>
        <v>0</v>
      </c>
      <c r="H471" s="2350"/>
      <c r="I471" s="2350"/>
      <c r="J471" s="1888"/>
      <c r="K471" s="4491"/>
      <c r="L471" s="4833"/>
      <c r="M471" s="2702" t="str">
        <f t="shared" si="52"/>
        <v/>
      </c>
      <c r="X471" s="32">
        <f t="shared" si="53"/>
        <v>0</v>
      </c>
    </row>
    <row r="472" spans="3:29">
      <c r="C472" s="2142" t="str">
        <f>IF(SUM(G467:G468,G470:G475)&gt;0,"P","")</f>
        <v/>
      </c>
      <c r="D472" s="433" t="s">
        <v>2797</v>
      </c>
      <c r="E472" s="2423" t="s">
        <v>2852</v>
      </c>
      <c r="F472" s="2379">
        <v>1</v>
      </c>
      <c r="G472" s="2380">
        <f>claim703.6.3_3</f>
        <v>0</v>
      </c>
      <c r="H472" s="2350"/>
      <c r="I472" s="2350"/>
      <c r="J472" s="1888"/>
      <c r="K472" s="4491"/>
      <c r="L472" s="4833"/>
      <c r="M472" s="2702" t="str">
        <f t="shared" si="52"/>
        <v/>
      </c>
      <c r="X472" s="32">
        <f t="shared" si="53"/>
        <v>0</v>
      </c>
    </row>
    <row r="473" spans="3:29" ht="30">
      <c r="C473" s="2142" t="str">
        <f>IF(SUM(G467:G468,G470:G475)&gt;0,"P","")</f>
        <v/>
      </c>
      <c r="D473" s="433" t="s">
        <v>2797</v>
      </c>
      <c r="E473" s="2423" t="s">
        <v>2854</v>
      </c>
      <c r="F473" s="2379">
        <f>points703.5.3_1</f>
        <v>0</v>
      </c>
      <c r="G473" s="2380">
        <f>claim703.6.3_4</f>
        <v>0</v>
      </c>
      <c r="H473" s="2350"/>
      <c r="I473" s="2350"/>
      <c r="J473" s="1888"/>
      <c r="K473" s="4491"/>
      <c r="L473" s="4833"/>
      <c r="M473" s="2702" t="str">
        <f t="shared" si="52"/>
        <v/>
      </c>
      <c r="X473" s="32">
        <f t="shared" si="53"/>
        <v>0</v>
      </c>
    </row>
    <row r="474" spans="3:29" ht="120">
      <c r="C474" s="2142" t="str">
        <f>IF(SUM(G467:G468,G470:G475)&gt;0,"P","")</f>
        <v/>
      </c>
      <c r="D474" s="433" t="s">
        <v>2797</v>
      </c>
      <c r="E474" s="2423" t="s">
        <v>2855</v>
      </c>
      <c r="F474" s="2379">
        <v>1</v>
      </c>
      <c r="G474" s="2380">
        <f>claim703.6.3_5</f>
        <v>0</v>
      </c>
      <c r="H474" s="2350"/>
      <c r="I474" s="2350"/>
      <c r="J474" s="1888"/>
      <c r="K474" s="4491"/>
      <c r="L474" s="4833"/>
      <c r="M474" s="2702" t="str">
        <f t="shared" si="52"/>
        <v/>
      </c>
      <c r="X474" s="32">
        <f t="shared" si="53"/>
        <v>0</v>
      </c>
    </row>
    <row r="475" spans="3:29" ht="31" thickBot="1">
      <c r="C475" s="2142" t="str">
        <f>IF(SUM(G467:G468,G470:G475)&gt;0,"P","")</f>
        <v/>
      </c>
      <c r="D475" s="433" t="s">
        <v>2797</v>
      </c>
      <c r="E475" s="2425" t="s">
        <v>2853</v>
      </c>
      <c r="F475" s="252">
        <v>1</v>
      </c>
      <c r="G475" s="253">
        <f>claim703.6.3_6</f>
        <v>0</v>
      </c>
      <c r="H475" s="2350"/>
      <c r="I475" s="2350"/>
      <c r="J475" s="2405"/>
      <c r="K475" s="4849"/>
      <c r="L475" s="4850"/>
      <c r="M475" s="2702" t="str">
        <f t="shared" si="52"/>
        <v/>
      </c>
      <c r="X475" s="32">
        <f t="shared" si="53"/>
        <v>0</v>
      </c>
    </row>
    <row r="476" spans="3:29" ht="347.25" customHeight="1" thickTop="1">
      <c r="C476" s="2142" t="str">
        <f>IF(G476&gt;0,"P","")</f>
        <v/>
      </c>
      <c r="D476" s="433" t="s">
        <v>2797</v>
      </c>
      <c r="E476" s="2488" t="s">
        <v>2801</v>
      </c>
      <c r="F476" s="2342">
        <f>IF(VCZ&gt;3,4,0)</f>
        <v>4</v>
      </c>
      <c r="G476" s="2334">
        <f>IF(claim703.6.4="0","0",claim703.6.4)</f>
        <v>0</v>
      </c>
      <c r="H476" s="1890"/>
      <c r="I476" s="2091"/>
      <c r="J476" s="2350"/>
      <c r="K476" s="4810">
        <f>note703.6.4</f>
        <v>0</v>
      </c>
      <c r="L476" s="4811"/>
      <c r="M476" s="2702" t="str">
        <f t="shared" si="52"/>
        <v/>
      </c>
      <c r="X476" s="32">
        <f t="shared" si="53"/>
        <v>0</v>
      </c>
      <c r="AB476" s="32">
        <f>IF(AND(SUM(H476,I476)&gt;0,VCZ&gt;3,SUM($H$467:$I$467)=0),1,0)</f>
        <v>0</v>
      </c>
    </row>
    <row r="477" spans="3:29">
      <c r="C477" s="2142" t="s">
        <v>2800</v>
      </c>
      <c r="D477" s="433" t="s">
        <v>2797</v>
      </c>
      <c r="E477" s="5128" t="str">
        <f>IF(Vreport701.1="Prescriptive Path", "Prescriptive Path Requires minimum of 30 points in Section 703                                   Current 703 points =","")</f>
        <v>Prescriptive Path Requires minimum of 30 points in Section 703                                   Current 703 points =</v>
      </c>
      <c r="F477" s="5129"/>
      <c r="G477" s="5129"/>
      <c r="H477" s="5139">
        <f>SUM(H368:I476)</f>
        <v>0</v>
      </c>
      <c r="I477" s="5140"/>
      <c r="J477" s="2653"/>
      <c r="K477" s="2512"/>
      <c r="L477" s="2513"/>
      <c r="M477" s="2702" t="str">
        <f t="shared" si="52"/>
        <v/>
      </c>
      <c r="X477" s="32">
        <f>IF(AND(H477&gt;0,I332&gt;0),1,0)</f>
        <v>0</v>
      </c>
      <c r="AA477" s="32">
        <f>IF(ReportType="Final",IF(AND(Vreport701.1="Prescriptive Path",H477&lt;30),1,0),0)</f>
        <v>0</v>
      </c>
    </row>
    <row r="478" spans="3:29">
      <c r="E478" s="4918" t="s">
        <v>629</v>
      </c>
      <c r="F478" s="4919"/>
      <c r="G478" s="4919"/>
      <c r="H478" s="4919"/>
      <c r="I478" s="4919"/>
      <c r="J478" s="4919"/>
      <c r="K478" s="4919"/>
      <c r="L478" s="4920"/>
      <c r="M478" s="2702" t="str">
        <f t="shared" si="52"/>
        <v/>
      </c>
    </row>
    <row r="479" spans="3:29">
      <c r="D479" s="433" t="s">
        <v>2797</v>
      </c>
      <c r="E479" s="2514" t="s">
        <v>2481</v>
      </c>
      <c r="F479" s="2515"/>
      <c r="G479" s="2515"/>
      <c r="H479" s="2516"/>
      <c r="I479" s="2516"/>
      <c r="J479" s="2517"/>
      <c r="K479" s="5122"/>
      <c r="L479" s="5123"/>
      <c r="M479" s="2702" t="str">
        <f t="shared" si="52"/>
        <v/>
      </c>
    </row>
    <row r="480" spans="3:29" ht="30">
      <c r="C480" s="2142" t="str">
        <f>IF(SUM(G481:G482)&gt;0,"P","")</f>
        <v/>
      </c>
      <c r="D480" s="433" t="s">
        <v>2797</v>
      </c>
      <c r="E480" s="2502" t="s">
        <v>2480</v>
      </c>
      <c r="F480" s="1618"/>
      <c r="G480" s="2333"/>
      <c r="H480" s="2363"/>
      <c r="I480" s="2363"/>
      <c r="J480" s="2363"/>
      <c r="K480" s="4954"/>
      <c r="L480" s="4955"/>
      <c r="M480" s="2702" t="str">
        <f t="shared" si="52"/>
        <v/>
      </c>
    </row>
    <row r="481" spans="3:29">
      <c r="C481" s="2142" t="str">
        <f>IF(SUM(G481:G482)&gt;0,"P","")</f>
        <v/>
      </c>
      <c r="D481" s="433" t="s">
        <v>2797</v>
      </c>
      <c r="E481" s="2518" t="s">
        <v>380</v>
      </c>
      <c r="F481" s="2326">
        <v>1</v>
      </c>
      <c r="G481" s="2340">
        <f>IF(claim704.2.1=F481,claim704.2.1,0)</f>
        <v>0</v>
      </c>
      <c r="H481" s="4834"/>
      <c r="I481" s="4910"/>
      <c r="J481" s="4910"/>
      <c r="K481" s="4810">
        <f>note704.2.1</f>
        <v>0</v>
      </c>
      <c r="L481" s="4811"/>
      <c r="M481" s="2702" t="str">
        <f t="shared" si="52"/>
        <v/>
      </c>
    </row>
    <row r="482" spans="3:29">
      <c r="C482" s="2142" t="str">
        <f>IF(SUM(G481:G482)&gt;0,"P","")</f>
        <v/>
      </c>
      <c r="D482" s="433" t="s">
        <v>2797</v>
      </c>
      <c r="E482" s="2518" t="s">
        <v>381</v>
      </c>
      <c r="F482" s="2326">
        <v>2</v>
      </c>
      <c r="G482" s="2340">
        <f>IF(claim704.2.1=F482,claim704.2.1,0)</f>
        <v>0</v>
      </c>
      <c r="H482" s="4933"/>
      <c r="I482" s="4951"/>
      <c r="J482" s="4951"/>
      <c r="K482" s="4493"/>
      <c r="L482" s="4856"/>
      <c r="M482" s="2702" t="str">
        <f t="shared" si="52"/>
        <v/>
      </c>
    </row>
    <row r="483" spans="3:29" ht="30">
      <c r="C483" s="2142" t="str">
        <f>IF(G483&gt;0,"P","")</f>
        <v/>
      </c>
      <c r="D483" s="433" t="s">
        <v>2795</v>
      </c>
      <c r="E483" s="2483" t="s">
        <v>2482</v>
      </c>
      <c r="F483" s="2379">
        <v>2</v>
      </c>
      <c r="G483" s="2380">
        <f>claim704.2.2</f>
        <v>0</v>
      </c>
      <c r="H483" s="2381"/>
      <c r="I483" s="2387"/>
      <c r="J483" s="2381"/>
      <c r="K483" s="4854">
        <f>note704.2.2</f>
        <v>0</v>
      </c>
      <c r="L483" s="4855"/>
      <c r="M483" s="2702" t="str">
        <f t="shared" si="52"/>
        <v/>
      </c>
      <c r="X483" s="32">
        <f>IF(AND(H483&gt;0,I483&gt;0),1,0)</f>
        <v>0</v>
      </c>
    </row>
    <row r="484" spans="3:29" ht="31" thickBot="1">
      <c r="C484" s="2142" t="str">
        <f>IF(G484&gt;0,"P","")</f>
        <v/>
      </c>
      <c r="D484" s="433" t="s">
        <v>2797</v>
      </c>
      <c r="E484" s="2483" t="s">
        <v>630</v>
      </c>
      <c r="F484" s="2519">
        <v>1</v>
      </c>
      <c r="G484" s="2520">
        <f>claim704.2.3</f>
        <v>0</v>
      </c>
      <c r="H484" s="2521"/>
      <c r="I484" s="2522"/>
      <c r="J484" s="2522"/>
      <c r="K484" s="4854">
        <f>note704.2.3</f>
        <v>0</v>
      </c>
      <c r="L484" s="4855"/>
      <c r="M484" s="2702" t="str">
        <f t="shared" si="52"/>
        <v/>
      </c>
    </row>
    <row r="485" spans="3:29" ht="47" thickTop="1" thickBot="1">
      <c r="C485" s="2142" t="str">
        <f>IF(G485&gt;0,"P","")</f>
        <v/>
      </c>
      <c r="D485" s="433" t="s">
        <v>2795</v>
      </c>
      <c r="E485" s="2422" t="s">
        <v>2483</v>
      </c>
      <c r="F485" s="1591">
        <v>5</v>
      </c>
      <c r="G485" s="1592">
        <f>claim704.3</f>
        <v>0</v>
      </c>
      <c r="H485" s="2381"/>
      <c r="I485" s="2387"/>
      <c r="J485" s="1896"/>
      <c r="K485" s="4522">
        <f>note704.3</f>
        <v>0</v>
      </c>
      <c r="L485" s="4980"/>
      <c r="M485" s="2702" t="str">
        <f t="shared" si="52"/>
        <v/>
      </c>
      <c r="X485" s="32">
        <f>IF(AND(H485&gt;0,I485&gt;0),1,0)</f>
        <v>0</v>
      </c>
    </row>
    <row r="486" spans="3:29" ht="16" thickTop="1">
      <c r="D486" s="433" t="s">
        <v>2795</v>
      </c>
      <c r="E486" s="2422" t="s">
        <v>2485</v>
      </c>
      <c r="F486" s="264"/>
      <c r="G486" s="264"/>
      <c r="H486" s="1855"/>
      <c r="I486" s="1855"/>
      <c r="J486" s="1837"/>
      <c r="K486" s="4516"/>
      <c r="L486" s="4853"/>
      <c r="M486" s="2702" t="str">
        <f t="shared" si="52"/>
        <v/>
      </c>
    </row>
    <row r="487" spans="3:29" ht="75">
      <c r="C487" s="2142" t="str">
        <f>IF(G487&gt;0,"P","")</f>
        <v/>
      </c>
      <c r="D487" s="433" t="s">
        <v>2795</v>
      </c>
      <c r="E487" s="2386" t="s">
        <v>2486</v>
      </c>
      <c r="F487" s="2379">
        <v>1</v>
      </c>
      <c r="G487" s="2380">
        <f>claim704.4.1</f>
        <v>0</v>
      </c>
      <c r="H487" s="2381"/>
      <c r="I487" s="2387"/>
      <c r="J487" s="2381"/>
      <c r="K487" s="4854">
        <f>note704.4.1</f>
        <v>0</v>
      </c>
      <c r="L487" s="4855"/>
      <c r="M487" s="2702" t="str">
        <f t="shared" si="52"/>
        <v/>
      </c>
      <c r="X487" s="32">
        <f>IF(AND(H487&gt;0,I487&gt;0),1,0)</f>
        <v>0</v>
      </c>
    </row>
    <row r="488" spans="3:29" ht="145.5" customHeight="1">
      <c r="C488" s="2142" t="str">
        <f>IF(G488&gt;0,"P","")</f>
        <v/>
      </c>
      <c r="D488" s="433" t="s">
        <v>2797</v>
      </c>
      <c r="E488" s="2523" t="s">
        <v>2802</v>
      </c>
      <c r="F488" s="2379">
        <v>3</v>
      </c>
      <c r="G488" s="2380">
        <f>claim704.4.2</f>
        <v>0</v>
      </c>
      <c r="H488" s="2387"/>
      <c r="I488" s="2395"/>
      <c r="J488" s="2381"/>
      <c r="K488" s="4854">
        <f>note704.4.2</f>
        <v>0</v>
      </c>
      <c r="L488" s="4855"/>
      <c r="M488" s="2702" t="str">
        <f t="shared" si="52"/>
        <v/>
      </c>
      <c r="X488" s="32">
        <f>IF(AND(H488&gt;0,I488&gt;0),1,0)</f>
        <v>0</v>
      </c>
      <c r="AB488" s="32">
        <f>IF(AND(SUM(H488,I488)&gt;0,SUM(H427,I427)&gt;0),1,0)</f>
        <v>0</v>
      </c>
    </row>
    <row r="489" spans="3:29" ht="61" thickBot="1">
      <c r="C489" s="2142" t="str">
        <f>IF(G489&gt;0,"P","")</f>
        <v/>
      </c>
      <c r="D489" s="433" t="s">
        <v>2797</v>
      </c>
      <c r="E489" s="2523" t="s">
        <v>2803</v>
      </c>
      <c r="F489" s="2379">
        <v>4</v>
      </c>
      <c r="G489" s="2380">
        <f>claim704.4.3</f>
        <v>0</v>
      </c>
      <c r="H489" s="2381"/>
      <c r="I489" s="2387"/>
      <c r="J489" s="2381"/>
      <c r="K489" s="4854">
        <f>note704.4.3</f>
        <v>0</v>
      </c>
      <c r="L489" s="4855"/>
      <c r="M489" s="2702" t="str">
        <f t="shared" si="52"/>
        <v/>
      </c>
      <c r="X489" s="32">
        <f>IF(AND(H489&gt;0,I489&gt;0),1,0)</f>
        <v>0</v>
      </c>
      <c r="AB489" s="32">
        <f>IF(AND(SUM(H489,I489)&gt;0,SUM(H428,I428)&gt;0),1,0)</f>
        <v>0</v>
      </c>
    </row>
    <row r="490" spans="3:29" ht="16" thickTop="1">
      <c r="D490" s="433" t="s">
        <v>2795</v>
      </c>
      <c r="E490" s="2422" t="s">
        <v>2487</v>
      </c>
      <c r="F490" s="264"/>
      <c r="G490" s="264"/>
      <c r="H490" s="5136" t="str">
        <f>IF(G491&gt;0,"Must show OK at Rough for points","")</f>
        <v/>
      </c>
      <c r="I490" s="5137"/>
      <c r="J490" s="1837" t="str">
        <f>IF(I491=5,"Enter name of 3rd party","")</f>
        <v/>
      </c>
      <c r="K490" s="4516"/>
      <c r="L490" s="4853"/>
      <c r="M490" s="2702" t="str">
        <f t="shared" si="52"/>
        <v/>
      </c>
      <c r="Y490" s="32">
        <f>IF(AND(J490&lt;&gt;"",J491=""),1,0)</f>
        <v>0</v>
      </c>
    </row>
    <row r="491" spans="3:29">
      <c r="C491" s="2142" t="str">
        <f>IF(G491&gt;0,"P","")</f>
        <v/>
      </c>
      <c r="D491" s="433" t="s">
        <v>2795</v>
      </c>
      <c r="E491" s="4897" t="s">
        <v>2759</v>
      </c>
      <c r="F491" s="4719">
        <v>5</v>
      </c>
      <c r="G491" s="4592">
        <f>claim704.5.1</f>
        <v>0</v>
      </c>
      <c r="H491" s="4910"/>
      <c r="I491" s="5052"/>
      <c r="J491" s="2088"/>
      <c r="K491" s="2330"/>
      <c r="L491" s="2524"/>
      <c r="M491" s="2702" t="str">
        <f t="shared" si="52"/>
        <v/>
      </c>
      <c r="AB491" s="32">
        <f>IF(AND(I491&gt;0,AND(H374&lt;4,H369&lt;1),Vreport701.1="Prescriptive Path"),1,0)</f>
        <v>0</v>
      </c>
      <c r="AC491" s="32">
        <f>IF(ReportType="Final",IF(AND(OR(H491&gt;0,I491&gt;0),J491=""),1,0),0)</f>
        <v>0</v>
      </c>
    </row>
    <row r="492" spans="3:29" ht="170.25" customHeight="1">
      <c r="C492" s="2142" t="str">
        <f>IF(G491&gt;0,"P","")</f>
        <v/>
      </c>
      <c r="D492" s="433" t="s">
        <v>2795</v>
      </c>
      <c r="E492" s="4878"/>
      <c r="F492" s="4488"/>
      <c r="G492" s="4593"/>
      <c r="H492" s="4951"/>
      <c r="I492" s="5053"/>
      <c r="J492" s="2381"/>
      <c r="K492" s="4854">
        <f>note704.5.1</f>
        <v>0</v>
      </c>
      <c r="L492" s="4855"/>
      <c r="M492" s="2702" t="str">
        <f t="shared" si="52"/>
        <v/>
      </c>
    </row>
    <row r="493" spans="3:29" ht="30">
      <c r="D493" s="433" t="s">
        <v>2797</v>
      </c>
      <c r="E493" s="2483" t="s">
        <v>2489</v>
      </c>
      <c r="F493" s="2484"/>
      <c r="G493" s="2485"/>
      <c r="H493" s="2438"/>
      <c r="I493" s="2438"/>
      <c r="J493" s="2438"/>
      <c r="K493" s="4954"/>
      <c r="L493" s="4955"/>
      <c r="M493" s="2702" t="str">
        <f t="shared" si="52"/>
        <v/>
      </c>
    </row>
    <row r="494" spans="3:29">
      <c r="C494" s="2142" t="str">
        <f>IF(SUM(G495:G500)&gt;0,"P","")</f>
        <v/>
      </c>
      <c r="D494" s="433" t="s">
        <v>2797</v>
      </c>
      <c r="E494" s="2378" t="s">
        <v>2490</v>
      </c>
      <c r="F494" s="2484"/>
      <c r="G494" s="2485"/>
      <c r="H494" s="2438"/>
      <c r="I494" s="2438"/>
      <c r="J494" s="2525" t="str">
        <f>IF(OR(I495=5,I499=5),"Enter ACH50","")</f>
        <v/>
      </c>
      <c r="K494" s="2526"/>
      <c r="L494" s="2527"/>
      <c r="M494" s="2702" t="str">
        <f t="shared" si="52"/>
        <v/>
      </c>
      <c r="Y494" s="32">
        <f>IF(AND(J494&lt;&gt;"",J495=""),1,0)</f>
        <v>0</v>
      </c>
      <c r="AB494" s="32">
        <f>IF(AND(J382&gt;0,J495&lt;&gt;J382),1,0)</f>
        <v>0</v>
      </c>
    </row>
    <row r="495" spans="3:29" ht="15" customHeight="1">
      <c r="C495" s="2142" t="str">
        <f>IF(SUM(G495:G500)&gt;0,"P","")</f>
        <v/>
      </c>
      <c r="D495" s="433" t="s">
        <v>2797</v>
      </c>
      <c r="E495" s="5102" t="s">
        <v>2788</v>
      </c>
      <c r="F495" s="5005">
        <v>5</v>
      </c>
      <c r="G495" s="2528">
        <f>claim704.5.2.1_1</f>
        <v>0</v>
      </c>
      <c r="H495" s="4834"/>
      <c r="I495" s="4940"/>
      <c r="J495" s="2529"/>
      <c r="K495" s="5110">
        <f>note704.5.2.1_1</f>
        <v>0</v>
      </c>
      <c r="L495" s="5111"/>
      <c r="M495" s="2702" t="str">
        <f t="shared" si="52"/>
        <v/>
      </c>
    </row>
    <row r="496" spans="3:29" ht="12.75" customHeight="1">
      <c r="C496" s="2142" t="str">
        <f>IF(SUM(G495:G500)&gt;0,"P","")</f>
        <v/>
      </c>
      <c r="D496" s="433" t="s">
        <v>2797</v>
      </c>
      <c r="E496" s="5103"/>
      <c r="F496" s="5006"/>
      <c r="G496" s="5105">
        <f>IF(ch7blowerdoor&gt;0,CONCATENATE(ch7blowerdoor," expected ACH50 result"),0)</f>
        <v>0</v>
      </c>
      <c r="H496" s="4839"/>
      <c r="I496" s="5010"/>
      <c r="J496" s="5108"/>
      <c r="K496" s="5112"/>
      <c r="L496" s="5113"/>
      <c r="M496" s="2702" t="str">
        <f t="shared" si="52"/>
        <v/>
      </c>
    </row>
    <row r="497" spans="3:27" ht="13.5" customHeight="1">
      <c r="C497" s="2142" t="str">
        <f>IF(SUM(G495:G500)&gt;0,"P","")</f>
        <v/>
      </c>
      <c r="D497" s="433" t="s">
        <v>2797</v>
      </c>
      <c r="E497" s="5103"/>
      <c r="F497" s="5006"/>
      <c r="G497" s="5106"/>
      <c r="H497" s="4839"/>
      <c r="I497" s="5010"/>
      <c r="J497" s="5108"/>
      <c r="K497" s="5112"/>
      <c r="L497" s="5113"/>
      <c r="M497" s="2702" t="str">
        <f t="shared" si="52"/>
        <v/>
      </c>
    </row>
    <row r="498" spans="3:27">
      <c r="C498" s="2142" t="str">
        <f>IF(SUM(G495:G500)&gt;0,"P","")</f>
        <v/>
      </c>
      <c r="D498" s="433" t="s">
        <v>2797</v>
      </c>
      <c r="E498" s="5104"/>
      <c r="F498" s="4511"/>
      <c r="G498" s="5107"/>
      <c r="H498" s="4933"/>
      <c r="I498" s="4941"/>
      <c r="J498" s="5109"/>
      <c r="K498" s="5114"/>
      <c r="L498" s="5115"/>
      <c r="M498" s="2702" t="str">
        <f t="shared" si="52"/>
        <v/>
      </c>
    </row>
    <row r="499" spans="3:27">
      <c r="C499" s="2142" t="str">
        <f>IF(SUM(G495:G500)&gt;0,"P","")</f>
        <v/>
      </c>
      <c r="D499" s="433" t="s">
        <v>2797</v>
      </c>
      <c r="E499" s="5102" t="s">
        <v>2789</v>
      </c>
      <c r="F499" s="5005">
        <v>5</v>
      </c>
      <c r="G499" s="5007">
        <f>claim704.5.2.1_2</f>
        <v>0</v>
      </c>
      <c r="H499" s="4834"/>
      <c r="I499" s="4940"/>
      <c r="J499" s="2040" t="str">
        <f>IF(I499&gt;0,"Enter name of 3rd party","")</f>
        <v/>
      </c>
      <c r="K499" s="2355"/>
      <c r="L499" s="2530"/>
      <c r="M499" s="2702" t="str">
        <f t="shared" si="52"/>
        <v/>
      </c>
      <c r="Y499" s="32">
        <f>IF(AND(J499&lt;&gt;"",J500=""),1,0)</f>
        <v>0</v>
      </c>
    </row>
    <row r="500" spans="3:27">
      <c r="C500" s="2142" t="str">
        <f>IF(SUM(G495:G500)&gt;0,"P","")</f>
        <v/>
      </c>
      <c r="D500" s="433" t="s">
        <v>2797</v>
      </c>
      <c r="E500" s="5104"/>
      <c r="F500" s="4511"/>
      <c r="G500" s="5009"/>
      <c r="H500" s="4933"/>
      <c r="I500" s="4941"/>
      <c r="J500" s="2041"/>
      <c r="K500" s="4854">
        <f>note704.5.2.1_2</f>
        <v>0</v>
      </c>
      <c r="L500" s="4855"/>
      <c r="M500" s="2702" t="str">
        <f t="shared" si="52"/>
        <v/>
      </c>
    </row>
    <row r="501" spans="3:27">
      <c r="C501" s="2142" t="str">
        <f>IF(G501&gt;0,"P","")</f>
        <v/>
      </c>
      <c r="D501" s="433" t="s">
        <v>2797</v>
      </c>
      <c r="E501" s="4897" t="s">
        <v>2492</v>
      </c>
      <c r="F501" s="5005">
        <v>8</v>
      </c>
      <c r="G501" s="5007">
        <f>claim704.5.2.2</f>
        <v>0</v>
      </c>
      <c r="H501" s="4834"/>
      <c r="I501" s="4940"/>
      <c r="J501" s="2040" t="str">
        <f>IF(I501&gt;0,"Enter name of 3rd party","")</f>
        <v/>
      </c>
      <c r="K501" s="2042"/>
      <c r="L501" s="2467"/>
      <c r="M501" s="2702" t="str">
        <f t="shared" si="52"/>
        <v/>
      </c>
      <c r="Y501" s="32">
        <f>IF(AND(J501&lt;&gt;"",J502=""),1,0)</f>
        <v>0</v>
      </c>
    </row>
    <row r="502" spans="3:27">
      <c r="C502" s="2142" t="str">
        <f>IF(G501&gt;0,"P","")</f>
        <v/>
      </c>
      <c r="D502" s="433" t="s">
        <v>2797</v>
      </c>
      <c r="E502" s="4831"/>
      <c r="F502" s="5006"/>
      <c r="G502" s="5008"/>
      <c r="H502" s="4839"/>
      <c r="I502" s="5010"/>
      <c r="J502" s="2041"/>
      <c r="K502" s="2042"/>
      <c r="L502" s="2467"/>
      <c r="M502" s="2702" t="str">
        <f t="shared" si="52"/>
        <v/>
      </c>
    </row>
    <row r="503" spans="3:27" ht="93.75" customHeight="1">
      <c r="C503" s="2142" t="str">
        <f>IF(G501&gt;0,"P","")</f>
        <v/>
      </c>
      <c r="D503" s="433" t="s">
        <v>2797</v>
      </c>
      <c r="E503" s="4878"/>
      <c r="F503" s="4511"/>
      <c r="G503" s="5009"/>
      <c r="H503" s="4933"/>
      <c r="I503" s="4941"/>
      <c r="J503" s="2531"/>
      <c r="K503" s="4854">
        <f>note704.5.2.2</f>
        <v>0</v>
      </c>
      <c r="L503" s="4855"/>
      <c r="M503" s="2702" t="str">
        <f t="shared" si="52"/>
        <v/>
      </c>
    </row>
    <row r="504" spans="3:27" ht="180">
      <c r="C504" s="2142" t="str">
        <f>IF(G504&gt;0,"P","")</f>
        <v/>
      </c>
      <c r="D504" s="433" t="s">
        <v>2797</v>
      </c>
      <c r="E504" s="2483" t="s">
        <v>2491</v>
      </c>
      <c r="F504" s="2379">
        <v>1</v>
      </c>
      <c r="G504" s="2380">
        <f>claim704.5.3</f>
        <v>0</v>
      </c>
      <c r="H504" s="2381"/>
      <c r="I504" s="2387"/>
      <c r="J504" s="2381"/>
      <c r="K504" s="4942">
        <f>note704.5.3</f>
        <v>0</v>
      </c>
      <c r="L504" s="4943"/>
      <c r="M504" s="2702" t="str">
        <f t="shared" si="52"/>
        <v/>
      </c>
      <c r="X504" s="32">
        <f>IF(AND(H504&gt;0,I504&gt;0),1,0)</f>
        <v>0</v>
      </c>
    </row>
    <row r="505" spans="3:27" ht="16" thickBot="1">
      <c r="C505" s="2142" t="s">
        <v>2800</v>
      </c>
      <c r="D505" s="433" t="s">
        <v>2797</v>
      </c>
      <c r="E505" s="5099" t="s">
        <v>3108</v>
      </c>
      <c r="F505" s="5100"/>
      <c r="G505" s="5100"/>
      <c r="H505" s="5101" t="str">
        <f>IF(af701.1.3=30," is not applicable.",IF(AND(ReportType="Final",Formulas!C192&lt;2)," has not been met."," has been met."))</f>
        <v xml:space="preserve"> has been met.</v>
      </c>
      <c r="I505" s="5101"/>
      <c r="J505" s="1956"/>
      <c r="K505" s="1956"/>
      <c r="L505" s="2532"/>
      <c r="M505" s="2702" t="str">
        <f t="shared" si="52"/>
        <v/>
      </c>
      <c r="W505" s="2680"/>
      <c r="AA505" s="32">
        <f>IF(H505=" has not been met.",1,0)</f>
        <v>0</v>
      </c>
    </row>
    <row r="506" spans="3:27" ht="16" thickBot="1">
      <c r="E506" s="4836" t="s">
        <v>631</v>
      </c>
      <c r="F506" s="4548"/>
      <c r="G506" s="4548"/>
      <c r="H506" s="4548"/>
      <c r="I506" s="4548"/>
      <c r="J506" s="4548"/>
      <c r="K506" s="4548"/>
      <c r="L506" s="4837"/>
      <c r="M506" s="2702" t="str">
        <f t="shared" si="52"/>
        <v/>
      </c>
    </row>
    <row r="507" spans="3:27" ht="30">
      <c r="C507" s="2142" t="str">
        <f>IF(SUM(G508:G510)&gt;0,"P","")</f>
        <v/>
      </c>
      <c r="D507" s="2144" t="s">
        <v>2797</v>
      </c>
      <c r="E507" s="2480" t="s">
        <v>2493</v>
      </c>
      <c r="F507" s="2140" t="s">
        <v>606</v>
      </c>
      <c r="G507" s="302">
        <f>claim705.1</f>
        <v>0</v>
      </c>
      <c r="H507" s="2043"/>
      <c r="I507" s="5011"/>
      <c r="J507" s="5014"/>
      <c r="K507" s="4514">
        <f>note705.1</f>
        <v>0</v>
      </c>
      <c r="L507" s="5023"/>
      <c r="M507" s="2702" t="str">
        <f t="shared" si="52"/>
        <v/>
      </c>
    </row>
    <row r="508" spans="3:27">
      <c r="C508" s="2142" t="str">
        <f>IF(G508&gt;0,"P","")</f>
        <v/>
      </c>
      <c r="D508" s="2144" t="s">
        <v>2797</v>
      </c>
      <c r="E508" s="2486" t="s">
        <v>632</v>
      </c>
      <c r="F508" s="2379">
        <v>1</v>
      </c>
      <c r="G508" s="2533">
        <f>claim705.1_1</f>
        <v>0</v>
      </c>
      <c r="H508" s="2044"/>
      <c r="I508" s="5012"/>
      <c r="J508" s="5015"/>
      <c r="K508" s="4491"/>
      <c r="L508" s="4833"/>
      <c r="M508" s="2702" t="str">
        <f t="shared" si="52"/>
        <v/>
      </c>
    </row>
    <row r="509" spans="3:27">
      <c r="C509" s="2142" t="str">
        <f>IF(G509&gt;0,"P","")</f>
        <v/>
      </c>
      <c r="D509" s="2144" t="s">
        <v>2797</v>
      </c>
      <c r="E509" s="2486" t="s">
        <v>633</v>
      </c>
      <c r="F509" s="2379">
        <v>2</v>
      </c>
      <c r="G509" s="2533">
        <f>claim705.1_2</f>
        <v>0</v>
      </c>
      <c r="H509" s="2044"/>
      <c r="I509" s="5012"/>
      <c r="J509" s="5015"/>
      <c r="K509" s="4491"/>
      <c r="L509" s="4833"/>
      <c r="M509" s="2702" t="str">
        <f t="shared" si="52"/>
        <v/>
      </c>
    </row>
    <row r="510" spans="3:27" ht="16" thickBot="1">
      <c r="C510" s="2142" t="str">
        <f>IF(G510&gt;0,"P","")</f>
        <v/>
      </c>
      <c r="D510" s="2144" t="s">
        <v>2797</v>
      </c>
      <c r="E510" s="2534" t="s">
        <v>634</v>
      </c>
      <c r="F510" s="252">
        <v>4</v>
      </c>
      <c r="G510" s="304">
        <f>claim705.1_3</f>
        <v>0</v>
      </c>
      <c r="H510" s="2535"/>
      <c r="I510" s="5013"/>
      <c r="J510" s="5016"/>
      <c r="K510" s="4849"/>
      <c r="L510" s="4850"/>
      <c r="M510" s="2702" t="str">
        <f t="shared" si="52"/>
        <v/>
      </c>
    </row>
    <row r="511" spans="3:27" ht="16" thickTop="1">
      <c r="D511" s="2144" t="s">
        <v>2797</v>
      </c>
      <c r="E511" s="2422" t="s">
        <v>635</v>
      </c>
      <c r="F511" s="264"/>
      <c r="G511" s="264"/>
      <c r="H511" s="1855"/>
      <c r="I511" s="1855"/>
      <c r="J511" s="1837"/>
      <c r="K511" s="4516"/>
      <c r="L511" s="4853"/>
      <c r="M511" s="2702" t="str">
        <f t="shared" si="52"/>
        <v/>
      </c>
    </row>
    <row r="512" spans="3:27" ht="30">
      <c r="C512" s="2142" t="str">
        <f>IF(G512&gt;0,"P","")</f>
        <v/>
      </c>
      <c r="D512" s="2144" t="s">
        <v>2797</v>
      </c>
      <c r="E512" s="2378" t="s">
        <v>636</v>
      </c>
      <c r="F512" s="2379">
        <v>1</v>
      </c>
      <c r="G512" s="2380">
        <f>claim705.2_1</f>
        <v>0</v>
      </c>
      <c r="H512" s="2395"/>
      <c r="I512" s="2381"/>
      <c r="J512" s="2381"/>
      <c r="K512" s="4854">
        <f>note705.2_1</f>
        <v>0</v>
      </c>
      <c r="L512" s="4855"/>
      <c r="M512" s="2702" t="str">
        <f t="shared" si="52"/>
        <v/>
      </c>
      <c r="X512" s="32">
        <f>IF(AND(H512&gt;0,I512&gt;0),1,0)</f>
        <v>0</v>
      </c>
    </row>
    <row r="513" spans="3:23" ht="30">
      <c r="C513" s="2142" t="str">
        <f>IF(SUM(G514:G515)&gt;0,"P","")</f>
        <v/>
      </c>
      <c r="D513" s="2144" t="s">
        <v>2797</v>
      </c>
      <c r="E513" s="2378" t="s">
        <v>637</v>
      </c>
      <c r="F513" s="2484"/>
      <c r="G513" s="2485"/>
      <c r="H513" s="2438"/>
      <c r="I513" s="2438"/>
      <c r="J513" s="2438"/>
      <c r="K513" s="4954"/>
      <c r="L513" s="4955"/>
      <c r="M513" s="2702" t="str">
        <f t="shared" si="52"/>
        <v/>
      </c>
    </row>
    <row r="514" spans="3:23" ht="30">
      <c r="C514" s="2142" t="str">
        <f>IF(SUM(G514:G515)&gt;0,"P","")</f>
        <v/>
      </c>
      <c r="D514" s="2144" t="s">
        <v>2797</v>
      </c>
      <c r="E514" s="2394" t="s">
        <v>2505</v>
      </c>
      <c r="F514" s="2379">
        <v>1</v>
      </c>
      <c r="G514" s="2380">
        <f>IF(claim705.2_2=F514,claim705.2_2,0)</f>
        <v>0</v>
      </c>
      <c r="H514" s="4834"/>
      <c r="I514" s="4910"/>
      <c r="J514" s="4910"/>
      <c r="K514" s="4810">
        <f>note705.2_2</f>
        <v>0</v>
      </c>
      <c r="L514" s="4811"/>
      <c r="M514" s="2702" t="str">
        <f t="shared" si="52"/>
        <v/>
      </c>
    </row>
    <row r="515" spans="3:23" ht="31" thickBot="1">
      <c r="C515" s="2142" t="str">
        <f>IF(SUM(G514:G515)&gt;0,"P","")</f>
        <v/>
      </c>
      <c r="D515" s="2144" t="s">
        <v>2797</v>
      </c>
      <c r="E515" s="2408" t="s">
        <v>2506</v>
      </c>
      <c r="F515" s="252">
        <v>5</v>
      </c>
      <c r="G515" s="253">
        <f>IF(claim705.2_2=F515,claim705.2_2,0)</f>
        <v>0</v>
      </c>
      <c r="H515" s="4835"/>
      <c r="I515" s="4911"/>
      <c r="J515" s="4911"/>
      <c r="K515" s="4849"/>
      <c r="L515" s="4850"/>
      <c r="M515" s="2702" t="str">
        <f t="shared" si="52"/>
        <v/>
      </c>
    </row>
    <row r="516" spans="3:23" ht="31" thickTop="1">
      <c r="C516" s="2142" t="str">
        <f>IF(SUM(G516:G524)&gt;0,"P","")</f>
        <v/>
      </c>
      <c r="D516" s="2144" t="s">
        <v>2797</v>
      </c>
      <c r="E516" s="2400" t="s">
        <v>2494</v>
      </c>
      <c r="F516" s="4502" t="s">
        <v>1945</v>
      </c>
      <c r="G516" s="1614">
        <f>claim705.3</f>
        <v>0</v>
      </c>
      <c r="H516" s="2045"/>
      <c r="I516" s="2046">
        <f>IF(applCount&gt;5,2,IF(applCount&gt;2,1,0))</f>
        <v>0</v>
      </c>
      <c r="J516" s="1883"/>
      <c r="K516" s="4504">
        <f>note705.3</f>
        <v>0</v>
      </c>
      <c r="L516" s="4994"/>
      <c r="M516" s="2702" t="str">
        <f t="shared" si="52"/>
        <v/>
      </c>
    </row>
    <row r="517" spans="3:23">
      <c r="C517" s="2142" t="str">
        <f>IF(SUM(G516:G524)&gt;0,"P","")</f>
        <v/>
      </c>
      <c r="D517" s="2144" t="s">
        <v>2797</v>
      </c>
      <c r="E517" s="2483" t="s">
        <v>1867</v>
      </c>
      <c r="F517" s="4487"/>
      <c r="G517" s="2424">
        <f>choice705.3_1</f>
        <v>0</v>
      </c>
      <c r="H517" s="1968"/>
      <c r="I517" s="1882"/>
      <c r="J517" s="1882"/>
      <c r="K517" s="4491"/>
      <c r="L517" s="4833"/>
      <c r="M517" s="2702" t="str">
        <f t="shared" si="52"/>
        <v/>
      </c>
      <c r="W517" s="2681"/>
    </row>
    <row r="518" spans="3:23">
      <c r="C518" s="2142" t="str">
        <f>IF(SUM(G516:G524)&gt;0,"P","")</f>
        <v/>
      </c>
      <c r="D518" s="2144" t="s">
        <v>2797</v>
      </c>
      <c r="E518" s="2483" t="s">
        <v>1946</v>
      </c>
      <c r="F518" s="4487"/>
      <c r="G518" s="2424">
        <f>choice705.3_2</f>
        <v>0</v>
      </c>
      <c r="H518" s="1968"/>
      <c r="I518" s="1882"/>
      <c r="J518" s="1882"/>
      <c r="K518" s="4491"/>
      <c r="L518" s="4833"/>
      <c r="M518" s="2702" t="str">
        <f t="shared" si="52"/>
        <v/>
      </c>
      <c r="W518" s="2681"/>
    </row>
    <row r="519" spans="3:23">
      <c r="C519" s="2142" t="str">
        <f>IF(SUM(G516:G524)&gt;0,"P","")</f>
        <v/>
      </c>
      <c r="D519" s="2144" t="s">
        <v>2797</v>
      </c>
      <c r="E519" s="2483" t="s">
        <v>1868</v>
      </c>
      <c r="F519" s="4487"/>
      <c r="G519" s="2424">
        <f>choice705.3_3</f>
        <v>0</v>
      </c>
      <c r="H519" s="1968"/>
      <c r="I519" s="1882"/>
      <c r="J519" s="1882"/>
      <c r="K519" s="4491"/>
      <c r="L519" s="4833"/>
      <c r="M519" s="2702" t="str">
        <f t="shared" si="52"/>
        <v/>
      </c>
      <c r="W519" s="2681"/>
    </row>
    <row r="520" spans="3:23">
      <c r="C520" s="2142" t="str">
        <f>IF(SUM(G516:G524)&gt;0,"P","")</f>
        <v/>
      </c>
      <c r="D520" s="2144" t="s">
        <v>2797</v>
      </c>
      <c r="E520" s="2483" t="s">
        <v>1947</v>
      </c>
      <c r="F520" s="4487"/>
      <c r="G520" s="2424">
        <f>choice705.3_4</f>
        <v>0</v>
      </c>
      <c r="H520" s="1968"/>
      <c r="I520" s="1882"/>
      <c r="J520" s="1882"/>
      <c r="K520" s="4491"/>
      <c r="L520" s="4833"/>
      <c r="M520" s="2702" t="str">
        <f t="shared" si="52"/>
        <v/>
      </c>
      <c r="W520" s="2681"/>
    </row>
    <row r="521" spans="3:23">
      <c r="C521" s="2142" t="str">
        <f>IF(SUM(G516:G524)&gt;0,"P","")</f>
        <v/>
      </c>
      <c r="D521" s="2144" t="s">
        <v>2797</v>
      </c>
      <c r="E521" s="2483" t="s">
        <v>1948</v>
      </c>
      <c r="F521" s="4487"/>
      <c r="G521" s="2424">
        <f>choice705.3_5</f>
        <v>0</v>
      </c>
      <c r="H521" s="1968"/>
      <c r="I521" s="1882"/>
      <c r="J521" s="1882"/>
      <c r="K521" s="4491"/>
      <c r="L521" s="4833"/>
      <c r="M521" s="2702" t="str">
        <f t="shared" si="52"/>
        <v/>
      </c>
      <c r="W521" s="2681"/>
    </row>
    <row r="522" spans="3:23">
      <c r="C522" s="2142" t="str">
        <f>IF(SUM(G516:G524)&gt;0,"P","")</f>
        <v/>
      </c>
      <c r="D522" s="2144" t="s">
        <v>2797</v>
      </c>
      <c r="E522" s="2483" t="s">
        <v>1949</v>
      </c>
      <c r="F522" s="4487"/>
      <c r="G522" s="2424">
        <f>choice705.3_6</f>
        <v>0</v>
      </c>
      <c r="H522" s="1968"/>
      <c r="I522" s="1882"/>
      <c r="J522" s="1882"/>
      <c r="K522" s="4491"/>
      <c r="L522" s="4833"/>
      <c r="M522" s="2702" t="str">
        <f t="shared" si="52"/>
        <v/>
      </c>
      <c r="W522" s="2681"/>
    </row>
    <row r="523" spans="3:23">
      <c r="C523" s="2142" t="str">
        <f>IF(SUM(G516:G524)&gt;0,"P","")</f>
        <v/>
      </c>
      <c r="D523" s="2144" t="s">
        <v>2797</v>
      </c>
      <c r="E523" s="2483" t="s">
        <v>128</v>
      </c>
      <c r="F523" s="4487"/>
      <c r="G523" s="2424">
        <f>choice705.3_7</f>
        <v>0</v>
      </c>
      <c r="H523" s="1968"/>
      <c r="I523" s="1882"/>
      <c r="J523" s="1882"/>
      <c r="K523" s="4491"/>
      <c r="L523" s="4833"/>
      <c r="M523" s="2702" t="str">
        <f t="shared" si="52"/>
        <v/>
      </c>
      <c r="W523" s="2681"/>
    </row>
    <row r="524" spans="3:23" ht="16" thickBot="1">
      <c r="C524" s="2142" t="str">
        <f>IF(SUM(G516:G524)&gt;0,"P","")</f>
        <v/>
      </c>
      <c r="D524" s="2144" t="s">
        <v>2797</v>
      </c>
      <c r="E524" s="2500" t="s">
        <v>1950</v>
      </c>
      <c r="F524" s="4968"/>
      <c r="G524" s="1681">
        <f>choice705.3_8</f>
        <v>0</v>
      </c>
      <c r="H524" s="2536"/>
      <c r="I524" s="2537"/>
      <c r="J524" s="2537"/>
      <c r="K524" s="4849"/>
      <c r="L524" s="4850"/>
      <c r="M524" s="2702" t="str">
        <f t="shared" si="52"/>
        <v/>
      </c>
      <c r="W524" s="2681"/>
    </row>
    <row r="525" spans="3:23" ht="16" thickTop="1">
      <c r="D525" s="2144" t="s">
        <v>2797</v>
      </c>
      <c r="E525" s="2400" t="s">
        <v>2495</v>
      </c>
      <c r="F525" s="843"/>
      <c r="G525" s="1683"/>
      <c r="H525" s="1683"/>
      <c r="I525" s="1683"/>
      <c r="J525" s="1683"/>
      <c r="K525" s="4495"/>
      <c r="L525" s="4495"/>
      <c r="M525" s="2702" t="str">
        <f t="shared" si="52"/>
        <v/>
      </c>
      <c r="W525" s="2681"/>
    </row>
    <row r="526" spans="3:23">
      <c r="C526" s="2142" t="str">
        <f>IF(SUM(G527:G529)&gt;0,"P","")</f>
        <v/>
      </c>
      <c r="D526" s="2144" t="s">
        <v>2797</v>
      </c>
      <c r="E526" s="2483" t="s">
        <v>2496</v>
      </c>
      <c r="F526" s="2484"/>
      <c r="G526" s="2538"/>
      <c r="H526" s="2538"/>
      <c r="I526" s="2538"/>
      <c r="J526" s="2538"/>
      <c r="K526" s="4995"/>
      <c r="L526" s="4995"/>
      <c r="M526" s="2702" t="str">
        <f t="shared" si="52"/>
        <v/>
      </c>
      <c r="W526" s="2681"/>
    </row>
    <row r="527" spans="3:23">
      <c r="C527" s="2142" t="str">
        <f>IF(G527&gt;0,"P","")</f>
        <v/>
      </c>
      <c r="D527" s="2144" t="s">
        <v>2797</v>
      </c>
      <c r="E527" s="2378" t="s">
        <v>2497</v>
      </c>
      <c r="F527" s="2379">
        <v>1</v>
      </c>
      <c r="G527" s="2424">
        <f>claim705.4.1_1</f>
        <v>0</v>
      </c>
      <c r="H527" s="2539"/>
      <c r="I527" s="2056"/>
      <c r="J527" s="2056"/>
      <c r="K527" s="4810">
        <f>note705.4.1</f>
        <v>0</v>
      </c>
      <c r="L527" s="4811"/>
      <c r="M527" s="2702" t="str">
        <f t="shared" si="52"/>
        <v/>
      </c>
      <c r="W527" s="2681"/>
    </row>
    <row r="528" spans="3:23" ht="30">
      <c r="C528" s="2142" t="str">
        <f>IF(G528&gt;0,"P","")</f>
        <v/>
      </c>
      <c r="D528" s="2144" t="s">
        <v>2797</v>
      </c>
      <c r="E528" s="2378" t="s">
        <v>2498</v>
      </c>
      <c r="F528" s="2379">
        <v>3</v>
      </c>
      <c r="G528" s="2424">
        <f>claim705.4.1_2</f>
        <v>0</v>
      </c>
      <c r="H528" s="2047"/>
      <c r="I528" s="2056"/>
      <c r="J528" s="2056"/>
      <c r="K528" s="4493"/>
      <c r="L528" s="4856"/>
      <c r="M528" s="2702" t="str">
        <f t="shared" ref="M528:M592" si="54">IF(AND(ReportType="Rough",SUM(X528,Y528,Z528,AB528,AC528,AD528,AE528)&gt;0),"!",IF(AND(ReportType="Final", SUM(X528,Y528,AA528,AB528,AC528,AD528,AE528)&gt;0),"!",""))</f>
        <v/>
      </c>
      <c r="W528" s="2681"/>
    </row>
    <row r="529" spans="3:28" ht="30">
      <c r="C529" s="2142" t="str">
        <f>IF(G529&gt;0,"P","")</f>
        <v/>
      </c>
      <c r="D529" s="2144" t="s">
        <v>2797</v>
      </c>
      <c r="E529" s="2483" t="s">
        <v>2499</v>
      </c>
      <c r="F529" s="2379">
        <v>1</v>
      </c>
      <c r="G529" s="2424">
        <f>claim705.4.2</f>
        <v>0</v>
      </c>
      <c r="H529" s="2540"/>
      <c r="I529" s="2056"/>
      <c r="J529" s="2056"/>
      <c r="K529" s="4501">
        <f>note705.4.2</f>
        <v>0</v>
      </c>
      <c r="L529" s="4501"/>
      <c r="M529" s="2702" t="str">
        <f t="shared" si="54"/>
        <v/>
      </c>
      <c r="W529" s="2681"/>
      <c r="X529" s="32">
        <f>IF(AND(H529&gt;0,I529&gt;0),1,0)</f>
        <v>0</v>
      </c>
    </row>
    <row r="530" spans="3:28">
      <c r="C530" s="2142" t="str">
        <f>IF(SUM(G530:G534)&gt;0,"P","")</f>
        <v/>
      </c>
      <c r="D530" s="2144" t="s">
        <v>2797</v>
      </c>
      <c r="E530" s="4897" t="s">
        <v>2500</v>
      </c>
      <c r="F530" s="4719" t="s">
        <v>1978</v>
      </c>
      <c r="G530" s="2424">
        <f>claim705.5</f>
        <v>0</v>
      </c>
      <c r="H530" s="2539"/>
      <c r="I530" s="5002">
        <f>IF(J531="",0,ROUNDDOWN(J531/(ROUNDUP(J533/2000,0)*100),0))</f>
        <v>0</v>
      </c>
      <c r="J530" s="2092" t="str">
        <f>IF(BldgType="Multi-Unit","Enter watts of Renewable Energy per unit","Enter watts of Renewable Energy")</f>
        <v>Enter watts of Renewable Energy</v>
      </c>
      <c r="K530" s="4810">
        <f>note705.5</f>
        <v>0</v>
      </c>
      <c r="L530" s="4811"/>
      <c r="M530" s="2702" t="str">
        <f t="shared" si="54"/>
        <v/>
      </c>
      <c r="W530" s="2681"/>
    </row>
    <row r="531" spans="3:28" ht="14.25" customHeight="1">
      <c r="C531" s="2142" t="str">
        <f>IF(SUM(G530:G534)&gt;0,"P","")</f>
        <v/>
      </c>
      <c r="D531" s="2144" t="s">
        <v>2797</v>
      </c>
      <c r="E531" s="4831"/>
      <c r="F531" s="4487"/>
      <c r="G531" s="5034">
        <f>IF(enter705.5&gt;0,CONCATENATE(enter705.5," watts"),0)</f>
        <v>0</v>
      </c>
      <c r="H531" s="2048"/>
      <c r="I531" s="5003"/>
      <c r="J531" s="2037"/>
      <c r="K531" s="4491"/>
      <c r="L531" s="4833"/>
      <c r="M531" s="2702" t="str">
        <f t="shared" si="54"/>
        <v/>
      </c>
      <c r="W531" s="2681"/>
    </row>
    <row r="532" spans="3:28" ht="22.5" customHeight="1">
      <c r="C532" s="2142" t="str">
        <f>IF(SUM(G530:G534)&gt;0,"P","")</f>
        <v/>
      </c>
      <c r="D532" s="2144" t="s">
        <v>2797</v>
      </c>
      <c r="E532" s="4831"/>
      <c r="F532" s="4487"/>
      <c r="G532" s="5035"/>
      <c r="H532" s="2048"/>
      <c r="I532" s="5003"/>
      <c r="J532" s="2092" t="str">
        <f>IF(BldgType="Multi-Unit","Enter average ft2 per unit","Enter total floor area ft2")</f>
        <v>Enter total floor area ft2</v>
      </c>
      <c r="K532" s="4491"/>
      <c r="L532" s="4833"/>
      <c r="M532" s="2702" t="str">
        <f t="shared" si="54"/>
        <v/>
      </c>
      <c r="W532" s="2681"/>
    </row>
    <row r="533" spans="3:28" ht="22.5" customHeight="1">
      <c r="C533" s="2142" t="str">
        <f>IF(SUM(G530:G534)&gt;0,"P","")</f>
        <v/>
      </c>
      <c r="D533" s="2144" t="s">
        <v>2797</v>
      </c>
      <c r="E533" s="4831"/>
      <c r="F533" s="4487"/>
      <c r="G533" s="5034">
        <f>IF(startTotalFloorArea&gt;0,CONCATENATE(startTotalFloorArea," s.f. floor area"),0)</f>
        <v>0</v>
      </c>
      <c r="H533" s="2048"/>
      <c r="I533" s="5003"/>
      <c r="J533" s="2037"/>
      <c r="K533" s="4491"/>
      <c r="L533" s="4833"/>
      <c r="M533" s="2702" t="str">
        <f t="shared" si="54"/>
        <v/>
      </c>
      <c r="W533" s="2681"/>
    </row>
    <row r="534" spans="3:28" ht="36" customHeight="1">
      <c r="C534" s="2142" t="str">
        <f>IF(SUM(G530:G534)&gt;0,"P","")</f>
        <v/>
      </c>
      <c r="D534" s="2144" t="s">
        <v>2797</v>
      </c>
      <c r="E534" s="4878"/>
      <c r="F534" s="4488"/>
      <c r="G534" s="5035"/>
      <c r="H534" s="2048"/>
      <c r="I534" s="5004"/>
      <c r="J534" s="1882"/>
      <c r="K534" s="4493"/>
      <c r="L534" s="4856"/>
      <c r="M534" s="2702" t="str">
        <f t="shared" si="54"/>
        <v/>
      </c>
      <c r="W534" s="2681"/>
    </row>
    <row r="535" spans="3:28" ht="41.25" customHeight="1">
      <c r="C535" s="2142" t="str">
        <f>IF(G535&gt;0,"P","")</f>
        <v/>
      </c>
      <c r="D535" s="2144" t="s">
        <v>2797</v>
      </c>
      <c r="E535" s="2388" t="s">
        <v>2761</v>
      </c>
      <c r="F535" s="2342">
        <v>2</v>
      </c>
      <c r="G535" s="2352">
        <f>claim705.6</f>
        <v>0</v>
      </c>
      <c r="H535" s="2541"/>
      <c r="I535" s="2542"/>
      <c r="J535" s="2542"/>
      <c r="K535" s="5001">
        <f>note705.6</f>
        <v>0</v>
      </c>
      <c r="L535" s="5001"/>
      <c r="M535" s="2702" t="str">
        <f t="shared" si="54"/>
        <v/>
      </c>
      <c r="W535" s="2681"/>
      <c r="AB535" s="32">
        <f>IF(AND($I$535&gt;0,BldgType&lt;&gt;"Multi-Unit"),1,0)</f>
        <v>0</v>
      </c>
    </row>
    <row r="536" spans="3:28" ht="65.25" customHeight="1">
      <c r="D536" s="2144"/>
      <c r="E536" s="2848" t="s">
        <v>3130</v>
      </c>
      <c r="F536" s="2379">
        <v>2</v>
      </c>
      <c r="G536" s="2847">
        <f>claim705.7</f>
        <v>0</v>
      </c>
      <c r="H536" s="2541"/>
      <c r="I536" s="2542"/>
      <c r="J536" s="2858"/>
      <c r="K536" s="4810">
        <f>note705.7</f>
        <v>0</v>
      </c>
      <c r="L536" s="4811"/>
      <c r="M536" s="2702"/>
      <c r="W536" s="2681"/>
    </row>
    <row r="537" spans="3:28">
      <c r="C537" s="2142" t="s">
        <v>2800</v>
      </c>
      <c r="D537" s="2144" t="s">
        <v>2795</v>
      </c>
      <c r="E537" s="5050" t="s">
        <v>2633</v>
      </c>
      <c r="F537" s="5051"/>
      <c r="G537" s="2685">
        <f>SUM(G362:G535)+G332-G508-G509-G510</f>
        <v>0</v>
      </c>
      <c r="H537" s="2685">
        <f>SUM(H362:H535)-H477</f>
        <v>66</v>
      </c>
      <c r="I537" s="2685">
        <f>SUM(I362:I535)+I332</f>
        <v>0</v>
      </c>
      <c r="J537" s="2686" t="str">
        <f>IF(I333=30,"BRONZE",IF(SUM(H537,I537)&gt;99,"EMERALD",IF(SUM(H537,I537)&gt;79,"GOLD",IF(SUM(H537,I537)&gt;59,"SILVER",IF(SUM(H537,I537)&gt;29,"BRONZE","no threshold achieved yet")))))</f>
        <v>SILVER</v>
      </c>
      <c r="K537" s="4863" t="str">
        <f>IF(J537="Emerald","Minimum points for Emerald = 100",IF(J537="Gold","Minimum points for Gold = 80; for Emerald = 100",IF(J537="Silver","Minimum points for Silver = 60; for Gold = 80",IF(J537="Bronze","Minimum points for Bronze = 30; for Silver = 60","Minimum points for Bronze = 30"))))</f>
        <v>Minimum points for Silver = 60; for Gold = 80</v>
      </c>
      <c r="L537" s="4864"/>
      <c r="M537" s="2702" t="str">
        <f t="shared" si="54"/>
        <v/>
      </c>
    </row>
    <row r="538" spans="3:28">
      <c r="E538" s="4918" t="s">
        <v>638</v>
      </c>
      <c r="F538" s="4919"/>
      <c r="G538" s="4919"/>
      <c r="H538" s="4919"/>
      <c r="I538" s="4919"/>
      <c r="J538" s="4919"/>
      <c r="K538" s="4919"/>
      <c r="L538" s="4920"/>
      <c r="M538" s="2702" t="str">
        <f t="shared" si="54"/>
        <v/>
      </c>
    </row>
    <row r="539" spans="3:28">
      <c r="E539" s="4918" t="s">
        <v>639</v>
      </c>
      <c r="F539" s="4919"/>
      <c r="G539" s="4919"/>
      <c r="H539" s="4919"/>
      <c r="I539" s="4919"/>
      <c r="J539" s="4919"/>
      <c r="K539" s="4919"/>
      <c r="L539" s="4920"/>
      <c r="M539" s="2702" t="str">
        <f t="shared" si="54"/>
        <v/>
      </c>
    </row>
    <row r="540" spans="3:28">
      <c r="E540" s="2543" t="s">
        <v>640</v>
      </c>
      <c r="F540" s="306"/>
      <c r="G540" s="306"/>
      <c r="H540" s="1854"/>
      <c r="I540" s="1854"/>
      <c r="J540" s="1848"/>
      <c r="K540" s="4530"/>
      <c r="L540" s="4851"/>
      <c r="M540" s="2702" t="str">
        <f t="shared" si="54"/>
        <v/>
      </c>
    </row>
    <row r="541" spans="3:28" ht="180">
      <c r="C541" s="2142" t="str">
        <f>IF(SUM(G542:G548)&gt;0,"P","")</f>
        <v/>
      </c>
      <c r="D541" s="433" t="s">
        <v>2796</v>
      </c>
      <c r="E541" s="2378" t="s">
        <v>2302</v>
      </c>
      <c r="F541" s="2544"/>
      <c r="G541" s="2544"/>
      <c r="H541" s="2504"/>
      <c r="I541" s="2504"/>
      <c r="J541" s="2545"/>
      <c r="K541" s="4847"/>
      <c r="L541" s="4848"/>
      <c r="M541" s="2702" t="str">
        <f t="shared" si="54"/>
        <v/>
      </c>
    </row>
    <row r="542" spans="3:28" ht="30">
      <c r="C542" s="2142" t="str">
        <f t="shared" ref="C542:C548" si="55">IF(G542&gt;0,"P","")</f>
        <v/>
      </c>
      <c r="D542" s="433" t="s">
        <v>2796</v>
      </c>
      <c r="E542" s="2471" t="s">
        <v>2763</v>
      </c>
      <c r="F542" s="2396">
        <v>11</v>
      </c>
      <c r="G542" s="2380">
        <f>IF(choice801.1.1_1thru4a=dd801.1.1_opt1,claim801.1.1_1thru4a,0)</f>
        <v>0</v>
      </c>
      <c r="H542" s="4910"/>
      <c r="I542" s="4898"/>
      <c r="J542" s="4909"/>
      <c r="K542" s="4810">
        <f>note801.1.1_1thru4a</f>
        <v>0</v>
      </c>
      <c r="L542" s="4811"/>
      <c r="M542" s="2702" t="str">
        <f t="shared" si="54"/>
        <v/>
      </c>
      <c r="X542" s="32">
        <f>IF(AND(H542&gt;0,I542&gt;0),1,0)</f>
        <v>0</v>
      </c>
      <c r="AB542" s="32">
        <f>IF(AND(SUM(H504:I504)&lt;&gt;1,SUM(H542:I546)&gt;0),1,0)</f>
        <v>0</v>
      </c>
    </row>
    <row r="543" spans="3:28" ht="30">
      <c r="C543" s="2142" t="str">
        <f t="shared" si="55"/>
        <v/>
      </c>
      <c r="D543" s="433" t="s">
        <v>2796</v>
      </c>
      <c r="E543" s="2471" t="s">
        <v>2764</v>
      </c>
      <c r="F543" s="2396">
        <v>17</v>
      </c>
      <c r="G543" s="2546">
        <f>IF(choice801.1.1_1thru4a=dd801.1.1_opt2,claim801.1.1_1thru4a,0)</f>
        <v>0</v>
      </c>
      <c r="H543" s="4946"/>
      <c r="I543" s="5143"/>
      <c r="J543" s="4892"/>
      <c r="K543" s="4491"/>
      <c r="L543" s="4833"/>
      <c r="M543" s="2702" t="str">
        <f t="shared" si="54"/>
        <v/>
      </c>
    </row>
    <row r="544" spans="3:28" ht="30">
      <c r="C544" s="2142" t="str">
        <f t="shared" si="55"/>
        <v/>
      </c>
      <c r="D544" s="433" t="s">
        <v>2796</v>
      </c>
      <c r="E544" s="2547" t="s">
        <v>2765</v>
      </c>
      <c r="F544" s="2396">
        <v>29</v>
      </c>
      <c r="G544" s="2548">
        <f>IF(choice801.1.1_1thru4a=dd801.1.1_opt3,claim801.1.1_1thru4a,0)</f>
        <v>0</v>
      </c>
      <c r="H544" s="4946"/>
      <c r="I544" s="5143"/>
      <c r="J544" s="4892"/>
      <c r="K544" s="4491"/>
      <c r="L544" s="4833"/>
      <c r="M544" s="2702" t="str">
        <f t="shared" si="54"/>
        <v/>
      </c>
    </row>
    <row r="545" spans="3:28" ht="45">
      <c r="C545" s="2142" t="str">
        <f t="shared" si="55"/>
        <v/>
      </c>
      <c r="D545" s="433" t="s">
        <v>2796</v>
      </c>
      <c r="E545" s="2471" t="s">
        <v>2766</v>
      </c>
      <c r="F545" s="2396">
        <v>35</v>
      </c>
      <c r="G545" s="2380">
        <f>IF(choice801.1.1_1thru4a=dd801.1.1_opt4,claim801.1.1_1thru4a,0)</f>
        <v>0</v>
      </c>
      <c r="H545" s="4946"/>
      <c r="I545" s="5143"/>
      <c r="J545" s="4892"/>
      <c r="K545" s="4491"/>
      <c r="L545" s="4833"/>
      <c r="M545" s="2702" t="str">
        <f t="shared" si="54"/>
        <v/>
      </c>
    </row>
    <row r="546" spans="3:28" ht="45">
      <c r="C546" s="2142" t="str">
        <f t="shared" si="55"/>
        <v/>
      </c>
      <c r="D546" s="433" t="s">
        <v>2796</v>
      </c>
      <c r="E546" s="2549" t="s">
        <v>2767</v>
      </c>
      <c r="F546" s="2345">
        <v>39</v>
      </c>
      <c r="G546" s="2550">
        <f>IF(choice801.1.1_1thru4a=dd801.1.1_opt5,claim801.1.1_1thru4a,0)</f>
        <v>0</v>
      </c>
      <c r="H546" s="5340"/>
      <c r="I546" s="5341"/>
      <c r="J546" s="5342"/>
      <c r="K546" s="4491"/>
      <c r="L546" s="4833"/>
      <c r="M546" s="2702" t="str">
        <f t="shared" si="54"/>
        <v/>
      </c>
    </row>
    <row r="547" spans="3:28" ht="75">
      <c r="C547" s="2142" t="str">
        <f t="shared" si="55"/>
        <v/>
      </c>
      <c r="D547" s="433" t="s">
        <v>2796</v>
      </c>
      <c r="E547" s="2384" t="s">
        <v>2131</v>
      </c>
      <c r="F547" s="2354">
        <v>9</v>
      </c>
      <c r="G547" s="1969">
        <f>claim801.1.1_5</f>
        <v>0</v>
      </c>
      <c r="H547" s="1970"/>
      <c r="I547" s="1974"/>
      <c r="J547" s="1971"/>
      <c r="K547" s="4810">
        <f>note801.1.1_5</f>
        <v>0</v>
      </c>
      <c r="L547" s="4811"/>
      <c r="M547" s="2702" t="str">
        <f t="shared" si="54"/>
        <v/>
      </c>
      <c r="X547" s="32">
        <f>IF(AND(H547&gt;0,I547&gt;0),1,0)</f>
        <v>0</v>
      </c>
    </row>
    <row r="548" spans="3:28" ht="61" thickBot="1">
      <c r="C548" s="2142" t="str">
        <f t="shared" si="55"/>
        <v/>
      </c>
      <c r="D548" s="433" t="s">
        <v>2795</v>
      </c>
      <c r="E548" s="2420" t="s">
        <v>2132</v>
      </c>
      <c r="F548" s="1478">
        <v>4</v>
      </c>
      <c r="G548" s="1972">
        <f>claim801.1.1_6</f>
        <v>0</v>
      </c>
      <c r="H548" s="1973"/>
      <c r="I548" s="1973"/>
      <c r="J548" s="1898"/>
      <c r="K548" s="4526">
        <f>note801.1.1_6</f>
        <v>0</v>
      </c>
      <c r="L548" s="4852"/>
      <c r="M548" s="2702" t="str">
        <f t="shared" si="54"/>
        <v/>
      </c>
      <c r="X548" s="32">
        <f>IF(AND(H548&gt;0,I548&gt;0),1,0)</f>
        <v>0</v>
      </c>
    </row>
    <row r="549" spans="3:28" ht="16" thickTop="1">
      <c r="C549" s="2142" t="str">
        <f>IF(SUM(G550:G552)&gt;0,"P","")</f>
        <v/>
      </c>
      <c r="D549" s="433" t="s">
        <v>2797</v>
      </c>
      <c r="E549" s="2422" t="s">
        <v>2133</v>
      </c>
      <c r="F549" s="1288"/>
      <c r="G549" s="2093"/>
      <c r="H549" s="2551"/>
      <c r="I549" s="2551"/>
      <c r="J549" s="2551"/>
      <c r="K549" s="4516"/>
      <c r="L549" s="4853"/>
      <c r="M549" s="2702" t="str">
        <f t="shared" si="54"/>
        <v/>
      </c>
    </row>
    <row r="550" spans="3:28">
      <c r="C550" s="2142" t="str">
        <f>IF(G550&gt;0,"P","")</f>
        <v/>
      </c>
      <c r="D550" s="433" t="s">
        <v>2797</v>
      </c>
      <c r="E550" s="2552" t="s">
        <v>641</v>
      </c>
      <c r="F550" s="2379">
        <v>2</v>
      </c>
      <c r="G550" s="2380">
        <f>claim801.2_1</f>
        <v>0</v>
      </c>
      <c r="H550" s="2437"/>
      <c r="I550" s="2381"/>
      <c r="J550" s="2381"/>
      <c r="K550" s="4854">
        <f>note801.2_1</f>
        <v>0</v>
      </c>
      <c r="L550" s="4855"/>
      <c r="M550" s="2702" t="str">
        <f t="shared" si="54"/>
        <v/>
      </c>
    </row>
    <row r="551" spans="3:28">
      <c r="C551" s="2142" t="str">
        <f>IF(G551&gt;0,"P","")</f>
        <v/>
      </c>
      <c r="D551" s="433" t="s">
        <v>2797</v>
      </c>
      <c r="E551" s="2552" t="s">
        <v>2134</v>
      </c>
      <c r="F551" s="2396">
        <v>13</v>
      </c>
      <c r="G551" s="2380">
        <f>IF(choice801.2_2="&gt;6.0",13,0)</f>
        <v>0</v>
      </c>
      <c r="H551" s="4834"/>
      <c r="I551" s="4910"/>
      <c r="J551" s="4909"/>
      <c r="K551" s="4810">
        <f>note801.2_2</f>
        <v>0</v>
      </c>
      <c r="L551" s="4811"/>
      <c r="M551" s="2702" t="str">
        <f t="shared" si="54"/>
        <v/>
      </c>
    </row>
    <row r="552" spans="3:28" ht="16" thickBot="1">
      <c r="C552" s="2142" t="str">
        <f>IF(G552&gt;0,"P","")</f>
        <v/>
      </c>
      <c r="D552" s="433" t="s">
        <v>2797</v>
      </c>
      <c r="E552" s="2553" t="s">
        <v>2135</v>
      </c>
      <c r="F552" s="2345">
        <v>24</v>
      </c>
      <c r="G552" s="2334">
        <f>IF(choice801.2_2="&lt;=6.0",24,0)</f>
        <v>0</v>
      </c>
      <c r="H552" s="4835"/>
      <c r="I552" s="4911"/>
      <c r="J552" s="4893"/>
      <c r="K552" s="4493"/>
      <c r="L552" s="4856"/>
      <c r="M552" s="2702" t="str">
        <f t="shared" si="54"/>
        <v/>
      </c>
    </row>
    <row r="553" spans="3:28" ht="16" thickTop="1">
      <c r="D553" s="433" t="s">
        <v>2797</v>
      </c>
      <c r="E553" s="2422" t="s">
        <v>2136</v>
      </c>
      <c r="F553" s="264"/>
      <c r="G553" s="264"/>
      <c r="H553" s="1855"/>
      <c r="I553" s="1855"/>
      <c r="J553" s="1837"/>
      <c r="K553" s="4516"/>
      <c r="L553" s="4853"/>
      <c r="M553" s="2702" t="str">
        <f t="shared" si="54"/>
        <v/>
      </c>
    </row>
    <row r="554" spans="3:28" ht="105">
      <c r="C554" s="2142" t="str">
        <f>IF(SUM(G555:G558)&gt;0,"P","")</f>
        <v/>
      </c>
      <c r="D554" s="433" t="s">
        <v>2797</v>
      </c>
      <c r="E554" s="2378" t="s">
        <v>2768</v>
      </c>
      <c r="F554" s="2110"/>
      <c r="G554" s="2111"/>
      <c r="H554" s="2112"/>
      <c r="I554" s="2112"/>
      <c r="J554" s="2112"/>
      <c r="K554" s="4847"/>
      <c r="L554" s="4848"/>
      <c r="M554" s="2702" t="str">
        <f t="shared" si="54"/>
        <v/>
      </c>
    </row>
    <row r="555" spans="3:28">
      <c r="C555" s="2142" t="str">
        <f>IF(G555&gt;0,"P","")</f>
        <v/>
      </c>
      <c r="D555" s="433" t="s">
        <v>2797</v>
      </c>
      <c r="E555" s="2471" t="s">
        <v>2946</v>
      </c>
      <c r="F555" s="2554">
        <v>4</v>
      </c>
      <c r="G555" s="2555">
        <f>IF(choice801.3_1="1 fixture",4,0)</f>
        <v>0</v>
      </c>
      <c r="H555" s="4997"/>
      <c r="I555" s="4996"/>
      <c r="J555" s="5037"/>
      <c r="K555" s="4810">
        <f>note801.3_1</f>
        <v>0</v>
      </c>
      <c r="L555" s="4811"/>
      <c r="M555" s="2702" t="str">
        <f t="shared" si="54"/>
        <v/>
      </c>
    </row>
    <row r="556" spans="3:28">
      <c r="C556" s="2142" t="str">
        <f>IF(G556&gt;0,"P","")</f>
        <v/>
      </c>
      <c r="D556" s="433" t="s">
        <v>2797</v>
      </c>
      <c r="E556" s="2549" t="s">
        <v>2947</v>
      </c>
      <c r="F556" s="2556">
        <v>5</v>
      </c>
      <c r="G556" s="2557">
        <f>IF(choice801.3_1="2 fixtures",5,0)</f>
        <v>0</v>
      </c>
      <c r="H556" s="4998"/>
      <c r="I556" s="4843"/>
      <c r="J556" s="4845"/>
      <c r="K556" s="4491"/>
      <c r="L556" s="4833"/>
      <c r="M556" s="2702" t="str">
        <f t="shared" si="54"/>
        <v/>
      </c>
    </row>
    <row r="557" spans="3:28">
      <c r="C557" s="2142" t="str">
        <f>IF(G557&gt;0,"P","")</f>
        <v/>
      </c>
      <c r="D557" s="433" t="s">
        <v>2797</v>
      </c>
      <c r="E557" s="2471" t="s">
        <v>2952</v>
      </c>
      <c r="F557" s="2554">
        <v>6</v>
      </c>
      <c r="G557" s="2555">
        <f>IF(choice801.3_1="3 fixtures",6,0)</f>
        <v>0</v>
      </c>
      <c r="H557" s="4998"/>
      <c r="I557" s="4843"/>
      <c r="J557" s="4845"/>
      <c r="K557" s="4491"/>
      <c r="L557" s="4833"/>
      <c r="M557" s="2702" t="str">
        <f t="shared" si="54"/>
        <v/>
      </c>
    </row>
    <row r="558" spans="3:28" ht="16" thickBot="1">
      <c r="C558" s="2142" t="str">
        <f>IF(G558&gt;0,"P","")</f>
        <v/>
      </c>
      <c r="D558" s="433" t="s">
        <v>2797</v>
      </c>
      <c r="E558" s="2558" t="s">
        <v>2953</v>
      </c>
      <c r="F558" s="309">
        <v>7</v>
      </c>
      <c r="G558" s="310">
        <f>IF(choice801.3_1="4+ fixtures",7,0)</f>
        <v>0</v>
      </c>
      <c r="H558" s="5036"/>
      <c r="I558" s="4844"/>
      <c r="J558" s="4846"/>
      <c r="K558" s="4849"/>
      <c r="L558" s="4850"/>
      <c r="M558" s="2702" t="str">
        <f t="shared" si="54"/>
        <v/>
      </c>
    </row>
    <row r="559" spans="3:28" ht="31" thickTop="1">
      <c r="C559" s="2142" t="str">
        <f>IF(SUM(G560:G561)&gt;0,"P","")</f>
        <v/>
      </c>
      <c r="D559" s="433" t="s">
        <v>2797</v>
      </c>
      <c r="E559" s="2378" t="s">
        <v>2138</v>
      </c>
      <c r="F559" s="2110"/>
      <c r="G559" s="2111"/>
      <c r="H559" s="2112"/>
      <c r="I559" s="2112"/>
      <c r="J559" s="2112"/>
      <c r="K559" s="4847"/>
      <c r="L559" s="4848"/>
      <c r="M559" s="2702" t="str">
        <f t="shared" si="54"/>
        <v/>
      </c>
    </row>
    <row r="560" spans="3:28">
      <c r="C560" s="2142" t="str">
        <f>IF(G560&gt;0,"P","")</f>
        <v/>
      </c>
      <c r="D560" s="433" t="s">
        <v>2797</v>
      </c>
      <c r="E560" s="2471" t="s">
        <v>411</v>
      </c>
      <c r="F560" s="2554">
        <v>11</v>
      </c>
      <c r="G560" s="2555">
        <f>IF(choice801.3_2="2.0 to &lt;2.5 gpm",11,0)</f>
        <v>0</v>
      </c>
      <c r="H560" s="4997"/>
      <c r="I560" s="4996"/>
      <c r="J560" s="5037"/>
      <c r="K560" s="4810">
        <f>note801.3_2</f>
        <v>0</v>
      </c>
      <c r="L560" s="4811"/>
      <c r="M560" s="2702" t="str">
        <f t="shared" si="54"/>
        <v/>
      </c>
      <c r="AB560" s="32">
        <f>IF(AND(I560&gt;0,I555&lt;4),1,0)</f>
        <v>0</v>
      </c>
    </row>
    <row r="561" spans="3:28" ht="16" thickBot="1">
      <c r="C561" s="2142" t="str">
        <f>IF(G561&gt;0,"P","")</f>
        <v/>
      </c>
      <c r="D561" s="433" t="s">
        <v>2797</v>
      </c>
      <c r="E561" s="2558" t="s">
        <v>412</v>
      </c>
      <c r="F561" s="309">
        <v>14</v>
      </c>
      <c r="G561" s="310">
        <f>IF(choice801.3_2="1.6 to &lt;2.0 gpm",14,0)</f>
        <v>0</v>
      </c>
      <c r="H561" s="5036"/>
      <c r="I561" s="4844"/>
      <c r="J561" s="4846"/>
      <c r="K561" s="4849"/>
      <c r="L561" s="4850"/>
      <c r="M561" s="2702" t="str">
        <f t="shared" si="54"/>
        <v/>
      </c>
    </row>
    <row r="562" spans="3:28" ht="31" thickTop="1">
      <c r="C562" s="2142" t="str">
        <f>IF(SUM(G563:G565)&gt;0,"P","")</f>
        <v/>
      </c>
      <c r="D562" s="433" t="s">
        <v>2797</v>
      </c>
      <c r="E562" s="2378" t="s">
        <v>2139</v>
      </c>
      <c r="F562" s="2110"/>
      <c r="G562" s="2111"/>
      <c r="H562" s="2112"/>
      <c r="I562" s="2112"/>
      <c r="J562" s="2112"/>
      <c r="K562" s="4847"/>
      <c r="L562" s="4848"/>
      <c r="M562" s="2702" t="str">
        <f t="shared" si="54"/>
        <v/>
      </c>
    </row>
    <row r="563" spans="3:28">
      <c r="C563" s="2142" t="str">
        <f t="shared" ref="C563:C565" si="56">IF(G563&gt;0,"P","")</f>
        <v/>
      </c>
      <c r="D563" s="433" t="s">
        <v>2797</v>
      </c>
      <c r="E563" s="2471" t="s">
        <v>1144</v>
      </c>
      <c r="F563" s="2554">
        <v>1</v>
      </c>
      <c r="G563" s="2555">
        <f>IF(choice801.3_3="1 shutoff",1,0)</f>
        <v>0</v>
      </c>
      <c r="H563" s="4997"/>
      <c r="I563" s="4996"/>
      <c r="J563" s="4996"/>
      <c r="K563" s="4810">
        <f>note801.3_3</f>
        <v>0</v>
      </c>
      <c r="L563" s="4811"/>
      <c r="M563" s="2702" t="str">
        <f t="shared" si="54"/>
        <v/>
      </c>
    </row>
    <row r="564" spans="3:28">
      <c r="C564" s="2142" t="str">
        <f t="shared" si="56"/>
        <v/>
      </c>
      <c r="D564" s="433" t="s">
        <v>2797</v>
      </c>
      <c r="E564" s="2471" t="s">
        <v>1145</v>
      </c>
      <c r="F564" s="2554">
        <v>2</v>
      </c>
      <c r="G564" s="2555">
        <f>IF(choice801.3_3="2 shutoffs",2,0)</f>
        <v>0</v>
      </c>
      <c r="H564" s="4998"/>
      <c r="I564" s="4843"/>
      <c r="J564" s="4843"/>
      <c r="K564" s="4491"/>
      <c r="L564" s="4833"/>
      <c r="M564" s="2702" t="str">
        <f t="shared" si="54"/>
        <v/>
      </c>
    </row>
    <row r="565" spans="3:28" ht="16" thickBot="1">
      <c r="C565" s="2142" t="str">
        <f t="shared" si="56"/>
        <v/>
      </c>
      <c r="D565" s="433" t="s">
        <v>2797</v>
      </c>
      <c r="E565" s="2558" t="s">
        <v>1146</v>
      </c>
      <c r="F565" s="309">
        <v>3</v>
      </c>
      <c r="G565" s="310">
        <f>IF(choice801.3_3="3 shutoffs",3,0)</f>
        <v>0</v>
      </c>
      <c r="H565" s="5036"/>
      <c r="I565" s="4844"/>
      <c r="J565" s="4844"/>
      <c r="K565" s="4849"/>
      <c r="L565" s="4850"/>
      <c r="M565" s="2702" t="str">
        <f t="shared" si="54"/>
        <v/>
      </c>
    </row>
    <row r="566" spans="3:28" ht="16" thickTop="1">
      <c r="D566" s="433" t="s">
        <v>2797</v>
      </c>
      <c r="E566" s="2480" t="s">
        <v>2155</v>
      </c>
      <c r="F566" s="246"/>
      <c r="G566" s="246"/>
      <c r="H566" s="1854"/>
      <c r="I566" s="1854"/>
      <c r="J566" s="1828"/>
      <c r="K566" s="4530"/>
      <c r="L566" s="4851"/>
      <c r="M566" s="2702" t="str">
        <f t="shared" si="54"/>
        <v/>
      </c>
    </row>
    <row r="567" spans="3:28" ht="45">
      <c r="C567" s="2142" t="str">
        <f>IF(SUM(G569:G572)&gt;0,"P","")</f>
        <v/>
      </c>
      <c r="D567" s="433" t="s">
        <v>2797</v>
      </c>
      <c r="E567" s="2378" t="s">
        <v>2156</v>
      </c>
      <c r="F567" s="2503"/>
      <c r="G567" s="2503"/>
      <c r="H567" s="2504"/>
      <c r="I567" s="2504"/>
      <c r="J567" s="2505"/>
      <c r="K567" s="4847"/>
      <c r="L567" s="4848"/>
      <c r="M567" s="2702" t="str">
        <f t="shared" si="54"/>
        <v/>
      </c>
    </row>
    <row r="568" spans="3:28">
      <c r="C568" s="2142" t="str">
        <f>IF(SUM(G569:G572)&gt;0,"P","")</f>
        <v/>
      </c>
      <c r="D568" s="433" t="s">
        <v>2797</v>
      </c>
      <c r="E568" s="2471" t="s">
        <v>2157</v>
      </c>
      <c r="F568" s="2110"/>
      <c r="G568" s="2111"/>
      <c r="H568" s="2112"/>
      <c r="I568" s="2112"/>
      <c r="J568" s="2112"/>
      <c r="K568" s="4847"/>
      <c r="L568" s="4848"/>
      <c r="M568" s="2702" t="str">
        <f t="shared" si="54"/>
        <v/>
      </c>
    </row>
    <row r="569" spans="3:28">
      <c r="C569" s="2142" t="str">
        <f t="shared" ref="C569:C576" si="57">IF(G569&gt;0,"P","")</f>
        <v/>
      </c>
      <c r="D569" s="433" t="s">
        <v>2797</v>
      </c>
      <c r="E569" s="2559" t="s">
        <v>2949</v>
      </c>
      <c r="F569" s="2554">
        <v>1</v>
      </c>
      <c r="G569" s="2555">
        <f>IF(choice801.4.1_1="1 bath",1,0)</f>
        <v>0</v>
      </c>
      <c r="H569" s="4997"/>
      <c r="I569" s="4996"/>
      <c r="J569" s="4996"/>
      <c r="K569" s="4810">
        <f>note801.4.1_1</f>
        <v>0</v>
      </c>
      <c r="L569" s="4811"/>
      <c r="M569" s="2702" t="str">
        <f t="shared" si="54"/>
        <v/>
      </c>
    </row>
    <row r="570" spans="3:28">
      <c r="C570" s="2142" t="str">
        <f t="shared" si="57"/>
        <v/>
      </c>
      <c r="D570" s="433" t="s">
        <v>2797</v>
      </c>
      <c r="E570" s="2559" t="s">
        <v>2950</v>
      </c>
      <c r="F570" s="2554">
        <v>2</v>
      </c>
      <c r="G570" s="2555">
        <f>IF(choice801.4.1_1="2 baths",2,0)</f>
        <v>0</v>
      </c>
      <c r="H570" s="4998"/>
      <c r="I570" s="4843"/>
      <c r="J570" s="4843"/>
      <c r="K570" s="4491"/>
      <c r="L570" s="4833"/>
      <c r="M570" s="2702" t="str">
        <f t="shared" si="54"/>
        <v/>
      </c>
    </row>
    <row r="571" spans="3:28">
      <c r="C571" s="2142" t="str">
        <f t="shared" si="57"/>
        <v/>
      </c>
      <c r="D571" s="433" t="s">
        <v>2797</v>
      </c>
      <c r="E571" s="2559" t="s">
        <v>2951</v>
      </c>
      <c r="F571" s="2554">
        <v>3</v>
      </c>
      <c r="G571" s="2555">
        <f>IF(choice801.4.1_1="3+ baths",3,0)</f>
        <v>0</v>
      </c>
      <c r="H571" s="4999"/>
      <c r="I571" s="5000"/>
      <c r="J571" s="5000"/>
      <c r="K571" s="4493"/>
      <c r="L571" s="4856"/>
      <c r="M571" s="2702" t="str">
        <f t="shared" si="54"/>
        <v/>
      </c>
    </row>
    <row r="572" spans="3:28">
      <c r="C572" s="2142" t="str">
        <f t="shared" si="57"/>
        <v/>
      </c>
      <c r="D572" s="433" t="s">
        <v>2797</v>
      </c>
      <c r="E572" s="2471" t="s">
        <v>2158</v>
      </c>
      <c r="F572" s="2554">
        <v>6</v>
      </c>
      <c r="G572" s="2380">
        <f>claim801.4.1_2</f>
        <v>0</v>
      </c>
      <c r="H572" s="2437"/>
      <c r="I572" s="2381"/>
      <c r="J572" s="2381"/>
      <c r="K572" s="4854">
        <f>note801.4.1_2</f>
        <v>0</v>
      </c>
      <c r="L572" s="4855"/>
      <c r="M572" s="2702" t="str">
        <f t="shared" si="54"/>
        <v/>
      </c>
      <c r="AB572" s="32">
        <f>IF(AND(I572&gt;0,I569=""),1,0)</f>
        <v>0</v>
      </c>
    </row>
    <row r="573" spans="3:28" ht="30">
      <c r="C573" s="2142" t="str">
        <f>IF(SUM(G574:G576)&gt;0,"P","")</f>
        <v/>
      </c>
      <c r="D573" s="433" t="s">
        <v>2797</v>
      </c>
      <c r="E573" s="2378" t="s">
        <v>2159</v>
      </c>
      <c r="F573" s="2110"/>
      <c r="G573" s="2111"/>
      <c r="H573" s="2112"/>
      <c r="I573" s="2112"/>
      <c r="J573" s="2112"/>
      <c r="K573" s="4847"/>
      <c r="L573" s="4848"/>
      <c r="M573" s="2702" t="str">
        <f t="shared" si="54"/>
        <v/>
      </c>
    </row>
    <row r="574" spans="3:28">
      <c r="C574" s="2142" t="str">
        <f t="shared" si="57"/>
        <v/>
      </c>
      <c r="D574" s="433" t="s">
        <v>2797</v>
      </c>
      <c r="E574" s="2560" t="s">
        <v>2946</v>
      </c>
      <c r="F574" s="2108">
        <v>1</v>
      </c>
      <c r="G574" s="2109">
        <f>IF(choice801.4.2="1 fixture",1,0)</f>
        <v>0</v>
      </c>
      <c r="H574" s="4998"/>
      <c r="I574" s="4843"/>
      <c r="J574" s="4845"/>
      <c r="K574" s="4491">
        <f>note801.4.2</f>
        <v>0</v>
      </c>
      <c r="L574" s="4833"/>
      <c r="M574" s="2702" t="str">
        <f t="shared" si="54"/>
        <v/>
      </c>
    </row>
    <row r="575" spans="3:28">
      <c r="C575" s="2142" t="str">
        <f t="shared" si="57"/>
        <v/>
      </c>
      <c r="D575" s="433" t="s">
        <v>2797</v>
      </c>
      <c r="E575" s="2471" t="s">
        <v>2947</v>
      </c>
      <c r="F575" s="2554">
        <v>2</v>
      </c>
      <c r="G575" s="2555">
        <f>IF(choice801.4.2="2 fixtures",2,0)</f>
        <v>0</v>
      </c>
      <c r="H575" s="4998"/>
      <c r="I575" s="4843"/>
      <c r="J575" s="4845"/>
      <c r="K575" s="4491"/>
      <c r="L575" s="4833"/>
      <c r="M575" s="2702" t="str">
        <f t="shared" si="54"/>
        <v/>
      </c>
    </row>
    <row r="576" spans="3:28" ht="16" thickBot="1">
      <c r="C576" s="2142" t="str">
        <f t="shared" si="57"/>
        <v/>
      </c>
      <c r="D576" s="433" t="s">
        <v>2797</v>
      </c>
      <c r="E576" s="2558" t="s">
        <v>2948</v>
      </c>
      <c r="F576" s="309">
        <v>3</v>
      </c>
      <c r="G576" s="310">
        <f>IF(choice801.4.2="3 fixtures",3,0)</f>
        <v>0</v>
      </c>
      <c r="H576" s="5036"/>
      <c r="I576" s="4844"/>
      <c r="J576" s="4846"/>
      <c r="K576" s="4849"/>
      <c r="L576" s="4850"/>
      <c r="M576" s="2702" t="str">
        <f t="shared" si="54"/>
        <v/>
      </c>
    </row>
    <row r="577" spans="3:28" ht="16" thickTop="1">
      <c r="D577" s="433" t="s">
        <v>2797</v>
      </c>
      <c r="E577" s="2480" t="s">
        <v>2160</v>
      </c>
      <c r="F577" s="246"/>
      <c r="G577" s="246"/>
      <c r="H577" s="1854"/>
      <c r="I577" s="1854"/>
      <c r="J577" s="1828"/>
      <c r="K577" s="4516"/>
      <c r="L577" s="4853"/>
      <c r="M577" s="2702" t="str">
        <f t="shared" si="54"/>
        <v/>
      </c>
    </row>
    <row r="578" spans="3:28" ht="45">
      <c r="C578" s="2142" t="s">
        <v>2800</v>
      </c>
      <c r="D578" s="433" t="s">
        <v>2797</v>
      </c>
      <c r="E578" s="2378" t="s">
        <v>2977</v>
      </c>
      <c r="F578" s="2442" t="s">
        <v>642</v>
      </c>
      <c r="G578" s="2528" t="str">
        <f>claim801.5_1</f>
        <v>Not Eligible for Gold or Emerald</v>
      </c>
      <c r="H578" s="2437"/>
      <c r="I578" s="2531"/>
      <c r="J578" s="2531"/>
      <c r="K578" s="4854">
        <f>note801.5_1</f>
        <v>0</v>
      </c>
      <c r="L578" s="4855"/>
      <c r="M578" s="2702" t="str">
        <f t="shared" si="54"/>
        <v/>
      </c>
      <c r="AB578" s="32">
        <f>IF(AND(I578&lt;&gt;"Not Seeking Gold or Emerald",I580&lt;&gt;11,ReportType="Final"),1,0)</f>
        <v>0</v>
      </c>
    </row>
    <row r="579" spans="3:28" ht="85.5" customHeight="1">
      <c r="C579" s="2142" t="str">
        <f>IF(SUM(G580:G583)&gt;0,"P","")</f>
        <v/>
      </c>
      <c r="D579" s="433" t="s">
        <v>2797</v>
      </c>
      <c r="E579" s="2378" t="s">
        <v>2978</v>
      </c>
      <c r="F579" s="2484"/>
      <c r="G579" s="2111"/>
      <c r="H579" s="2112"/>
      <c r="I579" s="2112"/>
      <c r="J579" s="2640" t="str">
        <f>IF(af801.5_2=11,"Please be sure all toilets in the building comply","")</f>
        <v/>
      </c>
      <c r="K579" s="4847"/>
      <c r="L579" s="4848"/>
      <c r="M579" s="2702" t="str">
        <f t="shared" si="54"/>
        <v/>
      </c>
    </row>
    <row r="580" spans="3:28">
      <c r="C580" s="2142" t="str">
        <f t="shared" ref="C580:C611" si="58">IF(G580&gt;0,"P","")</f>
        <v/>
      </c>
      <c r="D580" s="433" t="s">
        <v>2797</v>
      </c>
      <c r="E580" s="2471" t="s">
        <v>2946</v>
      </c>
      <c r="F580" s="2379">
        <v>2</v>
      </c>
      <c r="G580" s="2555">
        <f>IF(AND(choice801.5_2="1 fixture",claim801.5_3&lt;&gt;"All fixtures comply"),2,0)</f>
        <v>0</v>
      </c>
      <c r="H580" s="4997"/>
      <c r="I580" s="4996"/>
      <c r="J580" s="5037"/>
      <c r="K580" s="4810">
        <f>note801.5_2</f>
        <v>0</v>
      </c>
      <c r="L580" s="4811"/>
      <c r="M580" s="2702" t="str">
        <f t="shared" si="54"/>
        <v/>
      </c>
    </row>
    <row r="581" spans="3:28">
      <c r="C581" s="2142" t="str">
        <f t="shared" si="58"/>
        <v/>
      </c>
      <c r="D581" s="433" t="s">
        <v>2797</v>
      </c>
      <c r="E581" s="2471" t="s">
        <v>2947</v>
      </c>
      <c r="F581" s="2379">
        <v>4</v>
      </c>
      <c r="G581" s="2555">
        <f>IF(AND(choice801.5_2="2 fixtures",claim801.5_3&lt;&gt;"All fixtures comply"),4,0)</f>
        <v>0</v>
      </c>
      <c r="H581" s="4998"/>
      <c r="I581" s="4843"/>
      <c r="J581" s="4845"/>
      <c r="K581" s="4491"/>
      <c r="L581" s="4833"/>
      <c r="M581" s="2702" t="str">
        <f t="shared" si="54"/>
        <v/>
      </c>
    </row>
    <row r="582" spans="3:28">
      <c r="C582" s="2142" t="str">
        <f t="shared" si="58"/>
        <v/>
      </c>
      <c r="D582" s="433" t="s">
        <v>2797</v>
      </c>
      <c r="E582" s="2471" t="s">
        <v>2948</v>
      </c>
      <c r="F582" s="2379">
        <v>6</v>
      </c>
      <c r="G582" s="2555">
        <f>IF(AND(choice801.5_2="3+ fixtures",claim801.5_3&lt;&gt;"All fixtures comply"),6,0)</f>
        <v>0</v>
      </c>
      <c r="H582" s="4998"/>
      <c r="I582" s="4843"/>
      <c r="J582" s="5038"/>
      <c r="K582" s="4493"/>
      <c r="L582" s="4856"/>
      <c r="M582" s="2702" t="str">
        <f t="shared" si="54"/>
        <v/>
      </c>
    </row>
    <row r="583" spans="3:28" ht="30">
      <c r="C583" s="2142" t="str">
        <f t="shared" si="58"/>
        <v/>
      </c>
      <c r="D583" s="433" t="s">
        <v>2797</v>
      </c>
      <c r="E583" s="2378" t="s">
        <v>2944</v>
      </c>
      <c r="F583" s="2554">
        <v>11</v>
      </c>
      <c r="G583" s="2450">
        <f>IF(claim801.5_3="All fixtures comply",11,0)</f>
        <v>0</v>
      </c>
      <c r="H583" s="4999"/>
      <c r="I583" s="5465"/>
      <c r="J583" s="2381"/>
      <c r="K583" s="4854">
        <f>note801.5_3</f>
        <v>0</v>
      </c>
      <c r="L583" s="4855"/>
      <c r="M583" s="2702" t="str">
        <f t="shared" si="54"/>
        <v/>
      </c>
    </row>
    <row r="584" spans="3:28" ht="45">
      <c r="C584" s="2142" t="str">
        <f>IF(SUM(G585:G587)&gt;0,"P","")</f>
        <v/>
      </c>
      <c r="D584" s="433" t="s">
        <v>2797</v>
      </c>
      <c r="E584" s="2378" t="s">
        <v>2945</v>
      </c>
      <c r="F584" s="2110"/>
      <c r="G584" s="2485"/>
      <c r="H584" s="2438"/>
      <c r="I584" s="2438"/>
      <c r="J584" s="2438"/>
      <c r="K584" s="4954"/>
      <c r="L584" s="4955"/>
      <c r="M584" s="2702" t="str">
        <f t="shared" si="54"/>
        <v/>
      </c>
    </row>
    <row r="585" spans="3:28">
      <c r="C585" s="2142" t="str">
        <f t="shared" si="58"/>
        <v/>
      </c>
      <c r="D585" s="433" t="s">
        <v>2797</v>
      </c>
      <c r="E585" s="2471" t="s">
        <v>1133</v>
      </c>
      <c r="F585" s="2554">
        <v>1</v>
      </c>
      <c r="G585" s="2380">
        <f>IF(choice801.5_3a="1 fixture",1,0)</f>
        <v>0</v>
      </c>
      <c r="H585" s="4834"/>
      <c r="I585" s="4910"/>
      <c r="J585" s="4909"/>
      <c r="K585" s="4810">
        <f>note801.5_3a</f>
        <v>0</v>
      </c>
      <c r="L585" s="4811"/>
      <c r="M585" s="2702" t="str">
        <f t="shared" si="54"/>
        <v/>
      </c>
    </row>
    <row r="586" spans="3:28">
      <c r="C586" s="2142" t="str">
        <f t="shared" si="58"/>
        <v/>
      </c>
      <c r="D586" s="433" t="s">
        <v>2797</v>
      </c>
      <c r="E586" s="2471" t="s">
        <v>1134</v>
      </c>
      <c r="F586" s="2554">
        <v>2</v>
      </c>
      <c r="G586" s="2380">
        <f>IF(choice801.5_3a="2 fixtures",2,0)</f>
        <v>0</v>
      </c>
      <c r="H586" s="4839"/>
      <c r="I586" s="4946"/>
      <c r="J586" s="4892"/>
      <c r="K586" s="4491"/>
      <c r="L586" s="4833"/>
      <c r="M586" s="2702" t="str">
        <f t="shared" si="54"/>
        <v/>
      </c>
    </row>
    <row r="587" spans="3:28">
      <c r="C587" s="2142" t="str">
        <f t="shared" si="58"/>
        <v/>
      </c>
      <c r="D587" s="433" t="s">
        <v>2797</v>
      </c>
      <c r="E587" s="2471" t="s">
        <v>1156</v>
      </c>
      <c r="F587" s="2554">
        <v>3</v>
      </c>
      <c r="G587" s="2380">
        <f>IF(choice801.5_3a="3+ fixtures",3,0)</f>
        <v>0</v>
      </c>
      <c r="H587" s="4933"/>
      <c r="I587" s="4951"/>
      <c r="J587" s="4956"/>
      <c r="K587" s="4493"/>
      <c r="L587" s="4856"/>
      <c r="M587" s="2702" t="str">
        <f t="shared" si="54"/>
        <v/>
      </c>
    </row>
    <row r="588" spans="3:28" ht="45">
      <c r="C588" s="2142" t="str">
        <f t="shared" si="58"/>
        <v/>
      </c>
      <c r="D588" s="433" t="s">
        <v>2797</v>
      </c>
      <c r="E588" s="2378" t="s">
        <v>2827</v>
      </c>
      <c r="F588" s="2554">
        <v>8</v>
      </c>
      <c r="G588" s="2380">
        <f>claim801.5_3b</f>
        <v>0</v>
      </c>
      <c r="H588" s="2437"/>
      <c r="I588" s="2381"/>
      <c r="J588" s="2381"/>
      <c r="K588" s="4854">
        <f>note801.5_3b</f>
        <v>0</v>
      </c>
      <c r="L588" s="4855"/>
      <c r="M588" s="2702" t="str">
        <f t="shared" si="54"/>
        <v/>
      </c>
    </row>
    <row r="589" spans="3:28" ht="31" thickBot="1">
      <c r="C589" s="2142" t="str">
        <f t="shared" si="58"/>
        <v/>
      </c>
      <c r="D589" s="433" t="s">
        <v>2797</v>
      </c>
      <c r="E589" s="2384" t="s">
        <v>2828</v>
      </c>
      <c r="F589" s="2556">
        <v>6</v>
      </c>
      <c r="G589" s="2334">
        <f>claim801.5_3c</f>
        <v>0</v>
      </c>
      <c r="H589" s="2054"/>
      <c r="I589" s="2350"/>
      <c r="J589" s="2350"/>
      <c r="K589" s="4810">
        <f>note801.5_3c</f>
        <v>0</v>
      </c>
      <c r="L589" s="4811"/>
      <c r="M589" s="2702" t="str">
        <f t="shared" si="54"/>
        <v/>
      </c>
    </row>
    <row r="590" spans="3:28" ht="16" thickTop="1">
      <c r="C590" s="2142" t="str">
        <f>IF(SUM(G591:G598)&gt;0,"P","")</f>
        <v/>
      </c>
      <c r="D590" s="433" t="s">
        <v>2797</v>
      </c>
      <c r="E590" s="2422" t="s">
        <v>2167</v>
      </c>
      <c r="F590" s="264"/>
      <c r="G590" s="264"/>
      <c r="H590" s="1855"/>
      <c r="I590" s="1855"/>
      <c r="J590" s="1837"/>
      <c r="K590" s="4516"/>
      <c r="L590" s="4853"/>
      <c r="M590" s="2702" t="str">
        <f t="shared" si="54"/>
        <v/>
      </c>
    </row>
    <row r="591" spans="3:28" ht="31" thickBot="1">
      <c r="C591" s="2142" t="str">
        <f t="shared" si="58"/>
        <v/>
      </c>
      <c r="D591" s="433" t="s">
        <v>2797</v>
      </c>
      <c r="E591" s="2378" t="s">
        <v>2168</v>
      </c>
      <c r="F591" s="2390">
        <v>6</v>
      </c>
      <c r="G591" s="2073">
        <f>claim801.6.1</f>
        <v>0</v>
      </c>
      <c r="H591" s="2437"/>
      <c r="I591" s="2395"/>
      <c r="J591" s="2395"/>
      <c r="K591" s="4854">
        <f>note801.6.1</f>
        <v>0</v>
      </c>
      <c r="L591" s="4855"/>
      <c r="M591" s="2702" t="str">
        <f t="shared" si="54"/>
        <v/>
      </c>
    </row>
    <row r="592" spans="3:28" ht="16" thickBot="1">
      <c r="C592" s="2142" t="str">
        <f t="shared" si="58"/>
        <v/>
      </c>
      <c r="D592" s="433" t="s">
        <v>2797</v>
      </c>
      <c r="E592" s="2561" t="s">
        <v>2169</v>
      </c>
      <c r="F592" s="311">
        <v>4</v>
      </c>
      <c r="G592" s="312">
        <f>claim801.6.2_1</f>
        <v>0</v>
      </c>
      <c r="H592" s="2057"/>
      <c r="I592" s="1899"/>
      <c r="J592" s="1899"/>
      <c r="K592" s="4576">
        <f>note801.6.2_1</f>
        <v>0</v>
      </c>
      <c r="L592" s="5043"/>
      <c r="M592" s="2702" t="str">
        <f t="shared" si="54"/>
        <v/>
      </c>
      <c r="AB592" s="32">
        <f>IF(AND(I592&gt;0,$I$598&gt;0),1,0)</f>
        <v>0</v>
      </c>
    </row>
    <row r="593" spans="3:29" ht="16" thickBot="1">
      <c r="C593" s="2142" t="str">
        <f t="shared" si="58"/>
        <v/>
      </c>
      <c r="D593" s="433" t="s">
        <v>2797</v>
      </c>
      <c r="E593" s="2518" t="s">
        <v>2170</v>
      </c>
      <c r="F593" s="2346">
        <v>4</v>
      </c>
      <c r="G593" s="2340">
        <f>claim801.6.2_2</f>
        <v>0</v>
      </c>
      <c r="H593" s="2038"/>
      <c r="I593" s="1899"/>
      <c r="J593" s="2351"/>
      <c r="K593" s="4854">
        <f>note801.6.2_2</f>
        <v>0</v>
      </c>
      <c r="L593" s="4855"/>
      <c r="M593" s="2702" t="str">
        <f t="shared" ref="M593:M656" si="59">IF(AND(ReportType="Rough",SUM(X593,Y593,Z593,AB593,AC593,AD593,AE593)&gt;0),"!",IF(AND(ReportType="Final", SUM(X593,Y593,AA593,AB593,AC593,AD593,AE593)&gt;0),"!",""))</f>
        <v/>
      </c>
      <c r="AB593" s="32">
        <f>IF(AND(I593&gt;0,$I$598&gt;0),1,0)</f>
        <v>0</v>
      </c>
    </row>
    <row r="594" spans="3:29" ht="31" thickBot="1">
      <c r="C594" s="2142" t="str">
        <f t="shared" si="58"/>
        <v/>
      </c>
      <c r="D594" s="433" t="s">
        <v>2797</v>
      </c>
      <c r="E594" s="2518" t="s">
        <v>2171</v>
      </c>
      <c r="F594" s="2346">
        <v>5</v>
      </c>
      <c r="G594" s="2340">
        <f>claim801.6.3</f>
        <v>0</v>
      </c>
      <c r="H594" s="2038"/>
      <c r="I594" s="1899"/>
      <c r="J594" s="2351"/>
      <c r="K594" s="4854">
        <f>note801.6.3</f>
        <v>0</v>
      </c>
      <c r="L594" s="4855"/>
      <c r="M594" s="2702" t="str">
        <f t="shared" si="59"/>
        <v/>
      </c>
      <c r="AB594" s="32">
        <f>IF(AND(I594&gt;0,$I$598&gt;0),1,0)</f>
        <v>0</v>
      </c>
    </row>
    <row r="595" spans="3:29" ht="30">
      <c r="C595" s="2142" t="str">
        <f t="shared" si="58"/>
        <v/>
      </c>
      <c r="D595" s="433" t="s">
        <v>2797</v>
      </c>
      <c r="E595" s="2378" t="s">
        <v>2172</v>
      </c>
      <c r="F595" s="2562">
        <v>10</v>
      </c>
      <c r="G595" s="2473">
        <f>claim801.6.4</f>
        <v>0</v>
      </c>
      <c r="H595" s="2563"/>
      <c r="I595" s="1899"/>
      <c r="J595" s="2474"/>
      <c r="K595" s="4854">
        <f>note801.6.4</f>
        <v>0</v>
      </c>
      <c r="L595" s="4855"/>
      <c r="M595" s="2702" t="str">
        <f t="shared" si="59"/>
        <v/>
      </c>
      <c r="AB595" s="32">
        <f>IF(AND(I595&gt;0,$I$598&gt;0),1,0)</f>
        <v>0</v>
      </c>
    </row>
    <row r="596" spans="3:29">
      <c r="C596" s="2142" t="str">
        <f>IF(SUM(G597:G598)&gt;0,"P","")</f>
        <v/>
      </c>
      <c r="D596" s="433" t="s">
        <v>2797</v>
      </c>
      <c r="E596" s="2378" t="s">
        <v>2173</v>
      </c>
      <c r="F596" s="2564"/>
      <c r="G596" s="2565"/>
      <c r="H596" s="2566"/>
      <c r="I596" s="2566"/>
      <c r="J596" s="2566"/>
      <c r="K596" s="4954"/>
      <c r="L596" s="4955"/>
      <c r="M596" s="2702" t="str">
        <f t="shared" si="59"/>
        <v/>
      </c>
    </row>
    <row r="597" spans="3:29" ht="30">
      <c r="C597" s="2142" t="str">
        <f t="shared" si="58"/>
        <v/>
      </c>
      <c r="D597" s="433" t="s">
        <v>2797</v>
      </c>
      <c r="E597" s="2471" t="s">
        <v>2856</v>
      </c>
      <c r="F597" s="2396">
        <v>8</v>
      </c>
      <c r="G597" s="2555">
        <f>claim801.6.5_1</f>
        <v>0</v>
      </c>
      <c r="H597" s="2349"/>
      <c r="I597" s="2348"/>
      <c r="J597" s="2348"/>
      <c r="K597" s="4854">
        <f>note801.6.5_1</f>
        <v>0</v>
      </c>
      <c r="L597" s="4855"/>
      <c r="M597" s="2702" t="str">
        <f t="shared" si="59"/>
        <v/>
      </c>
      <c r="AB597" s="32">
        <f>IF(AND(I597&gt;0,$I$598&gt;0),1,0)</f>
        <v>0</v>
      </c>
    </row>
    <row r="598" spans="3:29" ht="46" thickBot="1">
      <c r="C598" s="2142" t="str">
        <f t="shared" si="58"/>
        <v/>
      </c>
      <c r="D598" s="433" t="s">
        <v>2797</v>
      </c>
      <c r="E598" s="2558" t="s">
        <v>3008</v>
      </c>
      <c r="F598" s="259">
        <v>15</v>
      </c>
      <c r="G598" s="310">
        <f>claim801.6.5_3</f>
        <v>0</v>
      </c>
      <c r="H598" s="2058"/>
      <c r="I598" s="1901"/>
      <c r="J598" s="1901"/>
      <c r="K598" s="4526">
        <f>note801.6.5_3</f>
        <v>0</v>
      </c>
      <c r="L598" s="4852"/>
      <c r="M598" s="2702" t="str">
        <f t="shared" si="59"/>
        <v/>
      </c>
      <c r="AB598" s="32">
        <f>IF(AND(I598&gt;0,SUM(I63,I68,I73,I65)&lt;5),1,0)</f>
        <v>0</v>
      </c>
      <c r="AC598" s="32">
        <f>IF(AND($I$598&gt;0,SUM($I$591:$I$597)&gt;0),1,0)</f>
        <v>0</v>
      </c>
    </row>
    <row r="599" spans="3:29" ht="16" thickTop="1">
      <c r="C599" s="2142" t="str">
        <f>IF(SUM(G600:G610)&gt;0,"P","")</f>
        <v/>
      </c>
      <c r="D599" s="433" t="s">
        <v>2797</v>
      </c>
      <c r="E599" s="2422" t="s">
        <v>2183</v>
      </c>
      <c r="F599" s="264"/>
      <c r="G599" s="264"/>
      <c r="H599" s="1855"/>
      <c r="I599" s="1855"/>
      <c r="J599" s="1837"/>
      <c r="K599" s="4516"/>
      <c r="L599" s="4853"/>
      <c r="M599" s="2702" t="str">
        <f t="shared" si="59"/>
        <v/>
      </c>
    </row>
    <row r="600" spans="3:29" ht="30">
      <c r="C600" s="2142" t="str">
        <f t="shared" si="58"/>
        <v/>
      </c>
      <c r="D600" s="433" t="s">
        <v>2797</v>
      </c>
      <c r="E600" s="2378" t="s">
        <v>2175</v>
      </c>
      <c r="F600" s="2396">
        <v>5</v>
      </c>
      <c r="G600" s="2380">
        <f>IF(choice801.7.1="Without impermeable water storage",5,0)</f>
        <v>0</v>
      </c>
      <c r="H600" s="2054"/>
      <c r="I600" s="4910"/>
      <c r="J600" s="4909"/>
      <c r="K600" s="4810">
        <f>note801.7.1</f>
        <v>0</v>
      </c>
      <c r="L600" s="4811"/>
      <c r="M600" s="2702" t="str">
        <f t="shared" si="59"/>
        <v/>
      </c>
    </row>
    <row r="601" spans="3:29">
      <c r="C601" s="2142" t="str">
        <f>IF(SUM(G602:G605)&gt;0,"P","")</f>
        <v/>
      </c>
      <c r="D601" s="433" t="s">
        <v>2797</v>
      </c>
      <c r="E601" s="2384" t="s">
        <v>2176</v>
      </c>
      <c r="F601" s="2567"/>
      <c r="G601" s="2468"/>
      <c r="H601" s="2059"/>
      <c r="I601" s="4946"/>
      <c r="J601" s="4892"/>
      <c r="K601" s="4491"/>
      <c r="L601" s="4833"/>
      <c r="M601" s="2702" t="str">
        <f t="shared" si="59"/>
        <v/>
      </c>
    </row>
    <row r="602" spans="3:29">
      <c r="C602" s="2142" t="str">
        <f t="shared" si="58"/>
        <v/>
      </c>
      <c r="D602" s="433" t="s">
        <v>2797</v>
      </c>
      <c r="E602" s="2471" t="s">
        <v>2179</v>
      </c>
      <c r="F602" s="2562">
        <v>5</v>
      </c>
      <c r="G602" s="2528">
        <f>IF(choice801.7.1="50-499 gal. impermeable storage",5,0)</f>
        <v>0</v>
      </c>
      <c r="H602" s="4839"/>
      <c r="I602" s="4946"/>
      <c r="J602" s="4892"/>
      <c r="K602" s="4491"/>
      <c r="L602" s="4833"/>
      <c r="M602" s="2702" t="str">
        <f t="shared" si="59"/>
        <v/>
      </c>
    </row>
    <row r="603" spans="3:29">
      <c r="C603" s="2142" t="str">
        <f t="shared" si="58"/>
        <v/>
      </c>
      <c r="D603" s="433" t="s">
        <v>2797</v>
      </c>
      <c r="E603" s="2471" t="s">
        <v>2178</v>
      </c>
      <c r="F603" s="2562">
        <v>10</v>
      </c>
      <c r="G603" s="2528">
        <f>IF(choice801.7.1="500-2499 gal. impermeable storage",10,0)</f>
        <v>0</v>
      </c>
      <c r="H603" s="4839"/>
      <c r="I603" s="4946"/>
      <c r="J603" s="4892"/>
      <c r="K603" s="4491"/>
      <c r="L603" s="4833"/>
      <c r="M603" s="2702" t="str">
        <f t="shared" si="59"/>
        <v/>
      </c>
    </row>
    <row r="604" spans="3:29">
      <c r="C604" s="2142" t="str">
        <f t="shared" si="58"/>
        <v/>
      </c>
      <c r="D604" s="433" t="s">
        <v>2797</v>
      </c>
      <c r="E604" s="2471" t="s">
        <v>2181</v>
      </c>
      <c r="F604" s="2562">
        <v>15</v>
      </c>
      <c r="G604" s="2528">
        <f>IF(choice801.7.1="2500+ gal. impermeable storage",15,0)</f>
        <v>0</v>
      </c>
      <c r="H604" s="4839"/>
      <c r="I604" s="4946"/>
      <c r="J604" s="4892"/>
      <c r="K604" s="4491"/>
      <c r="L604" s="4833"/>
      <c r="M604" s="2702" t="str">
        <f t="shared" si="59"/>
        <v/>
      </c>
    </row>
    <row r="605" spans="3:29">
      <c r="C605" s="2142" t="str">
        <f t="shared" si="58"/>
        <v/>
      </c>
      <c r="D605" s="433" t="s">
        <v>2797</v>
      </c>
      <c r="E605" s="2549" t="s">
        <v>2177</v>
      </c>
      <c r="F605" s="2568">
        <v>25</v>
      </c>
      <c r="G605" s="2356">
        <f>IF(choice801.7.1="All irrigation demands met by rainwater capture",25,0)</f>
        <v>0</v>
      </c>
      <c r="H605" s="4933"/>
      <c r="I605" s="4951"/>
      <c r="J605" s="4956"/>
      <c r="K605" s="4491"/>
      <c r="L605" s="4833"/>
      <c r="M605" s="2702" t="str">
        <f t="shared" si="59"/>
        <v/>
      </c>
    </row>
    <row r="606" spans="3:29" ht="45">
      <c r="C606" s="2142" t="str">
        <f>IF(SUM(G607:G610)&gt;0,"P","")</f>
        <v/>
      </c>
      <c r="D606" s="433" t="s">
        <v>2797</v>
      </c>
      <c r="E606" s="2388" t="s">
        <v>2182</v>
      </c>
      <c r="F606" s="2567"/>
      <c r="G606" s="2468"/>
      <c r="H606" s="2407"/>
      <c r="I606" s="2407"/>
      <c r="J606" s="2407"/>
      <c r="K606" s="4954"/>
      <c r="L606" s="4955"/>
      <c r="M606" s="2702" t="str">
        <f t="shared" si="59"/>
        <v/>
      </c>
    </row>
    <row r="607" spans="3:29">
      <c r="C607" s="2142" t="str">
        <f t="shared" si="58"/>
        <v/>
      </c>
      <c r="D607" s="433" t="s">
        <v>2797</v>
      </c>
      <c r="E607" s="2378" t="s">
        <v>1216</v>
      </c>
      <c r="F607" s="2562">
        <v>5</v>
      </c>
      <c r="G607" s="2528">
        <f>IF(choice801.7.2=E607,5,0)</f>
        <v>0</v>
      </c>
      <c r="H607" s="4834"/>
      <c r="I607" s="4940"/>
      <c r="J607" s="4940"/>
      <c r="K607" s="4810">
        <f>note801.7.2</f>
        <v>0</v>
      </c>
      <c r="L607" s="4811"/>
      <c r="M607" s="2702" t="str">
        <f t="shared" si="59"/>
        <v/>
      </c>
    </row>
    <row r="608" spans="3:29">
      <c r="C608" s="2142" t="str">
        <f t="shared" si="58"/>
        <v/>
      </c>
      <c r="D608" s="433" t="s">
        <v>2797</v>
      </c>
      <c r="E608" s="2378" t="s">
        <v>1217</v>
      </c>
      <c r="F608" s="2562">
        <v>10</v>
      </c>
      <c r="G608" s="2528">
        <f>IF(choice801.7.2=E608,10,0)</f>
        <v>0</v>
      </c>
      <c r="H608" s="4839"/>
      <c r="I608" s="5010"/>
      <c r="J608" s="5010"/>
      <c r="K608" s="4491"/>
      <c r="L608" s="4833"/>
      <c r="M608" s="2702" t="str">
        <f t="shared" si="59"/>
        <v/>
      </c>
    </row>
    <row r="609" spans="3:28">
      <c r="C609" s="2142" t="str">
        <f t="shared" si="58"/>
        <v/>
      </c>
      <c r="D609" s="433" t="s">
        <v>2797</v>
      </c>
      <c r="E609" s="2378" t="s">
        <v>1218</v>
      </c>
      <c r="F609" s="2562">
        <v>15</v>
      </c>
      <c r="G609" s="2528">
        <f>IF(choice801.7.2=E609,15,0)</f>
        <v>0</v>
      </c>
      <c r="H609" s="4839"/>
      <c r="I609" s="5010"/>
      <c r="J609" s="5010"/>
      <c r="K609" s="4491"/>
      <c r="L609" s="4833"/>
      <c r="M609" s="2702" t="str">
        <f t="shared" si="59"/>
        <v/>
      </c>
    </row>
    <row r="610" spans="3:28" ht="16" thickBot="1">
      <c r="C610" s="2142" t="str">
        <f t="shared" si="58"/>
        <v/>
      </c>
      <c r="D610" s="433" t="s">
        <v>2797</v>
      </c>
      <c r="E610" s="2420" t="s">
        <v>1219</v>
      </c>
      <c r="F610" s="1505">
        <v>25</v>
      </c>
      <c r="G610" s="1506">
        <f>IF(choice801.7.2=E610,25,0)</f>
        <v>0</v>
      </c>
      <c r="H610" s="4835"/>
      <c r="I610" s="5062"/>
      <c r="J610" s="5062"/>
      <c r="K610" s="4849"/>
      <c r="L610" s="4850"/>
      <c r="M610" s="2702" t="str">
        <f t="shared" si="59"/>
        <v/>
      </c>
    </row>
    <row r="611" spans="3:28" ht="31" thickTop="1">
      <c r="C611" s="2142" t="str">
        <f t="shared" si="58"/>
        <v/>
      </c>
      <c r="D611" s="433" t="s">
        <v>2797</v>
      </c>
      <c r="E611" s="2445" t="s">
        <v>2184</v>
      </c>
      <c r="F611" s="313">
        <v>1</v>
      </c>
      <c r="G611" s="2335">
        <f>claim801.8</f>
        <v>0</v>
      </c>
      <c r="H611" s="2059"/>
      <c r="I611" s="1888"/>
      <c r="J611" s="1888"/>
      <c r="K611" s="4491">
        <f>note801.8</f>
        <v>0</v>
      </c>
      <c r="L611" s="4833"/>
      <c r="M611" s="2702" t="str">
        <f t="shared" si="59"/>
        <v/>
      </c>
    </row>
    <row r="612" spans="3:28">
      <c r="E612" s="4918" t="s">
        <v>643</v>
      </c>
      <c r="F612" s="4919"/>
      <c r="G612" s="4919"/>
      <c r="H612" s="4919"/>
      <c r="I612" s="4919"/>
      <c r="J612" s="4919"/>
      <c r="K612" s="4919"/>
      <c r="L612" s="4920"/>
      <c r="M612" s="2702" t="str">
        <f t="shared" si="59"/>
        <v/>
      </c>
    </row>
    <row r="613" spans="3:28">
      <c r="C613" s="2142" t="str">
        <f>IF(SUM(G614:G618)&gt;0,"P","")</f>
        <v/>
      </c>
      <c r="D613" s="433" t="s">
        <v>2797</v>
      </c>
      <c r="E613" s="2480" t="s">
        <v>2185</v>
      </c>
      <c r="F613" s="246"/>
      <c r="G613" s="246"/>
      <c r="H613" s="1854"/>
      <c r="I613" s="1854"/>
      <c r="J613" s="1828"/>
      <c r="K613" s="4530"/>
      <c r="L613" s="4851"/>
      <c r="M613" s="2702" t="str">
        <f t="shared" si="59"/>
        <v/>
      </c>
    </row>
    <row r="614" spans="3:28">
      <c r="C614" s="2142" t="str">
        <f t="shared" ref="C614:C624" si="60">IF(G614&gt;0,"P","")</f>
        <v/>
      </c>
      <c r="D614" s="433" t="s">
        <v>2797</v>
      </c>
      <c r="E614" s="2378" t="s">
        <v>1181</v>
      </c>
      <c r="F614" s="2396">
        <v>5</v>
      </c>
      <c r="G614" s="2555">
        <f>IF(choice802.1=E614,5,0)</f>
        <v>0</v>
      </c>
      <c r="H614" s="4997"/>
      <c r="I614" s="4996"/>
      <c r="J614" s="5037"/>
      <c r="K614" s="4810">
        <f>note802.1</f>
        <v>0</v>
      </c>
      <c r="L614" s="4811"/>
      <c r="M614" s="2702" t="str">
        <f t="shared" si="59"/>
        <v/>
      </c>
    </row>
    <row r="615" spans="3:28">
      <c r="C615" s="2142" t="str">
        <f t="shared" si="60"/>
        <v/>
      </c>
      <c r="D615" s="433" t="s">
        <v>2797</v>
      </c>
      <c r="E615" s="2384" t="s">
        <v>1182</v>
      </c>
      <c r="F615" s="2345">
        <v>10</v>
      </c>
      <c r="G615" s="2557">
        <f>IF(choice802.1=E615,10,0)</f>
        <v>0</v>
      </c>
      <c r="H615" s="4998"/>
      <c r="I615" s="4843"/>
      <c r="J615" s="4845"/>
      <c r="K615" s="4491"/>
      <c r="L615" s="4833"/>
      <c r="M615" s="2702" t="str">
        <f t="shared" si="59"/>
        <v/>
      </c>
    </row>
    <row r="616" spans="3:28">
      <c r="C616" s="2142" t="str">
        <f t="shared" si="60"/>
        <v/>
      </c>
      <c r="D616" s="433" t="s">
        <v>2797</v>
      </c>
      <c r="E616" s="2384" t="s">
        <v>1183</v>
      </c>
      <c r="F616" s="2345">
        <v>15</v>
      </c>
      <c r="G616" s="2557">
        <f>IF(choice802.1=E616,15,0)</f>
        <v>0</v>
      </c>
      <c r="H616" s="4998"/>
      <c r="I616" s="4843"/>
      <c r="J616" s="4845"/>
      <c r="K616" s="4491"/>
      <c r="L616" s="4833"/>
      <c r="M616" s="2702" t="str">
        <f t="shared" si="59"/>
        <v/>
      </c>
    </row>
    <row r="617" spans="3:28">
      <c r="C617" s="2142" t="str">
        <f t="shared" si="60"/>
        <v/>
      </c>
      <c r="D617" s="433" t="s">
        <v>2797</v>
      </c>
      <c r="E617" s="2384" t="s">
        <v>1184</v>
      </c>
      <c r="F617" s="2345">
        <v>20</v>
      </c>
      <c r="G617" s="2557">
        <f>IF(choice802.1=E617,20,0)</f>
        <v>0</v>
      </c>
      <c r="H617" s="4998"/>
      <c r="I617" s="4843"/>
      <c r="J617" s="4845"/>
      <c r="K617" s="4491"/>
      <c r="L617" s="4833"/>
      <c r="M617" s="2702" t="str">
        <f t="shared" si="59"/>
        <v/>
      </c>
    </row>
    <row r="618" spans="3:28" ht="16" thickBot="1">
      <c r="C618" s="2142" t="str">
        <f t="shared" si="60"/>
        <v/>
      </c>
      <c r="D618" s="433" t="s">
        <v>2797</v>
      </c>
      <c r="E618" s="2420" t="s">
        <v>1185</v>
      </c>
      <c r="F618" s="259">
        <v>10</v>
      </c>
      <c r="G618" s="310">
        <f>IF(choice802.1=E618,10,0)</f>
        <v>0</v>
      </c>
      <c r="H618" s="5036"/>
      <c r="I618" s="4844"/>
      <c r="J618" s="4846"/>
      <c r="K618" s="4849"/>
      <c r="L618" s="4850"/>
      <c r="M618" s="2702" t="str">
        <f t="shared" si="59"/>
        <v/>
      </c>
    </row>
    <row r="619" spans="3:28" ht="46" thickTop="1">
      <c r="C619" s="2142" t="str">
        <f>IF(SUM(G620:G621)&gt;0,"P","")</f>
        <v/>
      </c>
      <c r="D619" s="433" t="s">
        <v>2797</v>
      </c>
      <c r="E619" s="2443" t="s">
        <v>2804</v>
      </c>
      <c r="F619" s="1510"/>
      <c r="G619" s="1510"/>
      <c r="H619" s="1860"/>
      <c r="I619" s="1860"/>
      <c r="J619" s="1849"/>
      <c r="K619" s="4730"/>
      <c r="L619" s="5063"/>
      <c r="M619" s="2702" t="str">
        <f t="shared" si="59"/>
        <v/>
      </c>
    </row>
    <row r="620" spans="3:28">
      <c r="C620" s="2142" t="str">
        <f t="shared" si="60"/>
        <v/>
      </c>
      <c r="D620" s="433" t="s">
        <v>2797</v>
      </c>
      <c r="E620" s="2569" t="s">
        <v>1187</v>
      </c>
      <c r="F620" s="2519">
        <v>2</v>
      </c>
      <c r="G620" s="2570">
        <f>IF(choice802.2=E620,2,0)</f>
        <v>0</v>
      </c>
      <c r="H620" s="2571"/>
      <c r="I620" s="2572"/>
      <c r="J620" s="2573"/>
      <c r="K620" s="4810">
        <f>note802.2</f>
        <v>0</v>
      </c>
      <c r="L620" s="4811"/>
      <c r="M620" s="2702" t="str">
        <f t="shared" si="59"/>
        <v/>
      </c>
      <c r="AB620" s="32">
        <f>IF(AND(I620&gt;0,I621&gt;0),1,0)</f>
        <v>0</v>
      </c>
    </row>
    <row r="621" spans="3:28" ht="16" thickBot="1">
      <c r="C621" s="2142" t="str">
        <f t="shared" si="60"/>
        <v/>
      </c>
      <c r="D621" s="433" t="s">
        <v>2797</v>
      </c>
      <c r="E621" s="2574" t="s">
        <v>1188</v>
      </c>
      <c r="F621" s="1478">
        <v>2</v>
      </c>
      <c r="G621" s="1515">
        <f>IF(choice802.2=E621,2,0)</f>
        <v>0</v>
      </c>
      <c r="H621" s="2060"/>
      <c r="I621" s="1902"/>
      <c r="J621" s="1903"/>
      <c r="K621" s="4849"/>
      <c r="L621" s="4850"/>
      <c r="M621" s="2702" t="str">
        <f t="shared" si="59"/>
        <v/>
      </c>
    </row>
    <row r="622" spans="3:28" ht="46" thickTop="1">
      <c r="C622" s="2142" t="str">
        <f t="shared" si="60"/>
        <v/>
      </c>
      <c r="D622" s="433" t="s">
        <v>2797</v>
      </c>
      <c r="E622" s="2575" t="s">
        <v>2187</v>
      </c>
      <c r="F622" s="2329">
        <v>20</v>
      </c>
      <c r="G622" s="1516">
        <f>claim802.3</f>
        <v>0</v>
      </c>
      <c r="H622" s="2047"/>
      <c r="I622" s="1895"/>
      <c r="J622" s="1895"/>
      <c r="K622" s="4493">
        <f>note802.3</f>
        <v>0</v>
      </c>
      <c r="L622" s="4856"/>
      <c r="M622" s="2702" t="str">
        <f t="shared" si="59"/>
        <v/>
      </c>
    </row>
    <row r="623" spans="3:28" ht="30">
      <c r="C623" s="2142" t="str">
        <f t="shared" si="60"/>
        <v/>
      </c>
      <c r="D623" s="433" t="s">
        <v>2797</v>
      </c>
      <c r="E623" s="2386" t="s">
        <v>2188</v>
      </c>
      <c r="F623" s="2379">
        <v>1</v>
      </c>
      <c r="G623" s="2380">
        <f>claim802.4</f>
        <v>0</v>
      </c>
      <c r="H623" s="2437"/>
      <c r="I623" s="2381"/>
      <c r="J623" s="2381"/>
      <c r="K623" s="4854">
        <f>note802.4</f>
        <v>0</v>
      </c>
      <c r="L623" s="4855"/>
      <c r="M623" s="2702" t="str">
        <f t="shared" si="59"/>
        <v/>
      </c>
    </row>
    <row r="624" spans="3:28" ht="30">
      <c r="C624" s="2142" t="str">
        <f t="shared" si="60"/>
        <v/>
      </c>
      <c r="D624" s="433" t="s">
        <v>2797</v>
      </c>
      <c r="E624" s="2576" t="s">
        <v>2189</v>
      </c>
      <c r="F624" s="2379">
        <v>20</v>
      </c>
      <c r="G624" s="2380">
        <f>claim802.5</f>
        <v>0</v>
      </c>
      <c r="H624" s="2437"/>
      <c r="I624" s="2381"/>
      <c r="J624" s="2381"/>
      <c r="K624" s="4854">
        <f>note802.5</f>
        <v>0</v>
      </c>
      <c r="L624" s="4855"/>
      <c r="M624" s="2702" t="str">
        <f t="shared" si="59"/>
        <v/>
      </c>
    </row>
    <row r="625" spans="3:31">
      <c r="C625" s="2142" t="s">
        <v>2800</v>
      </c>
      <c r="D625" s="433" t="s">
        <v>2795</v>
      </c>
      <c r="E625" s="5050" t="s">
        <v>2634</v>
      </c>
      <c r="F625" s="5051"/>
      <c r="G625" s="2685">
        <f>SUM(G542:G624)</f>
        <v>0</v>
      </c>
      <c r="H625" s="2685">
        <f>SUM(H542:H624)</f>
        <v>0</v>
      </c>
      <c r="I625" s="2685">
        <f>SUM(I542:I624)</f>
        <v>0</v>
      </c>
      <c r="J625" s="2686" t="str">
        <f>IF(SUM(H625,I625)&gt;91,"EMERALD",IF(SUM(H625,I625)&gt;66,"GOLD",IF(SUM(H625,I625)&gt;38,"SILVER",IF(SUM(H625,I625)&gt;24,"BRONZE","no threshold achieved yet"))))</f>
        <v>no threshold achieved yet</v>
      </c>
      <c r="K625" s="4865" t="str">
        <f>IF(J625="Emerald","Minimum points for Emerald = 97",IF(J625="Gold","Minimum points for Gold = 69; for Emerald = 97",IF(J625="Silver","Minimum points for Silver = 39; for Gold = 67",IF(J625="Bronze","Minimum points for Bronze = 25; for Silver = 39","Minimum points for Bronze = 25"))))</f>
        <v>Minimum points for Bronze = 25</v>
      </c>
      <c r="L625" s="4866"/>
      <c r="M625" s="2702" t="str">
        <f t="shared" si="59"/>
        <v/>
      </c>
    </row>
    <row r="626" spans="3:31">
      <c r="E626" s="5057" t="s">
        <v>644</v>
      </c>
      <c r="F626" s="5058"/>
      <c r="G626" s="5058"/>
      <c r="H626" s="5058"/>
      <c r="I626" s="5058"/>
      <c r="J626" s="5058"/>
      <c r="K626" s="5058"/>
      <c r="L626" s="5059"/>
      <c r="M626" s="2702" t="str">
        <f t="shared" si="59"/>
        <v/>
      </c>
    </row>
    <row r="627" spans="3:31">
      <c r="E627" s="4918" t="s">
        <v>645</v>
      </c>
      <c r="F627" s="4919"/>
      <c r="G627" s="4919"/>
      <c r="H627" s="4919"/>
      <c r="I627" s="4919"/>
      <c r="J627" s="4919"/>
      <c r="K627" s="4919"/>
      <c r="L627" s="4920"/>
      <c r="M627" s="2702" t="str">
        <f t="shared" si="59"/>
        <v/>
      </c>
    </row>
    <row r="628" spans="3:31">
      <c r="D628" s="433" t="s">
        <v>2795</v>
      </c>
      <c r="E628" s="2480" t="s">
        <v>646</v>
      </c>
      <c r="F628" s="306"/>
      <c r="G628" s="306"/>
      <c r="H628" s="1854"/>
      <c r="I628" s="1854"/>
      <c r="J628" s="1848"/>
      <c r="K628" s="4847"/>
      <c r="L628" s="4848"/>
      <c r="M628" s="2702" t="str">
        <f t="shared" si="59"/>
        <v/>
      </c>
    </row>
    <row r="629" spans="3:31">
      <c r="C629" s="2142" t="str">
        <f>IF(G629&gt;0,"P","")</f>
        <v/>
      </c>
      <c r="D629" s="433" t="s">
        <v>2795</v>
      </c>
      <c r="E629" s="5091" t="s">
        <v>3001</v>
      </c>
      <c r="F629" s="4719">
        <v>5</v>
      </c>
      <c r="G629" s="4592">
        <f>claim901.1.1</f>
        <v>0</v>
      </c>
      <c r="H629" s="5093"/>
      <c r="I629" s="5094"/>
      <c r="J629" s="4909"/>
      <c r="K629" s="4810">
        <f>note901.1.1</f>
        <v>0</v>
      </c>
      <c r="L629" s="4811"/>
      <c r="M629" s="2702" t="str">
        <f t="shared" si="59"/>
        <v/>
      </c>
    </row>
    <row r="630" spans="3:31" ht="76.5" customHeight="1">
      <c r="C630" s="2142" t="str">
        <f>IF(G629&gt;0,"P","")</f>
        <v/>
      </c>
      <c r="D630" s="433" t="s">
        <v>2795</v>
      </c>
      <c r="E630" s="5092"/>
      <c r="F630" s="4488"/>
      <c r="G630" s="4593"/>
      <c r="H630" s="5095"/>
      <c r="I630" s="5096"/>
      <c r="J630" s="4956"/>
      <c r="K630" s="4493"/>
      <c r="L630" s="4856"/>
      <c r="M630" s="2702" t="str">
        <f t="shared" si="59"/>
        <v/>
      </c>
      <c r="AB630" s="32">
        <f>IF(AND($H$629=5,(AND(SUM($H$633:$I$634)&gt;0,SUM($H$635:$I$636)&gt;0))),1,0)</f>
        <v>0</v>
      </c>
    </row>
    <row r="631" spans="3:31" ht="30">
      <c r="C631" s="2142" t="str">
        <f t="shared" ref="C631" si="61">IF(G631&gt;0,"P","")</f>
        <v/>
      </c>
      <c r="D631" s="433" t="s">
        <v>2795</v>
      </c>
      <c r="E631" s="2378" t="s">
        <v>2250</v>
      </c>
      <c r="F631" s="2379">
        <v>5</v>
      </c>
      <c r="G631" s="2380">
        <f>claim901.1.2</f>
        <v>0</v>
      </c>
      <c r="H631" s="2381"/>
      <c r="I631" s="2381"/>
      <c r="J631" s="2381"/>
      <c r="K631" s="4854">
        <f>note901.1.2</f>
        <v>0</v>
      </c>
      <c r="L631" s="4855"/>
      <c r="M631" s="2702" t="str">
        <f t="shared" si="59"/>
        <v/>
      </c>
      <c r="X631" s="32">
        <f>IF(AND(H631&gt;0,I631&gt;0),1,0)</f>
        <v>0</v>
      </c>
    </row>
    <row r="632" spans="3:31" ht="30">
      <c r="C632" s="2142" t="str">
        <f>IF(SUM(G633:G636)&gt;0,"P","")</f>
        <v/>
      </c>
      <c r="D632" s="433" t="s">
        <v>2795</v>
      </c>
      <c r="E632" s="2378" t="s">
        <v>2251</v>
      </c>
      <c r="F632" s="2503"/>
      <c r="G632" s="2503"/>
      <c r="H632" s="2504"/>
      <c r="I632" s="2504"/>
      <c r="J632" s="2505"/>
      <c r="K632" s="4847"/>
      <c r="L632" s="4848"/>
      <c r="M632" s="2702" t="str">
        <f t="shared" si="59"/>
        <v/>
      </c>
    </row>
    <row r="633" spans="3:31">
      <c r="C633" s="2142" t="str">
        <f t="shared" ref="C633:C636" si="62">IF(G633&gt;0,"P","")</f>
        <v/>
      </c>
      <c r="D633" s="433" t="s">
        <v>2795</v>
      </c>
      <c r="E633" s="2471" t="s">
        <v>2252</v>
      </c>
      <c r="F633" s="2379">
        <v>3</v>
      </c>
      <c r="G633" s="2380">
        <f>IF(choice901.1.3_1="Power Vent",3,0)</f>
        <v>0</v>
      </c>
      <c r="H633" s="4910"/>
      <c r="I633" s="4910"/>
      <c r="J633" s="4909"/>
      <c r="K633" s="4810">
        <f>note901.1.3_1</f>
        <v>0</v>
      </c>
      <c r="L633" s="4811"/>
      <c r="M633" s="2702" t="str">
        <f t="shared" si="59"/>
        <v/>
      </c>
      <c r="X633" s="32">
        <f>IF(AND(H633&gt;0,I633&gt;0),1,0)</f>
        <v>0</v>
      </c>
      <c r="AB633" s="32">
        <f>IF(AND(H633&gt;0,OR(I404&gt;0,I414&gt;0,I418&gt;0)),1,0)</f>
        <v>0</v>
      </c>
      <c r="AC633" s="32">
        <f>IF(AND($H$629=5,$H$633&gt;0,(AND(SUM($H$633:$I$634)&gt;0,SUM($H$635:$I$636)&gt;0))),1,0)</f>
        <v>0</v>
      </c>
      <c r="AD633" s="32">
        <f>IF(AND($H$629=5,$I$633&gt;0,(AND(SUM($H$633:$I$634)&gt;0,SUM($H$635:$I$636)&gt;0))),1,0)</f>
        <v>0</v>
      </c>
    </row>
    <row r="634" spans="3:31">
      <c r="C634" s="2142" t="str">
        <f t="shared" si="62"/>
        <v/>
      </c>
      <c r="D634" s="433" t="s">
        <v>2795</v>
      </c>
      <c r="E634" s="2471" t="s">
        <v>2253</v>
      </c>
      <c r="F634" s="2379">
        <v>5</v>
      </c>
      <c r="G634" s="2380">
        <f>IF(choice901.1.3_1="Direct Vent",5,0)</f>
        <v>0</v>
      </c>
      <c r="H634" s="4951"/>
      <c r="I634" s="4951"/>
      <c r="J634" s="4956"/>
      <c r="K634" s="4493"/>
      <c r="L634" s="4856"/>
      <c r="M634" s="2702" t="str">
        <f t="shared" si="59"/>
        <v/>
      </c>
    </row>
    <row r="635" spans="3:31">
      <c r="C635" s="2142" t="str">
        <f t="shared" si="62"/>
        <v/>
      </c>
      <c r="D635" s="433" t="s">
        <v>2795</v>
      </c>
      <c r="E635" s="2471" t="s">
        <v>2254</v>
      </c>
      <c r="F635" s="2379">
        <v>3</v>
      </c>
      <c r="G635" s="2380">
        <f>IF(choice901.1.3_2="Power Vent",3,0)</f>
        <v>0</v>
      </c>
      <c r="H635" s="4910"/>
      <c r="I635" s="4910"/>
      <c r="J635" s="4909"/>
      <c r="K635" s="4810">
        <f>note901.1.3_2</f>
        <v>0</v>
      </c>
      <c r="L635" s="4811"/>
      <c r="M635" s="2702" t="str">
        <f t="shared" si="59"/>
        <v/>
      </c>
      <c r="X635" s="32">
        <f>IF(AND(H635&gt;0,I635&gt;0),1,0)</f>
        <v>0</v>
      </c>
      <c r="AB635" s="32">
        <f>IF(AND(H635&gt;0,OR($J$438="Electric",$J$438="Heat Pump")),1,0)</f>
        <v>0</v>
      </c>
      <c r="AC635" s="32">
        <f>IF(AND(I635&gt;0,OR($J$438="Electric",$J$438="Heat Pump")),1,0)</f>
        <v>0</v>
      </c>
      <c r="AD635" s="32">
        <f>IF(AND($H$629=5,$I$635&gt;0,(AND(SUM($H$633:$I$634)&gt;0,SUM($H$635:$I$636)&gt;0))),1,0)</f>
        <v>0</v>
      </c>
      <c r="AE635" s="32">
        <f>IF(AND($H$629=5,$H$635&gt;0,(AND(SUM($H$633:$I$634)&gt;0,SUM($H$635:$I$636)&gt;0))),1,0)</f>
        <v>0</v>
      </c>
    </row>
    <row r="636" spans="3:31">
      <c r="C636" s="2142" t="str">
        <f t="shared" si="62"/>
        <v/>
      </c>
      <c r="D636" s="433" t="s">
        <v>2795</v>
      </c>
      <c r="E636" s="2471" t="s">
        <v>2255</v>
      </c>
      <c r="F636" s="2379">
        <v>5</v>
      </c>
      <c r="G636" s="2380">
        <f>IF(choice901.1.3_2="Direct Vent",5,0)</f>
        <v>0</v>
      </c>
      <c r="H636" s="4951"/>
      <c r="I636" s="4951"/>
      <c r="J636" s="4956"/>
      <c r="K636" s="4493"/>
      <c r="L636" s="4856"/>
      <c r="M636" s="2702" t="str">
        <f t="shared" si="59"/>
        <v/>
      </c>
    </row>
    <row r="637" spans="3:31" ht="68.25" customHeight="1">
      <c r="C637" s="2142" t="s">
        <v>2800</v>
      </c>
      <c r="D637" s="433" t="s">
        <v>2797</v>
      </c>
      <c r="E637" s="2378" t="s">
        <v>2256</v>
      </c>
      <c r="F637" s="2442" t="s">
        <v>339</v>
      </c>
      <c r="G637" s="2450">
        <f>claim901.1.4</f>
        <v>0</v>
      </c>
      <c r="H637" s="2387"/>
      <c r="I637" s="2381"/>
      <c r="J637" s="2383"/>
      <c r="K637" s="4854">
        <f>note901.1.4</f>
        <v>0</v>
      </c>
      <c r="L637" s="4855"/>
      <c r="M637" s="2702" t="str">
        <f t="shared" si="59"/>
        <v/>
      </c>
      <c r="AA637" s="32">
        <f>IF(AND(ReportType="Final",H637="",I637=""),1,0)</f>
        <v>0</v>
      </c>
    </row>
    <row r="638" spans="3:31" ht="43.5" customHeight="1">
      <c r="C638" s="2142" t="s">
        <v>2800</v>
      </c>
      <c r="D638" s="433" t="s">
        <v>2797</v>
      </c>
      <c r="E638" s="5097" t="s">
        <v>2257</v>
      </c>
      <c r="F638" s="2051"/>
      <c r="G638" s="2334"/>
      <c r="H638" s="4834"/>
      <c r="I638" s="4957"/>
      <c r="J638" s="4909"/>
      <c r="K638" s="2339"/>
      <c r="L638" s="2513"/>
      <c r="M638" s="2702" t="str">
        <f t="shared" si="59"/>
        <v/>
      </c>
      <c r="AA638" s="32">
        <f>IF(AND($I$638&gt;0,$I$637="No gas fireplace or heating equipment"),1,0)</f>
        <v>0</v>
      </c>
    </row>
    <row r="639" spans="3:31" ht="17.25" customHeight="1">
      <c r="C639" s="2142" t="s">
        <v>2800</v>
      </c>
      <c r="D639" s="433" t="s">
        <v>2797</v>
      </c>
      <c r="E639" s="5098"/>
      <c r="F639" s="2342">
        <v>7</v>
      </c>
      <c r="G639" s="2334">
        <f>claim901.1.5</f>
        <v>0</v>
      </c>
      <c r="H639" s="4933"/>
      <c r="I639" s="4981"/>
      <c r="J639" s="4956"/>
      <c r="K639" s="4810">
        <f>note901.1.5</f>
        <v>0</v>
      </c>
      <c r="L639" s="4811"/>
      <c r="M639" s="2702" t="str">
        <f t="shared" si="59"/>
        <v/>
      </c>
    </row>
    <row r="640" spans="3:31">
      <c r="C640" s="2142" t="str">
        <f>IF(SUM(G641:G642)&gt;0,"P","")</f>
        <v/>
      </c>
      <c r="D640" s="433" t="s">
        <v>2797</v>
      </c>
      <c r="E640" s="2378" t="s">
        <v>2258</v>
      </c>
      <c r="F640" s="2484"/>
      <c r="G640" s="2485"/>
      <c r="H640" s="2438"/>
      <c r="I640" s="2438"/>
      <c r="J640" s="2438"/>
      <c r="K640" s="4954"/>
      <c r="L640" s="4955"/>
      <c r="M640" s="2702" t="str">
        <f t="shared" si="59"/>
        <v/>
      </c>
    </row>
    <row r="641" spans="3:28">
      <c r="C641" s="2142" t="str">
        <f t="shared" ref="C641:C642" si="63">IF(G641&gt;0,"P","")</f>
        <v/>
      </c>
      <c r="D641" s="433" t="s">
        <v>2797</v>
      </c>
      <c r="E641" s="2547" t="s">
        <v>2259</v>
      </c>
      <c r="F641" s="2379">
        <v>2</v>
      </c>
      <c r="G641" s="2380">
        <f>IF(choice901.1.6="Unconditioned space",2,0)</f>
        <v>0</v>
      </c>
      <c r="H641" s="4910"/>
      <c r="I641" s="4910"/>
      <c r="J641" s="4909"/>
      <c r="K641" s="4810">
        <f>note901.1.6</f>
        <v>0</v>
      </c>
      <c r="L641" s="4811"/>
      <c r="M641" s="2702" t="str">
        <f t="shared" si="59"/>
        <v/>
      </c>
      <c r="X641" s="32">
        <f>IF(AND(H641&gt;0,I641&gt;0),1,0)</f>
        <v>0</v>
      </c>
      <c r="AB641" s="32">
        <f>IF(AND(SUM(H641,I641)&gt;0,$I$398&gt;0),1,0)</f>
        <v>0</v>
      </c>
    </row>
    <row r="642" spans="3:28" ht="16" thickBot="1">
      <c r="C642" s="2142" t="str">
        <f t="shared" si="63"/>
        <v/>
      </c>
      <c r="D642" s="433" t="s">
        <v>2797</v>
      </c>
      <c r="E642" s="2577" t="s">
        <v>2260</v>
      </c>
      <c r="F642" s="2342">
        <v>5</v>
      </c>
      <c r="G642" s="2334">
        <f>IF(choice901.1.6="Conditioned space",5,0)</f>
        <v>0</v>
      </c>
      <c r="H642" s="4951"/>
      <c r="I642" s="4951"/>
      <c r="J642" s="4893"/>
      <c r="K642" s="4491"/>
      <c r="L642" s="4833"/>
      <c r="M642" s="2702" t="str">
        <f t="shared" si="59"/>
        <v/>
      </c>
    </row>
    <row r="643" spans="3:28" ht="16" thickTop="1">
      <c r="D643" s="433" t="s">
        <v>2797</v>
      </c>
      <c r="E643" s="2422" t="s">
        <v>2261</v>
      </c>
      <c r="F643" s="264"/>
      <c r="G643" s="264"/>
      <c r="H643" s="1855"/>
      <c r="I643" s="1855"/>
      <c r="J643" s="1837"/>
      <c r="K643" s="4516"/>
      <c r="L643" s="4853"/>
      <c r="M643" s="2702" t="str">
        <f t="shared" si="59"/>
        <v/>
      </c>
    </row>
    <row r="644" spans="3:28" ht="30">
      <c r="C644" s="2142" t="s">
        <v>2800</v>
      </c>
      <c r="D644" s="433" t="s">
        <v>2797</v>
      </c>
      <c r="E644" s="2378" t="s">
        <v>2262</v>
      </c>
      <c r="F644" s="2503"/>
      <c r="G644" s="2503"/>
      <c r="H644" s="2504"/>
      <c r="I644" s="2504"/>
      <c r="J644" s="2505"/>
      <c r="K644" s="4847"/>
      <c r="L644" s="4848"/>
      <c r="M644" s="2702" t="str">
        <f t="shared" si="59"/>
        <v/>
      </c>
    </row>
    <row r="645" spans="3:28" ht="40.5" customHeight="1">
      <c r="C645" s="2142" t="s">
        <v>2800</v>
      </c>
      <c r="D645" s="433" t="s">
        <v>2797</v>
      </c>
      <c r="E645" s="5046" t="s">
        <v>2263</v>
      </c>
      <c r="F645" s="5048" t="s">
        <v>2264</v>
      </c>
      <c r="G645" s="2578">
        <f>choice901.2.1_1</f>
        <v>0</v>
      </c>
      <c r="H645" s="5089"/>
      <c r="I645" s="2065"/>
      <c r="J645" s="5087"/>
      <c r="K645" s="4902">
        <f>note901.2.1_1</f>
        <v>0</v>
      </c>
      <c r="L645" s="4903"/>
      <c r="M645" s="2702" t="str">
        <f t="shared" si="59"/>
        <v/>
      </c>
      <c r="AA645" s="32">
        <f>IF(AND(ReportType="Final",I645=""),1,0)</f>
        <v>0</v>
      </c>
      <c r="AB645" s="32">
        <f>IF(AND(I646&lt;&gt;"",$I$655&gt;0),1,0)</f>
        <v>0</v>
      </c>
    </row>
    <row r="646" spans="3:28" ht="17.25" customHeight="1">
      <c r="C646" s="2142" t="s">
        <v>2800</v>
      </c>
      <c r="D646" s="433" t="s">
        <v>2797</v>
      </c>
      <c r="E646" s="5047"/>
      <c r="F646" s="5049"/>
      <c r="G646" s="2324" t="str">
        <f>IF(claim901.2.1_1=4,4,"0")</f>
        <v>0</v>
      </c>
      <c r="H646" s="5090"/>
      <c r="I646" s="2066" t="str">
        <f>IF(I645="Met",4,"")</f>
        <v/>
      </c>
      <c r="J646" s="5088"/>
      <c r="K646" s="4572"/>
      <c r="L646" s="4953"/>
      <c r="M646" s="2702" t="str">
        <f t="shared" si="59"/>
        <v/>
      </c>
    </row>
    <row r="647" spans="3:28" ht="48.75" customHeight="1">
      <c r="C647" s="2142" t="s">
        <v>2800</v>
      </c>
      <c r="D647" s="433" t="s">
        <v>2797</v>
      </c>
      <c r="E647" s="5046" t="s">
        <v>2265</v>
      </c>
      <c r="F647" s="5048" t="s">
        <v>2266</v>
      </c>
      <c r="G647" s="2578">
        <f>choice901.2.1_2</f>
        <v>0</v>
      </c>
      <c r="H647" s="5089"/>
      <c r="I647" s="2065"/>
      <c r="J647" s="5087"/>
      <c r="K647" s="4902">
        <f>note901.2.1_2</f>
        <v>0</v>
      </c>
      <c r="L647" s="4903"/>
      <c r="M647" s="2702" t="str">
        <f t="shared" si="59"/>
        <v/>
      </c>
      <c r="AA647" s="32">
        <f>IF(AND(ReportType="Final",I647=""),1,0)</f>
        <v>0</v>
      </c>
      <c r="AB647" s="32">
        <f>IF(AND(I648&lt;&gt;"",$I$655&gt;0),1,0)</f>
        <v>0</v>
      </c>
    </row>
    <row r="648" spans="3:28" ht="15.75" customHeight="1">
      <c r="C648" s="2142" t="s">
        <v>2800</v>
      </c>
      <c r="D648" s="433" t="s">
        <v>2797</v>
      </c>
      <c r="E648" s="5047"/>
      <c r="F648" s="5049"/>
      <c r="G648" s="2324" t="str">
        <f>IF(claim901.2.1_2=6,6,"0")</f>
        <v>0</v>
      </c>
      <c r="H648" s="5090"/>
      <c r="I648" s="2066" t="str">
        <f>IF(I647="Met",6,"")</f>
        <v/>
      </c>
      <c r="J648" s="5088"/>
      <c r="K648" s="4572"/>
      <c r="L648" s="4953"/>
      <c r="M648" s="2702" t="str">
        <f t="shared" si="59"/>
        <v/>
      </c>
    </row>
    <row r="649" spans="3:28" ht="48" customHeight="1">
      <c r="C649" s="2142" t="s">
        <v>2800</v>
      </c>
      <c r="D649" s="433" t="s">
        <v>2797</v>
      </c>
      <c r="E649" s="5046" t="s">
        <v>2267</v>
      </c>
      <c r="F649" s="5048" t="s">
        <v>2266</v>
      </c>
      <c r="G649" s="2578">
        <f>choice901.2.1_3</f>
        <v>0</v>
      </c>
      <c r="H649" s="5089"/>
      <c r="I649" s="2065"/>
      <c r="J649" s="5087"/>
      <c r="K649" s="4902">
        <f>note901.2.1_3</f>
        <v>0</v>
      </c>
      <c r="L649" s="4903"/>
      <c r="M649" s="2702" t="str">
        <f t="shared" si="59"/>
        <v/>
      </c>
      <c r="AA649" s="32">
        <f>IF(AND(ReportType="Final",I649=""),1,0)</f>
        <v>0</v>
      </c>
      <c r="AB649" s="32">
        <f>IF(AND(I650&lt;&gt;"",$I$655&gt;0),1,0)</f>
        <v>0</v>
      </c>
    </row>
    <row r="650" spans="3:28" ht="23.25" customHeight="1">
      <c r="C650" s="2142" t="s">
        <v>2800</v>
      </c>
      <c r="D650" s="433" t="s">
        <v>2797</v>
      </c>
      <c r="E650" s="5047"/>
      <c r="F650" s="5049"/>
      <c r="G650" s="2324" t="str">
        <f>IF(claim901.2.1_3=6,6,"0")</f>
        <v>0</v>
      </c>
      <c r="H650" s="5090"/>
      <c r="I650" s="2066" t="str">
        <f>IF(I649="Met",6,"")</f>
        <v/>
      </c>
      <c r="J650" s="5088"/>
      <c r="K650" s="4572"/>
      <c r="L650" s="4953"/>
      <c r="M650" s="2702" t="str">
        <f t="shared" si="59"/>
        <v/>
      </c>
    </row>
    <row r="651" spans="3:28" ht="37.5" customHeight="1">
      <c r="C651" s="2142" t="s">
        <v>2800</v>
      </c>
      <c r="D651" s="433" t="s">
        <v>2797</v>
      </c>
      <c r="E651" s="5046" t="s">
        <v>2268</v>
      </c>
      <c r="F651" s="5048" t="s">
        <v>2266</v>
      </c>
      <c r="G651" s="2578">
        <f>choice901.2.1_4</f>
        <v>0</v>
      </c>
      <c r="H651" s="5089"/>
      <c r="I651" s="2065"/>
      <c r="J651" s="5087"/>
      <c r="K651" s="4902">
        <f>note901.2.1_4</f>
        <v>0</v>
      </c>
      <c r="L651" s="4903"/>
      <c r="M651" s="2702" t="str">
        <f t="shared" si="59"/>
        <v/>
      </c>
      <c r="AA651" s="32">
        <f>IF(AND(ReportType="Final",I651=""),1,0)</f>
        <v>0</v>
      </c>
      <c r="AB651" s="32">
        <f>IF(AND(I652&lt;&gt;"",$I$655&gt;0),1,0)</f>
        <v>0</v>
      </c>
    </row>
    <row r="652" spans="3:28" ht="12" customHeight="1">
      <c r="C652" s="2142" t="s">
        <v>2800</v>
      </c>
      <c r="D652" s="433" t="s">
        <v>2797</v>
      </c>
      <c r="E652" s="5047"/>
      <c r="F652" s="5049"/>
      <c r="G652" s="2324" t="str">
        <f>IF(claim901.2.1_4=6,6,"0")</f>
        <v>0</v>
      </c>
      <c r="H652" s="5090"/>
      <c r="I652" s="2066" t="str">
        <f>IF(I651="Met",6,"")</f>
        <v/>
      </c>
      <c r="J652" s="5088"/>
      <c r="K652" s="4572"/>
      <c r="L652" s="4953"/>
      <c r="M652" s="2702" t="str">
        <f t="shared" si="59"/>
        <v/>
      </c>
    </row>
    <row r="653" spans="3:28" ht="27" customHeight="1">
      <c r="C653" s="2142" t="s">
        <v>2800</v>
      </c>
      <c r="D653" s="433" t="s">
        <v>2797</v>
      </c>
      <c r="E653" s="5046" t="s">
        <v>2269</v>
      </c>
      <c r="F653" s="5048" t="s">
        <v>2266</v>
      </c>
      <c r="G653" s="2578">
        <f>choice901.2.1_5</f>
        <v>0</v>
      </c>
      <c r="H653" s="5089"/>
      <c r="I653" s="2065"/>
      <c r="J653" s="5087"/>
      <c r="K653" s="4902">
        <f>note901.2.1_5</f>
        <v>0</v>
      </c>
      <c r="L653" s="4903"/>
      <c r="M653" s="2702" t="str">
        <f t="shared" si="59"/>
        <v/>
      </c>
      <c r="AA653" s="32">
        <f>IF(AND(ReportType="Final",I653=""),1,0)</f>
        <v>0</v>
      </c>
      <c r="AB653" s="32">
        <f>IF(AND(I654&lt;&gt;"",$I$655&gt;0),1,0)</f>
        <v>0</v>
      </c>
    </row>
    <row r="654" spans="3:28" ht="20.25" customHeight="1">
      <c r="C654" s="2142" t="s">
        <v>2800</v>
      </c>
      <c r="D654" s="433" t="s">
        <v>2797</v>
      </c>
      <c r="E654" s="5047"/>
      <c r="F654" s="5049"/>
      <c r="G654" s="2324" t="str">
        <f>IF(claim901.2.1_5=6,6,"0")</f>
        <v>0</v>
      </c>
      <c r="H654" s="5090"/>
      <c r="I654" s="2066" t="str">
        <f>IF(I653="Met",6,"")</f>
        <v/>
      </c>
      <c r="J654" s="5088"/>
      <c r="K654" s="4572"/>
      <c r="L654" s="4953"/>
      <c r="M654" s="2702" t="str">
        <f t="shared" si="59"/>
        <v/>
      </c>
    </row>
    <row r="655" spans="3:28" ht="16" thickBot="1">
      <c r="C655" s="2142" t="str">
        <f>IF(G655&gt;0,"P","")</f>
        <v/>
      </c>
      <c r="D655" s="433" t="s">
        <v>2797</v>
      </c>
      <c r="E655" s="2420" t="s">
        <v>2270</v>
      </c>
      <c r="F655" s="252">
        <v>7</v>
      </c>
      <c r="G655" s="253">
        <f>claim901.2.2</f>
        <v>0</v>
      </c>
      <c r="H655" s="2437"/>
      <c r="I655" s="2381"/>
      <c r="J655" s="1878"/>
      <c r="K655" s="4526">
        <f>note901.2.2</f>
        <v>0</v>
      </c>
      <c r="L655" s="4852"/>
      <c r="M655" s="2702" t="str">
        <f t="shared" si="59"/>
        <v/>
      </c>
      <c r="AB655" s="32">
        <f>IF(AND(I655&gt;0,SUM(I645:I653)&gt;0),1,0)</f>
        <v>0</v>
      </c>
    </row>
    <row r="656" spans="3:28" ht="16" thickTop="1">
      <c r="D656" s="433" t="s">
        <v>2797</v>
      </c>
      <c r="E656" s="2422" t="s">
        <v>647</v>
      </c>
      <c r="F656" s="264"/>
      <c r="G656" s="264"/>
      <c r="H656" s="1855"/>
      <c r="I656" s="1855"/>
      <c r="J656" s="1837"/>
      <c r="K656" s="4516"/>
      <c r="L656" s="4853"/>
      <c r="M656" s="2702" t="str">
        <f t="shared" si="59"/>
        <v/>
      </c>
    </row>
    <row r="657" spans="3:28" ht="30" customHeight="1">
      <c r="C657" s="2142" t="s">
        <v>2800</v>
      </c>
      <c r="D657" s="433" t="s">
        <v>2797</v>
      </c>
      <c r="E657" s="4883" t="s">
        <v>2271</v>
      </c>
      <c r="F657" s="5048" t="s">
        <v>648</v>
      </c>
      <c r="G657" s="2579">
        <f>choice901.3_1_a</f>
        <v>0</v>
      </c>
      <c r="H657" s="2054"/>
      <c r="I657" s="2580"/>
      <c r="J657" s="4957"/>
      <c r="K657" s="4902">
        <f>note901.3_1_a</f>
        <v>0</v>
      </c>
      <c r="L657" s="4903"/>
      <c r="M657" s="2702" t="str">
        <f t="shared" ref="M657:M720" si="64">IF(AND(ReportType="Rough",SUM(X657,Y657,Z657,AB657,AC657,AD657,AE657)&gt;0),"!",IF(AND(ReportType="Final", SUM(X657,Y657,AA657,AB657,AC657,AD657,AE657)&gt;0),"!",""))</f>
        <v/>
      </c>
      <c r="AA657" s="32">
        <f>IF(AND(ReportType="Final",I657=""),1,0)</f>
        <v>0</v>
      </c>
      <c r="AB657" s="32">
        <f>IF(AND(I658&gt;0,I662&gt;0),1,0)</f>
        <v>0</v>
      </c>
    </row>
    <row r="658" spans="3:28" ht="13.5" customHeight="1">
      <c r="C658" s="2142" t="s">
        <v>2800</v>
      </c>
      <c r="D658" s="433" t="s">
        <v>2797</v>
      </c>
      <c r="E658" s="5076"/>
      <c r="F658" s="5049"/>
      <c r="G658" s="2073" t="str">
        <f>IF(claim901.3_1_a=0,"0",claim901.3_1_a)</f>
        <v>0</v>
      </c>
      <c r="H658" s="2038"/>
      <c r="I658" s="2364">
        <f>IF(I657="Met",2,0)</f>
        <v>0</v>
      </c>
      <c r="J658" s="4981"/>
      <c r="K658" s="4572"/>
      <c r="L658" s="4953"/>
      <c r="M658" s="2702" t="str">
        <f t="shared" si="64"/>
        <v/>
      </c>
    </row>
    <row r="659" spans="3:28" ht="36" customHeight="1">
      <c r="C659" s="2142" t="s">
        <v>2800</v>
      </c>
      <c r="D659" s="433" t="s">
        <v>2797</v>
      </c>
      <c r="E659" s="4883" t="s">
        <v>2272</v>
      </c>
      <c r="F659" s="5048" t="s">
        <v>648</v>
      </c>
      <c r="G659" s="2579">
        <f>choice901.3_1_b</f>
        <v>0</v>
      </c>
      <c r="H659" s="2683"/>
      <c r="I659" s="2580"/>
      <c r="J659" s="4957"/>
      <c r="K659" s="4902">
        <f>note901.3_1_b</f>
        <v>0</v>
      </c>
      <c r="L659" s="4903"/>
      <c r="M659" s="2702" t="str">
        <f t="shared" si="64"/>
        <v/>
      </c>
      <c r="AA659" s="32">
        <f>IF(AND(ReportType="Final",I659=""),1,0)</f>
        <v>0</v>
      </c>
      <c r="AB659" s="32">
        <f>IF(AND(I660&gt;0,I662&gt;0),1,0)</f>
        <v>0</v>
      </c>
    </row>
    <row r="660" spans="3:28" ht="17.25" customHeight="1">
      <c r="C660" s="2142" t="s">
        <v>2800</v>
      </c>
      <c r="D660" s="433" t="s">
        <v>2797</v>
      </c>
      <c r="E660" s="5076"/>
      <c r="F660" s="5049"/>
      <c r="G660" s="2073" t="str">
        <f>IF(claim901.3_1_b=0,"0",claim901.3_1_b)</f>
        <v>0</v>
      </c>
      <c r="H660" s="2674">
        <f>IF(H659="Met",2,0)</f>
        <v>0</v>
      </c>
      <c r="I660" s="2364">
        <f>IF(AND(I659="Met",H660=0),2,0)</f>
        <v>0</v>
      </c>
      <c r="J660" s="4981"/>
      <c r="K660" s="4572"/>
      <c r="L660" s="4953"/>
      <c r="M660" s="2702" t="str">
        <f t="shared" si="64"/>
        <v/>
      </c>
    </row>
    <row r="661" spans="3:28" ht="90">
      <c r="C661" s="2142" t="str">
        <f>IF(G661&gt;0,"P","")</f>
        <v/>
      </c>
      <c r="D661" s="433" t="s">
        <v>2797</v>
      </c>
      <c r="E661" s="2378" t="s">
        <v>2971</v>
      </c>
      <c r="F661" s="2379">
        <v>8</v>
      </c>
      <c r="G661" s="2380">
        <f>claim901.3_1_c</f>
        <v>0</v>
      </c>
      <c r="H661" s="2437"/>
      <c r="I661" s="2381"/>
      <c r="J661" s="2381"/>
      <c r="K661" s="4854">
        <f>note901.3_1_c</f>
        <v>0</v>
      </c>
      <c r="L661" s="4855"/>
      <c r="M661" s="2702" t="str">
        <f t="shared" si="64"/>
        <v/>
      </c>
    </row>
    <row r="662" spans="3:28" ht="31" thickBot="1">
      <c r="C662" s="2142" t="str">
        <f>IF(G662&gt;0,"P","")</f>
        <v/>
      </c>
      <c r="D662" s="433" t="s">
        <v>2797</v>
      </c>
      <c r="E662" s="2420" t="s">
        <v>2274</v>
      </c>
      <c r="F662" s="252">
        <v>10</v>
      </c>
      <c r="G662" s="253">
        <f>claim901.3_2</f>
        <v>0</v>
      </c>
      <c r="H662" s="1891"/>
      <c r="I662" s="1891"/>
      <c r="J662" s="1878"/>
      <c r="K662" s="4526">
        <f>note901.3_2</f>
        <v>0</v>
      </c>
      <c r="L662" s="4852"/>
      <c r="M662" s="2702" t="str">
        <f t="shared" si="64"/>
        <v/>
      </c>
    </row>
    <row r="663" spans="3:28" ht="76" thickTop="1">
      <c r="C663" s="2142" t="s">
        <v>2800</v>
      </c>
      <c r="D663" s="433" t="s">
        <v>2796</v>
      </c>
      <c r="E663" s="2422" t="s">
        <v>2275</v>
      </c>
      <c r="F663" s="2442" t="s">
        <v>649</v>
      </c>
      <c r="G663" s="2581">
        <f>claim901.4_1</f>
        <v>0</v>
      </c>
      <c r="H663" s="2068"/>
      <c r="I663" s="2067"/>
      <c r="J663" s="1904"/>
      <c r="K663" s="4522">
        <f>note901.4_1</f>
        <v>0</v>
      </c>
      <c r="L663" s="4980"/>
      <c r="M663" s="2702" t="str">
        <f t="shared" si="64"/>
        <v>!</v>
      </c>
      <c r="Z663" s="32">
        <f>IF(AND(ReportType="Rough",H663=""),1,0)</f>
        <v>1</v>
      </c>
    </row>
    <row r="664" spans="3:28" ht="45">
      <c r="C664" s="2142" t="str">
        <f>IF(G664&gt;0,"P","")</f>
        <v/>
      </c>
      <c r="D664" s="433" t="s">
        <v>2797</v>
      </c>
      <c r="E664" s="2575" t="s">
        <v>2276</v>
      </c>
      <c r="F664" s="2442" t="s">
        <v>2696</v>
      </c>
      <c r="G664" s="2581">
        <f>claim901.4_2thru6</f>
        <v>0</v>
      </c>
      <c r="H664" s="2582"/>
      <c r="I664" s="2583">
        <f>IF(SUM(I666:I669,I671:I674,I676:I679,I681:I684,I686:I689)&gt;10,10,SUM(I666:I669,I671:I674,I676:I679,I681:I684,I686:I689))</f>
        <v>0</v>
      </c>
      <c r="J664" s="2584"/>
      <c r="K664" s="4954"/>
      <c r="L664" s="4955"/>
      <c r="M664" s="2702" t="str">
        <f t="shared" si="64"/>
        <v/>
      </c>
    </row>
    <row r="665" spans="3:28" ht="30">
      <c r="C665" s="2142" t="str">
        <f>IF(SUM(G666:G669)&gt;0,"P","")</f>
        <v/>
      </c>
      <c r="D665" s="433" t="s">
        <v>2797</v>
      </c>
      <c r="E665" s="2378" t="s">
        <v>2278</v>
      </c>
      <c r="F665" s="2484"/>
      <c r="G665" s="2485"/>
      <c r="H665" s="2585"/>
      <c r="I665" s="2438"/>
      <c r="J665" s="2438"/>
      <c r="K665" s="4954"/>
      <c r="L665" s="4955"/>
      <c r="M665" s="2702" t="str">
        <f t="shared" si="64"/>
        <v/>
      </c>
    </row>
    <row r="666" spans="3:28">
      <c r="C666" s="2142" t="str">
        <f t="shared" ref="C666:C669" si="65">IF(G666&gt;0,"P","")</f>
        <v/>
      </c>
      <c r="D666" s="433" t="s">
        <v>2797</v>
      </c>
      <c r="E666" s="2471" t="s">
        <v>2066</v>
      </c>
      <c r="F666" s="2379">
        <v>2</v>
      </c>
      <c r="G666" s="2380">
        <f>claim901.4_2a</f>
        <v>0</v>
      </c>
      <c r="H666" s="2054"/>
      <c r="I666" s="2350"/>
      <c r="J666" s="5084"/>
      <c r="K666" s="4810">
        <f>note901.4_2</f>
        <v>0</v>
      </c>
      <c r="L666" s="4811"/>
      <c r="M666" s="2702" t="str">
        <f t="shared" si="64"/>
        <v/>
      </c>
      <c r="AB666" s="32">
        <f>IF(AND(I666&gt;0,SUM($I$666,$I$671,$I$676,$I$681,$I$686)&gt;2),1,0)</f>
        <v>0</v>
      </c>
    </row>
    <row r="667" spans="3:28">
      <c r="C667" s="2142" t="str">
        <f t="shared" si="65"/>
        <v/>
      </c>
      <c r="D667" s="433" t="s">
        <v>2797</v>
      </c>
      <c r="E667" s="2471" t="s">
        <v>2067</v>
      </c>
      <c r="F667" s="2379">
        <v>2</v>
      </c>
      <c r="G667" s="2380">
        <f>claim901.4_2b</f>
        <v>0</v>
      </c>
      <c r="H667" s="2059"/>
      <c r="I667" s="1888"/>
      <c r="J667" s="5085"/>
      <c r="K667" s="4491"/>
      <c r="L667" s="4833"/>
      <c r="M667" s="2702" t="str">
        <f t="shared" si="64"/>
        <v/>
      </c>
      <c r="AB667" s="32">
        <f>IF(AND(I667&gt;0,SUM($I$667,$I$672,$I$677,$I$682,$I$687)&gt;2),1,0)</f>
        <v>0</v>
      </c>
    </row>
    <row r="668" spans="3:28">
      <c r="C668" s="2142" t="str">
        <f t="shared" si="65"/>
        <v/>
      </c>
      <c r="D668" s="433" t="s">
        <v>2797</v>
      </c>
      <c r="E668" s="2471" t="s">
        <v>2068</v>
      </c>
      <c r="F668" s="2379">
        <v>2</v>
      </c>
      <c r="G668" s="2380">
        <f>claim901.4_2c</f>
        <v>0</v>
      </c>
      <c r="H668" s="2059"/>
      <c r="I668" s="1888"/>
      <c r="J668" s="5085"/>
      <c r="K668" s="4491"/>
      <c r="L668" s="4833"/>
      <c r="M668" s="2702" t="str">
        <f t="shared" si="64"/>
        <v/>
      </c>
      <c r="AB668" s="32">
        <f>IF(AND(I668&gt;0,SUM($I$668,$I$673,$I$678,$I$683,$I$688)&gt;2),1,0)</f>
        <v>0</v>
      </c>
    </row>
    <row r="669" spans="3:28">
      <c r="C669" s="2142" t="str">
        <f t="shared" si="65"/>
        <v/>
      </c>
      <c r="D669" s="433" t="s">
        <v>2797</v>
      </c>
      <c r="E669" s="2471" t="s">
        <v>2069</v>
      </c>
      <c r="F669" s="2379">
        <v>2</v>
      </c>
      <c r="G669" s="2380">
        <f>claim901.4_2d</f>
        <v>0</v>
      </c>
      <c r="H669" s="2038"/>
      <c r="I669" s="2351"/>
      <c r="J669" s="5086"/>
      <c r="K669" s="4493"/>
      <c r="L669" s="4856"/>
      <c r="M669" s="2702" t="str">
        <f t="shared" si="64"/>
        <v/>
      </c>
      <c r="AB669" s="32">
        <f>IF(AND(I669&gt;0,SUM($I$669,$I$674,$I$679,$I$684,$I$689)&gt;2),1,0)</f>
        <v>0</v>
      </c>
    </row>
    <row r="670" spans="3:28" ht="30">
      <c r="C670" s="2142" t="str">
        <f t="shared" ref="C670" si="66">IF(SUM(G671:G674)&gt;0,"P","")</f>
        <v/>
      </c>
      <c r="D670" s="433" t="s">
        <v>2797</v>
      </c>
      <c r="E670" s="2378" t="s">
        <v>2282</v>
      </c>
      <c r="F670" s="2484"/>
      <c r="G670" s="2485"/>
      <c r="H670" s="2585"/>
      <c r="I670" s="2438"/>
      <c r="J670" s="2438"/>
      <c r="K670" s="4954"/>
      <c r="L670" s="4955"/>
      <c r="M670" s="2702" t="str">
        <f t="shared" si="64"/>
        <v/>
      </c>
    </row>
    <row r="671" spans="3:28">
      <c r="C671" s="2142" t="str">
        <f t="shared" ref="C671:C674" si="67">IF(G671&gt;0,"P","")</f>
        <v/>
      </c>
      <c r="D671" s="433" t="s">
        <v>2797</v>
      </c>
      <c r="E671" s="2471" t="s">
        <v>2066</v>
      </c>
      <c r="F671" s="2379">
        <v>2</v>
      </c>
      <c r="G671" s="2380">
        <f>claim901.4_3a</f>
        <v>0</v>
      </c>
      <c r="H671" s="2054"/>
      <c r="I671" s="2350"/>
      <c r="J671" s="4909"/>
      <c r="K671" s="4810">
        <f>note901.4_3</f>
        <v>0</v>
      </c>
      <c r="L671" s="4811"/>
      <c r="M671" s="2702" t="str">
        <f t="shared" si="64"/>
        <v/>
      </c>
      <c r="AB671" s="32">
        <f>IF(AND(I671&gt;0,SUM($I$666,$I$671,$I$676,$I$681,$I$686)&gt;2),1,0)</f>
        <v>0</v>
      </c>
    </row>
    <row r="672" spans="3:28">
      <c r="C672" s="2142" t="str">
        <f t="shared" si="67"/>
        <v/>
      </c>
      <c r="D672" s="433" t="s">
        <v>2797</v>
      </c>
      <c r="E672" s="2471" t="s">
        <v>2067</v>
      </c>
      <c r="F672" s="2379">
        <v>2</v>
      </c>
      <c r="G672" s="2380">
        <f>claim901.4_3b</f>
        <v>0</v>
      </c>
      <c r="H672" s="2059"/>
      <c r="I672" s="1888"/>
      <c r="J672" s="4892"/>
      <c r="K672" s="4491"/>
      <c r="L672" s="4833"/>
      <c r="M672" s="2702" t="str">
        <f t="shared" si="64"/>
        <v/>
      </c>
      <c r="AB672" s="32">
        <f>IF(AND(I672&gt;0,SUM($I$667,$I$672,$I$677,$I$682,$I$687)&gt;2),1,0)</f>
        <v>0</v>
      </c>
    </row>
    <row r="673" spans="3:28">
      <c r="C673" s="2142" t="str">
        <f t="shared" si="67"/>
        <v/>
      </c>
      <c r="D673" s="433" t="s">
        <v>2797</v>
      </c>
      <c r="E673" s="2471" t="s">
        <v>2068</v>
      </c>
      <c r="F673" s="2379">
        <v>2</v>
      </c>
      <c r="G673" s="2380">
        <f>claim901.4_3c</f>
        <v>0</v>
      </c>
      <c r="H673" s="2059"/>
      <c r="I673" s="1888"/>
      <c r="J673" s="4892"/>
      <c r="K673" s="4491"/>
      <c r="L673" s="4833"/>
      <c r="M673" s="2702" t="str">
        <f t="shared" si="64"/>
        <v/>
      </c>
      <c r="AB673" s="32">
        <f>IF(AND(I673&gt;0,SUM($I$668,$I$673,$I$678,$I$683,$I$688)&gt;2),1,0)</f>
        <v>0</v>
      </c>
    </row>
    <row r="674" spans="3:28">
      <c r="C674" s="2142" t="str">
        <f t="shared" si="67"/>
        <v/>
      </c>
      <c r="D674" s="433" t="s">
        <v>2797</v>
      </c>
      <c r="E674" s="2471" t="s">
        <v>2069</v>
      </c>
      <c r="F674" s="2379">
        <v>2</v>
      </c>
      <c r="G674" s="2380">
        <f>claim901.4_3d</f>
        <v>0</v>
      </c>
      <c r="H674" s="2038"/>
      <c r="I674" s="2351"/>
      <c r="J674" s="4956"/>
      <c r="K674" s="4493"/>
      <c r="L674" s="4856"/>
      <c r="M674" s="2702" t="str">
        <f t="shared" si="64"/>
        <v/>
      </c>
      <c r="AB674" s="32">
        <f>IF(AND(I674&gt;0,SUM($I$669,$I$674,$I$679,$I$684,$I$689)&gt;2),1,0)</f>
        <v>0</v>
      </c>
    </row>
    <row r="675" spans="3:28">
      <c r="C675" s="2142" t="str">
        <f>IF(SUM(G676:G679)&gt;0,"P","")</f>
        <v/>
      </c>
      <c r="D675" s="433" t="s">
        <v>2797</v>
      </c>
      <c r="E675" s="2378" t="s">
        <v>3014</v>
      </c>
      <c r="F675" s="2484"/>
      <c r="G675" s="2485"/>
      <c r="H675" s="2585"/>
      <c r="I675" s="2438"/>
      <c r="J675" s="2525"/>
      <c r="K675" s="4954"/>
      <c r="L675" s="4955"/>
      <c r="M675" s="2702" t="str">
        <f t="shared" si="64"/>
        <v/>
      </c>
    </row>
    <row r="676" spans="3:28">
      <c r="C676" s="2142" t="str">
        <f t="shared" ref="C676:C679" si="68">IF(G676&gt;0,"P","")</f>
        <v/>
      </c>
      <c r="D676" s="433" t="s">
        <v>2797</v>
      </c>
      <c r="E676" s="2471" t="s">
        <v>2066</v>
      </c>
      <c r="F676" s="2379">
        <v>3</v>
      </c>
      <c r="G676" s="2380">
        <f>claim901.4_4a</f>
        <v>0</v>
      </c>
      <c r="H676" s="2054"/>
      <c r="I676" s="2350"/>
      <c r="J676" s="4909"/>
      <c r="K676" s="4810">
        <f>note901.4_4</f>
        <v>0</v>
      </c>
      <c r="L676" s="4811"/>
      <c r="M676" s="2702" t="str">
        <f t="shared" si="64"/>
        <v/>
      </c>
      <c r="AB676" s="32">
        <f>IF(AND(I676&gt;0,SUM($I$666,$I$671,$I$676,$I$681,$I$686)&gt;3),1,0)</f>
        <v>0</v>
      </c>
    </row>
    <row r="677" spans="3:28">
      <c r="C677" s="2142" t="str">
        <f t="shared" si="68"/>
        <v/>
      </c>
      <c r="D677" s="433" t="s">
        <v>2797</v>
      </c>
      <c r="E677" s="2471" t="s">
        <v>2067</v>
      </c>
      <c r="F677" s="2379">
        <v>3</v>
      </c>
      <c r="G677" s="2380">
        <f>claim901.4_4b</f>
        <v>0</v>
      </c>
      <c r="H677" s="2059"/>
      <c r="I677" s="1888"/>
      <c r="J677" s="4892"/>
      <c r="K677" s="4491"/>
      <c r="L677" s="4833"/>
      <c r="M677" s="2702" t="str">
        <f t="shared" si="64"/>
        <v/>
      </c>
      <c r="AB677" s="32">
        <f>IF(AND(I677&gt;0,SUM($I$667,$I$672,$I$677,$I$682,$I$687)&gt;3),1,0)</f>
        <v>0</v>
      </c>
    </row>
    <row r="678" spans="3:28">
      <c r="C678" s="2142" t="str">
        <f t="shared" si="68"/>
        <v/>
      </c>
      <c r="D678" s="433" t="s">
        <v>2797</v>
      </c>
      <c r="E678" s="2471" t="s">
        <v>2068</v>
      </c>
      <c r="F678" s="2379">
        <v>3</v>
      </c>
      <c r="G678" s="2380">
        <f>claim901.4_4c</f>
        <v>0</v>
      </c>
      <c r="H678" s="2059"/>
      <c r="I678" s="1888"/>
      <c r="J678" s="4892"/>
      <c r="K678" s="4491"/>
      <c r="L678" s="4833"/>
      <c r="M678" s="2702" t="str">
        <f t="shared" si="64"/>
        <v/>
      </c>
      <c r="AB678" s="32">
        <f>IF(AND(I678&gt;0,SUM($I$668,$I$673,$I$678,$I$683,$I$688)&gt;3),1,0)</f>
        <v>0</v>
      </c>
    </row>
    <row r="679" spans="3:28">
      <c r="C679" s="2142" t="str">
        <f t="shared" si="68"/>
        <v/>
      </c>
      <c r="D679" s="433" t="s">
        <v>2797</v>
      </c>
      <c r="E679" s="2471" t="s">
        <v>2069</v>
      </c>
      <c r="F679" s="2379">
        <v>3</v>
      </c>
      <c r="G679" s="2380">
        <f>claim901.4_4d</f>
        <v>0</v>
      </c>
      <c r="H679" s="2038"/>
      <c r="I679" s="2351"/>
      <c r="J679" s="4956"/>
      <c r="K679" s="4493"/>
      <c r="L679" s="4856"/>
      <c r="M679" s="2702" t="str">
        <f t="shared" si="64"/>
        <v/>
      </c>
      <c r="AB679" s="32">
        <f>IF(AND(I679&gt;0,SUM($I$669,$I$674,$I$679,$I$684,$I$689)&gt;3),1,0)</f>
        <v>0</v>
      </c>
    </row>
    <row r="680" spans="3:28" ht="45">
      <c r="C680" s="2142" t="str">
        <f>IF(SUM(G681:G684)&gt;0,"P","")</f>
        <v/>
      </c>
      <c r="D680" s="433" t="s">
        <v>2797</v>
      </c>
      <c r="E680" s="2378" t="s">
        <v>2280</v>
      </c>
      <c r="F680" s="2484"/>
      <c r="G680" s="2485"/>
      <c r="H680" s="2585"/>
      <c r="I680" s="2438"/>
      <c r="J680" s="2525"/>
      <c r="K680" s="4954"/>
      <c r="L680" s="4955"/>
      <c r="M680" s="2702" t="str">
        <f t="shared" si="64"/>
        <v/>
      </c>
    </row>
    <row r="681" spans="3:28">
      <c r="C681" s="2142" t="str">
        <f t="shared" ref="C681:C684" si="69">IF(G681&gt;0,"P","")</f>
        <v/>
      </c>
      <c r="D681" s="433" t="s">
        <v>2797</v>
      </c>
      <c r="E681" s="2471" t="s">
        <v>2066</v>
      </c>
      <c r="F681" s="2379">
        <v>4</v>
      </c>
      <c r="G681" s="2380">
        <f>claim901.4_5a</f>
        <v>0</v>
      </c>
      <c r="H681" s="2054"/>
      <c r="I681" s="2350"/>
      <c r="J681" s="4909"/>
      <c r="K681" s="4810">
        <f>note901.4_5</f>
        <v>0</v>
      </c>
      <c r="L681" s="4811"/>
      <c r="M681" s="2702" t="str">
        <f t="shared" si="64"/>
        <v/>
      </c>
      <c r="AB681" s="32">
        <f>IF(AND(I681&gt;0,SUM($I$666,$I$671,$I$676,$I$681,$I$686)&gt;4),1,0)</f>
        <v>0</v>
      </c>
    </row>
    <row r="682" spans="3:28">
      <c r="C682" s="2142" t="str">
        <f t="shared" si="69"/>
        <v/>
      </c>
      <c r="D682" s="433" t="s">
        <v>2797</v>
      </c>
      <c r="E682" s="2471" t="s">
        <v>2067</v>
      </c>
      <c r="F682" s="2379">
        <v>4</v>
      </c>
      <c r="G682" s="2380">
        <f>claim901.4_5b</f>
        <v>0</v>
      </c>
      <c r="H682" s="2059"/>
      <c r="I682" s="1888"/>
      <c r="J682" s="4892"/>
      <c r="K682" s="4491"/>
      <c r="L682" s="4833"/>
      <c r="M682" s="2702" t="str">
        <f t="shared" si="64"/>
        <v/>
      </c>
      <c r="AB682" s="32">
        <f>IF(AND(I682&gt;0,SUM($I$667,$I$672,$I$677,$I$682,$I$687)&gt;4),1,0)</f>
        <v>0</v>
      </c>
    </row>
    <row r="683" spans="3:28">
      <c r="C683" s="2142" t="str">
        <f t="shared" si="69"/>
        <v/>
      </c>
      <c r="D683" s="433" t="s">
        <v>2797</v>
      </c>
      <c r="E683" s="2471" t="s">
        <v>2068</v>
      </c>
      <c r="F683" s="2379">
        <v>4</v>
      </c>
      <c r="G683" s="2380">
        <f>claim901.4_5c</f>
        <v>0</v>
      </c>
      <c r="H683" s="2059"/>
      <c r="I683" s="1888"/>
      <c r="J683" s="4892"/>
      <c r="K683" s="4491"/>
      <c r="L683" s="4833"/>
      <c r="M683" s="2702" t="str">
        <f t="shared" si="64"/>
        <v/>
      </c>
      <c r="AB683" s="32">
        <f>IF(AND(I683&gt;0,SUM($I$668,$I$673,$I$678,$I$683,$I$688)&gt;4),1,0)</f>
        <v>0</v>
      </c>
    </row>
    <row r="684" spans="3:28">
      <c r="C684" s="2142" t="str">
        <f t="shared" si="69"/>
        <v/>
      </c>
      <c r="D684" s="433" t="s">
        <v>2797</v>
      </c>
      <c r="E684" s="2471" t="s">
        <v>2069</v>
      </c>
      <c r="F684" s="2379">
        <v>4</v>
      </c>
      <c r="G684" s="2380">
        <f>claim901.4_5d</f>
        <v>0</v>
      </c>
      <c r="H684" s="2038"/>
      <c r="I684" s="2351"/>
      <c r="J684" s="4956"/>
      <c r="K684" s="4493"/>
      <c r="L684" s="4856"/>
      <c r="M684" s="2702" t="str">
        <f t="shared" si="64"/>
        <v/>
      </c>
      <c r="AB684" s="32">
        <f>IF(AND(I684&gt;0,SUM($I$669,$I$674,$I$679,$I$684,$I$689)&gt;4),1,0)</f>
        <v>0</v>
      </c>
    </row>
    <row r="685" spans="3:28">
      <c r="C685" s="2142" t="str">
        <f>IF(SUM(G686:G689)&gt;0,"P","")</f>
        <v/>
      </c>
      <c r="D685" s="433" t="s">
        <v>2797</v>
      </c>
      <c r="E685" s="2378" t="s">
        <v>2281</v>
      </c>
      <c r="F685" s="2484"/>
      <c r="G685" s="2485"/>
      <c r="H685" s="2585"/>
      <c r="I685" s="2438"/>
      <c r="J685" s="2525"/>
      <c r="K685" s="4954"/>
      <c r="L685" s="4955"/>
      <c r="M685" s="2702" t="str">
        <f t="shared" si="64"/>
        <v/>
      </c>
    </row>
    <row r="686" spans="3:28">
      <c r="C686" s="2142" t="str">
        <f t="shared" ref="C686:C692" si="70">IF(G686&gt;0,"P","")</f>
        <v/>
      </c>
      <c r="D686" s="433" t="s">
        <v>2797</v>
      </c>
      <c r="E686" s="2471" t="s">
        <v>2066</v>
      </c>
      <c r="F686" s="2379">
        <v>4</v>
      </c>
      <c r="G686" s="2380">
        <f>claim901.4_6a</f>
        <v>0</v>
      </c>
      <c r="H686" s="2054"/>
      <c r="I686" s="2350"/>
      <c r="J686" s="4909"/>
      <c r="K686" s="4810">
        <f>note901.4_6</f>
        <v>0</v>
      </c>
      <c r="L686" s="4811"/>
      <c r="M686" s="2702" t="str">
        <f t="shared" si="64"/>
        <v/>
      </c>
      <c r="AB686" s="32">
        <f>IF(AND(I686&gt;0,SUM($I$666,$I$671,$I$676,$I$681,$I$686)&gt;4),1,0)</f>
        <v>0</v>
      </c>
    </row>
    <row r="687" spans="3:28">
      <c r="C687" s="2142" t="str">
        <f t="shared" si="70"/>
        <v/>
      </c>
      <c r="D687" s="433" t="s">
        <v>2797</v>
      </c>
      <c r="E687" s="2471" t="s">
        <v>2067</v>
      </c>
      <c r="F687" s="2379">
        <v>4</v>
      </c>
      <c r="G687" s="2380">
        <f>claim901.4_6b</f>
        <v>0</v>
      </c>
      <c r="H687" s="2059"/>
      <c r="I687" s="1888"/>
      <c r="J687" s="4892"/>
      <c r="K687" s="4491"/>
      <c r="L687" s="4833"/>
      <c r="M687" s="2702" t="str">
        <f t="shared" si="64"/>
        <v/>
      </c>
      <c r="AB687" s="32">
        <f>IF(AND(I687&gt;0,SUM($I$667,$I$672,$I$677,$I$682,$I$687)&gt;4),1,0)</f>
        <v>0</v>
      </c>
    </row>
    <row r="688" spans="3:28">
      <c r="C688" s="2142" t="str">
        <f t="shared" si="70"/>
        <v/>
      </c>
      <c r="D688" s="433" t="s">
        <v>2797</v>
      </c>
      <c r="E688" s="2471" t="s">
        <v>2068</v>
      </c>
      <c r="F688" s="2379">
        <v>4</v>
      </c>
      <c r="G688" s="2380">
        <f>claim901.4_6c</f>
        <v>0</v>
      </c>
      <c r="H688" s="2059"/>
      <c r="I688" s="1888"/>
      <c r="J688" s="4892"/>
      <c r="K688" s="4491"/>
      <c r="L688" s="4833"/>
      <c r="M688" s="2702" t="str">
        <f t="shared" si="64"/>
        <v/>
      </c>
      <c r="AB688" s="32">
        <f>IF(AND(I688&gt;0,SUM($I$668,$I$673,$I$678,$I$683,$I$688)&gt;4),1,0)</f>
        <v>0</v>
      </c>
    </row>
    <row r="689" spans="3:28" ht="16" thickBot="1">
      <c r="C689" s="2142" t="str">
        <f t="shared" si="70"/>
        <v/>
      </c>
      <c r="D689" s="433" t="s">
        <v>2797</v>
      </c>
      <c r="E689" s="2549" t="s">
        <v>2069</v>
      </c>
      <c r="F689" s="2342">
        <v>4</v>
      </c>
      <c r="G689" s="2334">
        <f>claim901.4_6d</f>
        <v>0</v>
      </c>
      <c r="H689" s="2059"/>
      <c r="I689" s="2351"/>
      <c r="J689" s="4893"/>
      <c r="K689" s="4491"/>
      <c r="L689" s="4833"/>
      <c r="M689" s="2702" t="str">
        <f t="shared" si="64"/>
        <v/>
      </c>
      <c r="AB689" s="32">
        <f>IF(AND(I689&gt;0,SUM($I$669,$I$674,$I$679,$I$684,$I$689)&gt;4),1,0)</f>
        <v>0</v>
      </c>
    </row>
    <row r="690" spans="3:28" ht="31" thickTop="1">
      <c r="C690" s="2142" t="str">
        <f>IF(SUM(G691:G692)&gt;0,"P","")</f>
        <v/>
      </c>
      <c r="D690" s="433" t="s">
        <v>2797</v>
      </c>
      <c r="E690" s="2400" t="s">
        <v>2284</v>
      </c>
      <c r="F690" s="843"/>
      <c r="G690" s="1590">
        <f>choice901.5</f>
        <v>0</v>
      </c>
      <c r="H690" s="2069"/>
      <c r="I690" s="2069"/>
      <c r="J690" s="1850"/>
      <c r="K690" s="4528"/>
      <c r="L690" s="4901"/>
      <c r="M690" s="2702" t="str">
        <f t="shared" si="64"/>
        <v/>
      </c>
    </row>
    <row r="691" spans="3:28" ht="30">
      <c r="C691" s="2142" t="str">
        <f t="shared" si="70"/>
        <v/>
      </c>
      <c r="D691" s="433" t="s">
        <v>2797</v>
      </c>
      <c r="E691" s="2586" t="s">
        <v>2285</v>
      </c>
      <c r="F691" s="2410">
        <v>5</v>
      </c>
      <c r="G691" s="2324">
        <f>IF(claim901.5=3,3,0)</f>
        <v>0</v>
      </c>
      <c r="H691" s="4976"/>
      <c r="I691" s="4978"/>
      <c r="J691" s="4978"/>
      <c r="K691" s="4810">
        <f>note901.5</f>
        <v>0</v>
      </c>
      <c r="L691" s="4811"/>
      <c r="M691" s="2702" t="str">
        <f t="shared" si="64"/>
        <v/>
      </c>
    </row>
    <row r="692" spans="3:28" ht="45">
      <c r="C692" s="2142" t="str">
        <f t="shared" si="70"/>
        <v/>
      </c>
      <c r="D692" s="433" t="s">
        <v>2797</v>
      </c>
      <c r="E692" s="2586" t="s">
        <v>2286</v>
      </c>
      <c r="F692" s="2410">
        <v>3</v>
      </c>
      <c r="G692" s="2324">
        <f>IF(claim901.5=5,5,0)</f>
        <v>0</v>
      </c>
      <c r="H692" s="4977"/>
      <c r="I692" s="4979"/>
      <c r="J692" s="4979"/>
      <c r="K692" s="4493"/>
      <c r="L692" s="4856"/>
      <c r="M692" s="2702" t="str">
        <f t="shared" si="64"/>
        <v/>
      </c>
    </row>
    <row r="693" spans="3:28">
      <c r="C693" s="2142" t="s">
        <v>2800</v>
      </c>
      <c r="D693" s="433" t="s">
        <v>2797</v>
      </c>
      <c r="E693" s="2386" t="s">
        <v>2287</v>
      </c>
      <c r="F693" s="2587"/>
      <c r="G693" s="2588"/>
      <c r="H693" s="2504"/>
      <c r="I693" s="2504"/>
      <c r="J693" s="2589"/>
      <c r="K693" s="4847"/>
      <c r="L693" s="4848"/>
      <c r="M693" s="2702" t="str">
        <f t="shared" si="64"/>
        <v/>
      </c>
    </row>
    <row r="694" spans="3:28" ht="30">
      <c r="C694" s="2142" t="s">
        <v>2800</v>
      </c>
      <c r="D694" s="433" t="s">
        <v>2797</v>
      </c>
      <c r="E694" s="2378" t="s">
        <v>2288</v>
      </c>
      <c r="F694" s="2442" t="s">
        <v>3</v>
      </c>
      <c r="G694" s="2380">
        <f>claim901.6_1</f>
        <v>0</v>
      </c>
      <c r="H694" s="2437"/>
      <c r="I694" s="2381"/>
      <c r="J694" s="2381"/>
      <c r="K694" s="4854">
        <f>note901.6_1</f>
        <v>0</v>
      </c>
      <c r="L694" s="4855"/>
      <c r="M694" s="2702" t="str">
        <f t="shared" si="64"/>
        <v/>
      </c>
      <c r="AA694" s="32">
        <f>IF(AND(ReportType="Final",I694=""),1,0)</f>
        <v>0</v>
      </c>
    </row>
    <row r="695" spans="3:28" ht="30">
      <c r="C695" s="2142" t="str">
        <f t="shared" ref="C695:C714" si="71">IF(G695&gt;0,"P","")</f>
        <v/>
      </c>
      <c r="D695" s="433" t="s">
        <v>2797</v>
      </c>
      <c r="E695" s="2378" t="s">
        <v>2289</v>
      </c>
      <c r="F695" s="2379">
        <v>6</v>
      </c>
      <c r="G695" s="2380">
        <f>claim901.6_2_a</f>
        <v>0</v>
      </c>
      <c r="H695" s="2054"/>
      <c r="I695" s="2070"/>
      <c r="J695" s="2070"/>
      <c r="K695" s="4810">
        <f>note901.6_2</f>
        <v>0</v>
      </c>
      <c r="L695" s="4811"/>
      <c r="M695" s="2702" t="str">
        <f t="shared" si="64"/>
        <v/>
      </c>
    </row>
    <row r="696" spans="3:28" ht="31" thickBot="1">
      <c r="C696" s="2142" t="str">
        <f t="shared" si="71"/>
        <v/>
      </c>
      <c r="D696" s="433" t="s">
        <v>2797</v>
      </c>
      <c r="E696" s="2420" t="s">
        <v>2769</v>
      </c>
      <c r="F696" s="252">
        <v>2</v>
      </c>
      <c r="G696" s="253">
        <f>claim901.6_2_b</f>
        <v>0</v>
      </c>
      <c r="H696" s="2590"/>
      <c r="I696" s="2405"/>
      <c r="J696" s="2405"/>
      <c r="K696" s="4849"/>
      <c r="L696" s="4850"/>
      <c r="M696" s="2702" t="str">
        <f t="shared" si="64"/>
        <v/>
      </c>
    </row>
    <row r="697" spans="3:28" ht="62" thickTop="1" thickBot="1">
      <c r="C697" s="2142" t="str">
        <f t="shared" si="71"/>
        <v/>
      </c>
      <c r="D697" s="433" t="s">
        <v>2797</v>
      </c>
      <c r="E697" s="2388" t="s">
        <v>2291</v>
      </c>
      <c r="F697" s="2342">
        <v>6</v>
      </c>
      <c r="G697" s="2334">
        <f>claim901.7</f>
        <v>0</v>
      </c>
      <c r="H697" s="2059"/>
      <c r="I697" s="1888"/>
      <c r="J697" s="1888"/>
      <c r="K697" s="4504">
        <f>note901.7</f>
        <v>0</v>
      </c>
      <c r="L697" s="4994"/>
      <c r="M697" s="2702" t="str">
        <f t="shared" si="64"/>
        <v/>
      </c>
    </row>
    <row r="698" spans="3:28" ht="47" thickTop="1" thickBot="1">
      <c r="C698" s="2142" t="str">
        <f t="shared" si="71"/>
        <v/>
      </c>
      <c r="D698" s="433" t="s">
        <v>2797</v>
      </c>
      <c r="E698" s="2422" t="s">
        <v>2292</v>
      </c>
      <c r="F698" s="1591">
        <v>4</v>
      </c>
      <c r="G698" s="1592">
        <f>claim901.8</f>
        <v>0</v>
      </c>
      <c r="H698" s="2071"/>
      <c r="I698" s="1896"/>
      <c r="J698" s="1896"/>
      <c r="K698" s="4522">
        <f>note901.8</f>
        <v>0</v>
      </c>
      <c r="L698" s="4980"/>
      <c r="M698" s="2702" t="str">
        <f t="shared" si="64"/>
        <v/>
      </c>
    </row>
    <row r="699" spans="3:28" ht="46" thickTop="1">
      <c r="C699" s="2142" t="str">
        <f>IF(SUM(G700:G702)&gt;0,"P","")</f>
        <v/>
      </c>
      <c r="D699" s="433" t="s">
        <v>2797</v>
      </c>
      <c r="E699" s="2422" t="s">
        <v>3039</v>
      </c>
      <c r="F699" s="264"/>
      <c r="G699" s="264"/>
      <c r="H699" s="1855"/>
      <c r="I699" s="1855"/>
      <c r="J699" s="1837"/>
      <c r="K699" s="4516"/>
      <c r="L699" s="4853"/>
      <c r="M699" s="2702" t="str">
        <f t="shared" si="64"/>
        <v/>
      </c>
    </row>
    <row r="700" spans="3:28" ht="75">
      <c r="C700" s="2142" t="str">
        <f t="shared" si="71"/>
        <v/>
      </c>
      <c r="D700" s="433" t="s">
        <v>2797</v>
      </c>
      <c r="E700" s="2378" t="s">
        <v>2294</v>
      </c>
      <c r="F700" s="2519">
        <v>5</v>
      </c>
      <c r="G700" s="2520">
        <f>claim901.9.1</f>
        <v>0</v>
      </c>
      <c r="H700" s="2521"/>
      <c r="I700" s="2522"/>
      <c r="J700" s="2522"/>
      <c r="K700" s="4854">
        <f>note901.9.1</f>
        <v>0</v>
      </c>
      <c r="L700" s="4855"/>
      <c r="M700" s="2702" t="str">
        <f t="shared" si="64"/>
        <v/>
      </c>
    </row>
    <row r="701" spans="3:28" ht="30">
      <c r="C701" s="2142" t="str">
        <f t="shared" si="71"/>
        <v/>
      </c>
      <c r="D701" s="433" t="s">
        <v>2797</v>
      </c>
      <c r="E701" s="2378" t="s">
        <v>2295</v>
      </c>
      <c r="F701" s="2519">
        <v>1</v>
      </c>
      <c r="G701" s="2520">
        <f>claim901.9.2</f>
        <v>0</v>
      </c>
      <c r="H701" s="2521"/>
      <c r="I701" s="2522"/>
      <c r="J701" s="2522"/>
      <c r="K701" s="4854">
        <f>note901.9.2</f>
        <v>0</v>
      </c>
      <c r="L701" s="4855"/>
      <c r="M701" s="2702" t="str">
        <f t="shared" si="64"/>
        <v/>
      </c>
      <c r="AB701" s="32">
        <f>IF(AND(I701&gt;0,AND(I700&lt;&gt;5,I702&lt;&gt;8)),1,0)</f>
        <v>0</v>
      </c>
    </row>
    <row r="702" spans="3:28" ht="46" thickBot="1">
      <c r="C702" s="2142" t="str">
        <f t="shared" si="71"/>
        <v/>
      </c>
      <c r="D702" s="433" t="s">
        <v>2797</v>
      </c>
      <c r="E702" s="2420" t="s">
        <v>2296</v>
      </c>
      <c r="F702" s="1478">
        <v>8</v>
      </c>
      <c r="G702" s="1506">
        <f>claim901.9.3</f>
        <v>0</v>
      </c>
      <c r="H702" s="2013"/>
      <c r="I702" s="1905"/>
      <c r="J702" s="1905"/>
      <c r="K702" s="4526">
        <f>note901.9.3</f>
        <v>0</v>
      </c>
      <c r="L702" s="4852"/>
      <c r="M702" s="2702" t="str">
        <f t="shared" si="64"/>
        <v/>
      </c>
    </row>
    <row r="703" spans="3:28" ht="46" thickTop="1">
      <c r="C703" s="2142" t="str">
        <f>IF(SUM(G704:G706)&gt;0,"P","")</f>
        <v/>
      </c>
      <c r="D703" s="433" t="s">
        <v>2797</v>
      </c>
      <c r="E703" s="2422" t="s">
        <v>2297</v>
      </c>
      <c r="F703" s="264"/>
      <c r="G703" s="1600"/>
      <c r="H703" s="1857"/>
      <c r="I703" s="1857"/>
      <c r="J703" s="1851"/>
      <c r="K703" s="4516"/>
      <c r="L703" s="4853"/>
      <c r="M703" s="2702" t="str">
        <f t="shared" si="64"/>
        <v/>
      </c>
    </row>
    <row r="704" spans="3:28">
      <c r="C704" s="2142" t="str">
        <f t="shared" si="71"/>
        <v/>
      </c>
      <c r="D704" s="433" t="s">
        <v>2797</v>
      </c>
      <c r="E704" s="2378" t="s">
        <v>2298</v>
      </c>
      <c r="F704" s="2379">
        <v>8</v>
      </c>
      <c r="G704" s="2380">
        <f>IF(claim901.10=8,8,0)</f>
        <v>0</v>
      </c>
      <c r="H704" s="4834"/>
      <c r="I704" s="4910"/>
      <c r="J704" s="4910"/>
      <c r="K704" s="4810">
        <f>note901.10</f>
        <v>0</v>
      </c>
      <c r="L704" s="4811"/>
      <c r="M704" s="2702" t="str">
        <f t="shared" si="64"/>
        <v/>
      </c>
    </row>
    <row r="705" spans="3:28">
      <c r="C705" s="2142" t="str">
        <f t="shared" si="71"/>
        <v/>
      </c>
      <c r="D705" s="433" t="s">
        <v>2797</v>
      </c>
      <c r="E705" s="2378" t="s">
        <v>2299</v>
      </c>
      <c r="F705" s="2379">
        <v>5</v>
      </c>
      <c r="G705" s="2380">
        <f>IF(choice901.10="GreenSeal GS-36",5,0)</f>
        <v>0</v>
      </c>
      <c r="H705" s="4839"/>
      <c r="I705" s="4946"/>
      <c r="J705" s="4946"/>
      <c r="K705" s="4491"/>
      <c r="L705" s="4833"/>
      <c r="M705" s="2702" t="str">
        <f t="shared" si="64"/>
        <v/>
      </c>
    </row>
    <row r="706" spans="3:28" ht="16" thickBot="1">
      <c r="C706" s="2142" t="str">
        <f t="shared" si="71"/>
        <v/>
      </c>
      <c r="D706" s="433" t="s">
        <v>2797</v>
      </c>
      <c r="E706" s="2420" t="s">
        <v>2300</v>
      </c>
      <c r="F706" s="252">
        <v>5</v>
      </c>
      <c r="G706" s="253">
        <f>IF(choice901.10="SCAQMD Rule 1168",5,0)</f>
        <v>0</v>
      </c>
      <c r="H706" s="4835"/>
      <c r="I706" s="4911"/>
      <c r="J706" s="4911"/>
      <c r="K706" s="4849"/>
      <c r="L706" s="4850"/>
      <c r="M706" s="2702" t="str">
        <f t="shared" si="64"/>
        <v/>
      </c>
    </row>
    <row r="707" spans="3:28" ht="62" thickTop="1" thickBot="1">
      <c r="C707" s="2142" t="str">
        <f t="shared" si="71"/>
        <v/>
      </c>
      <c r="D707" s="433" t="s">
        <v>2797</v>
      </c>
      <c r="E707" s="2422" t="s">
        <v>2307</v>
      </c>
      <c r="F707" s="1591">
        <v>4</v>
      </c>
      <c r="G707" s="1592">
        <f>claim901.11</f>
        <v>0</v>
      </c>
      <c r="H707" s="5082"/>
      <c r="I707" s="5083"/>
      <c r="J707" s="1906"/>
      <c r="K707" s="4609">
        <f>note901.11</f>
        <v>0</v>
      </c>
      <c r="L707" s="4945"/>
      <c r="M707" s="2702" t="str">
        <f t="shared" si="64"/>
        <v/>
      </c>
    </row>
    <row r="708" spans="3:28" ht="47" thickTop="1" thickBot="1">
      <c r="C708" s="2142" t="str">
        <f t="shared" si="71"/>
        <v/>
      </c>
      <c r="D708" s="433" t="s">
        <v>2797</v>
      </c>
      <c r="E708" s="2421" t="s">
        <v>2308</v>
      </c>
      <c r="F708" s="274">
        <v>3</v>
      </c>
      <c r="G708" s="261">
        <f>claim901.12</f>
        <v>0</v>
      </c>
      <c r="H708" s="2072"/>
      <c r="I708" s="1881"/>
      <c r="J708" s="1881"/>
      <c r="K708" s="4609">
        <f>note901.12</f>
        <v>0</v>
      </c>
      <c r="L708" s="4945"/>
      <c r="M708" s="2702" t="str">
        <f t="shared" si="64"/>
        <v/>
      </c>
    </row>
    <row r="709" spans="3:28" ht="31" thickTop="1">
      <c r="C709" s="2142" t="str">
        <f>IF(SUM(G710:G711)&gt;0,"P","")</f>
        <v/>
      </c>
      <c r="D709" s="433" t="s">
        <v>2797</v>
      </c>
      <c r="E709" s="2422" t="s">
        <v>2309</v>
      </c>
      <c r="F709" s="264"/>
      <c r="G709" s="1600"/>
      <c r="H709" s="1857"/>
      <c r="I709" s="1857"/>
      <c r="J709" s="1851"/>
      <c r="K709" s="4516"/>
      <c r="L709" s="4853"/>
      <c r="M709" s="2702" t="str">
        <f t="shared" si="64"/>
        <v/>
      </c>
    </row>
    <row r="710" spans="3:28">
      <c r="C710" s="2142" t="str">
        <f t="shared" si="71"/>
        <v/>
      </c>
      <c r="D710" s="433" t="s">
        <v>2797</v>
      </c>
      <c r="E710" s="2378" t="s">
        <v>650</v>
      </c>
      <c r="F710" s="2379">
        <v>1</v>
      </c>
      <c r="G710" s="2380">
        <f>IF(choice901.13="Exterior grilles",1,0)</f>
        <v>0</v>
      </c>
      <c r="H710" s="2054"/>
      <c r="I710" s="4910"/>
      <c r="J710" s="2350"/>
      <c r="K710" s="4810">
        <f>note901.13</f>
        <v>0</v>
      </c>
      <c r="L710" s="4811"/>
      <c r="M710" s="2702" t="str">
        <f t="shared" si="64"/>
        <v/>
      </c>
    </row>
    <row r="711" spans="3:28" ht="16" thickBot="1">
      <c r="C711" s="2142" t="str">
        <f t="shared" si="71"/>
        <v/>
      </c>
      <c r="D711" s="433" t="s">
        <v>2797</v>
      </c>
      <c r="E711" s="2420" t="s">
        <v>651</v>
      </c>
      <c r="F711" s="252">
        <v>1</v>
      </c>
      <c r="G711" s="253">
        <f>IF(choice901.13="Interior grilles",1,0)</f>
        <v>0</v>
      </c>
      <c r="H711" s="2590"/>
      <c r="I711" s="4911"/>
      <c r="J711" s="2405"/>
      <c r="K711" s="4849"/>
      <c r="L711" s="4850"/>
      <c r="M711" s="2702" t="str">
        <f t="shared" si="64"/>
        <v/>
      </c>
    </row>
    <row r="712" spans="3:28" ht="31" thickTop="1">
      <c r="C712" s="2142" t="str">
        <f>IF(SUM(G713:G714)&gt;0,"P","")</f>
        <v/>
      </c>
      <c r="D712" s="433" t="s">
        <v>2797</v>
      </c>
      <c r="E712" s="2591" t="s">
        <v>2838</v>
      </c>
      <c r="F712" s="2133"/>
      <c r="G712" s="2134"/>
      <c r="H712" s="2059"/>
      <c r="I712" s="2137"/>
      <c r="J712" s="2137"/>
      <c r="K712" s="2135"/>
      <c r="L712" s="2592"/>
      <c r="M712" s="2702" t="str">
        <f t="shared" si="64"/>
        <v/>
      </c>
    </row>
    <row r="713" spans="3:28" ht="30" customHeight="1" thickBot="1">
      <c r="C713" s="2142" t="str">
        <f t="shared" si="71"/>
        <v/>
      </c>
      <c r="D713" s="433" t="s">
        <v>2797</v>
      </c>
      <c r="E713" s="2593" t="s">
        <v>2839</v>
      </c>
      <c r="F713" s="2325">
        <v>1</v>
      </c>
      <c r="G713" s="2335">
        <f>claim901.14_1</f>
        <v>0</v>
      </c>
      <c r="H713" s="2059"/>
      <c r="I713" s="1888"/>
      <c r="J713" s="1888"/>
      <c r="K713" s="2327"/>
      <c r="L713" s="2490"/>
      <c r="M713" s="2702" t="str">
        <f t="shared" si="64"/>
        <v/>
      </c>
    </row>
    <row r="714" spans="3:28" ht="47" thickTop="1" thickBot="1">
      <c r="C714" s="2142" t="str">
        <f t="shared" si="71"/>
        <v/>
      </c>
      <c r="D714" s="433" t="s">
        <v>2797</v>
      </c>
      <c r="E714" s="2593" t="s">
        <v>2840</v>
      </c>
      <c r="F714" s="2325">
        <v>1</v>
      </c>
      <c r="G714" s="2335">
        <f>claim901.14_2</f>
        <v>0</v>
      </c>
      <c r="H714" s="2059"/>
      <c r="I714" s="1888"/>
      <c r="J714" s="1888"/>
      <c r="K714" s="4734">
        <f>note901.14</f>
        <v>0</v>
      </c>
      <c r="L714" s="5079"/>
      <c r="M714" s="2702" t="str">
        <f t="shared" si="64"/>
        <v/>
      </c>
      <c r="AB714" s="32">
        <f>IF(AND(I714&gt;0,BldgType&lt;&gt;"Multi-Unit"),1,0)</f>
        <v>0</v>
      </c>
    </row>
    <row r="715" spans="3:28" ht="16" thickBot="1">
      <c r="E715" s="5080" t="s">
        <v>652</v>
      </c>
      <c r="F715" s="4656"/>
      <c r="G715" s="4656"/>
      <c r="H715" s="4656"/>
      <c r="I715" s="4656"/>
      <c r="J715" s="4656"/>
      <c r="K715" s="4656"/>
      <c r="L715" s="5081"/>
      <c r="M715" s="2702" t="str">
        <f t="shared" si="64"/>
        <v/>
      </c>
    </row>
    <row r="716" spans="3:28" ht="16" thickBot="1">
      <c r="E716" s="2594" t="s">
        <v>2310</v>
      </c>
      <c r="F716" s="2595"/>
      <c r="G716" s="2595"/>
      <c r="H716" s="2596"/>
      <c r="I716" s="2596"/>
      <c r="J716" s="2597"/>
      <c r="K716" s="4732"/>
      <c r="L716" s="4944"/>
      <c r="M716" s="2702" t="str">
        <f t="shared" si="64"/>
        <v/>
      </c>
    </row>
    <row r="717" spans="3:28" ht="16" thickTop="1">
      <c r="D717" s="433" t="s">
        <v>2797</v>
      </c>
      <c r="E717" s="2422" t="s">
        <v>653</v>
      </c>
      <c r="F717" s="294"/>
      <c r="G717" s="264"/>
      <c r="H717" s="1855"/>
      <c r="I717" s="1855"/>
      <c r="J717" s="1837"/>
      <c r="K717" s="4516"/>
      <c r="L717" s="4853"/>
      <c r="M717" s="2702" t="str">
        <f t="shared" si="64"/>
        <v/>
      </c>
    </row>
    <row r="718" spans="3:28">
      <c r="C718" s="2142" t="s">
        <v>2800</v>
      </c>
      <c r="D718" s="433" t="s">
        <v>2797</v>
      </c>
      <c r="E718" s="2483" t="s">
        <v>654</v>
      </c>
      <c r="F718" s="2587"/>
      <c r="G718" s="2503"/>
      <c r="H718" s="2504"/>
      <c r="I718" s="2504"/>
      <c r="J718" s="2505"/>
      <c r="K718" s="4847"/>
      <c r="L718" s="4848"/>
      <c r="M718" s="2702" t="str">
        <f t="shared" si="64"/>
        <v/>
      </c>
    </row>
    <row r="719" spans="3:28" ht="24.75" customHeight="1">
      <c r="C719" s="2142" t="s">
        <v>2800</v>
      </c>
      <c r="D719" s="433" t="s">
        <v>2797</v>
      </c>
      <c r="E719" s="4883" t="s">
        <v>655</v>
      </c>
      <c r="F719" s="5077" t="s">
        <v>3</v>
      </c>
      <c r="G719" s="2579">
        <f>choice902.1.1_1</f>
        <v>0</v>
      </c>
      <c r="H719" s="2054"/>
      <c r="I719" s="2395"/>
      <c r="J719" s="4957"/>
      <c r="K719" s="4810">
        <f>note902.1.1_1</f>
        <v>0</v>
      </c>
      <c r="L719" s="4811"/>
      <c r="M719" s="2702" t="str">
        <f t="shared" si="64"/>
        <v/>
      </c>
      <c r="AA719" s="32">
        <f>IF(AND(ReportType="Final",I719=""),1,0)</f>
        <v>0</v>
      </c>
    </row>
    <row r="720" spans="3:28">
      <c r="C720" s="2142" t="s">
        <v>2800</v>
      </c>
      <c r="D720" s="433" t="s">
        <v>2797</v>
      </c>
      <c r="E720" s="5076"/>
      <c r="F720" s="5078"/>
      <c r="G720" s="2073" t="str">
        <f>IF(claim902.1.1_1=0,"0",claim902.1.1_1)</f>
        <v>0</v>
      </c>
      <c r="H720" s="2038"/>
      <c r="I720" s="2364" t="str">
        <f>IF(I719="Met plus window",1,"")</f>
        <v/>
      </c>
      <c r="J720" s="4981"/>
      <c r="K720" s="4493"/>
      <c r="L720" s="4856"/>
      <c r="M720" s="2702" t="str">
        <f t="shared" si="64"/>
        <v/>
      </c>
    </row>
    <row r="721" spans="3:27">
      <c r="C721" s="2142" t="s">
        <v>2800</v>
      </c>
      <c r="D721" s="433" t="s">
        <v>2797</v>
      </c>
      <c r="E721" s="2378" t="s">
        <v>656</v>
      </c>
      <c r="F721" s="2442" t="s">
        <v>3</v>
      </c>
      <c r="G721" s="2579">
        <f>claim902.1.1_2</f>
        <v>0</v>
      </c>
      <c r="H721" s="2437"/>
      <c r="I721" s="2598"/>
      <c r="J721" s="2395"/>
      <c r="K721" s="4854">
        <f>note902.1.1_2</f>
        <v>0</v>
      </c>
      <c r="L721" s="4855"/>
      <c r="M721" s="2702" t="str">
        <f t="shared" ref="M721:M784" si="72">IF(AND(ReportType="Rough",SUM(X721,Y721,Z721,AB721,AC721,AD721,AE721)&gt;0),"!",IF(AND(ReportType="Final", SUM(X721,Y721,AA721,AB721,AC721,AD721,AE721)&gt;0),"!",""))</f>
        <v/>
      </c>
      <c r="AA721" s="32">
        <f>IF(AND(ReportType="Final",I721=""),1,0)</f>
        <v>0</v>
      </c>
    </row>
    <row r="722" spans="3:27" ht="30">
      <c r="C722" s="2142" t="s">
        <v>2800</v>
      </c>
      <c r="D722" s="433" t="s">
        <v>2797</v>
      </c>
      <c r="E722" s="2378" t="s">
        <v>657</v>
      </c>
      <c r="F722" s="2379">
        <v>8</v>
      </c>
      <c r="G722" s="2380">
        <f>claim902.1.1_3</f>
        <v>0</v>
      </c>
      <c r="H722" s="2437"/>
      <c r="I722" s="2381"/>
      <c r="J722" s="2381"/>
      <c r="K722" s="4854">
        <f>note902.1.1_3</f>
        <v>0</v>
      </c>
      <c r="L722" s="4855"/>
      <c r="M722" s="2702" t="str">
        <f t="shared" si="72"/>
        <v/>
      </c>
    </row>
    <row r="723" spans="3:27" ht="30">
      <c r="C723" s="2142" t="str">
        <f>IF(SUM(G724:G727)&gt;0,"P","")</f>
        <v/>
      </c>
      <c r="D723" s="433" t="s">
        <v>2797</v>
      </c>
      <c r="E723" s="2483" t="s">
        <v>658</v>
      </c>
      <c r="F723" s="2599"/>
      <c r="G723" s="2600"/>
      <c r="H723" s="2601"/>
      <c r="I723" s="2601"/>
      <c r="J723" s="2602"/>
      <c r="K723" s="4847"/>
      <c r="L723" s="4848"/>
      <c r="M723" s="2702" t="str">
        <f t="shared" si="72"/>
        <v/>
      </c>
    </row>
    <row r="724" spans="3:27">
      <c r="C724" s="2142" t="str">
        <f t="shared" ref="C724:C731" si="73">IF(G724&gt;0,"P","")</f>
        <v/>
      </c>
      <c r="D724" s="433" t="s">
        <v>2797</v>
      </c>
      <c r="E724" s="2378" t="s">
        <v>659</v>
      </c>
      <c r="F724" s="2379">
        <v>5</v>
      </c>
      <c r="G724" s="2380">
        <f>IF(choice902.1.2="1 device",5,0)</f>
        <v>0</v>
      </c>
      <c r="H724" s="4834"/>
      <c r="I724" s="4910"/>
      <c r="J724" s="4909"/>
      <c r="K724" s="4810">
        <f>note902.1.2</f>
        <v>0</v>
      </c>
      <c r="L724" s="4811"/>
      <c r="M724" s="2702" t="str">
        <f t="shared" si="72"/>
        <v/>
      </c>
    </row>
    <row r="725" spans="3:27">
      <c r="C725" s="2142" t="str">
        <f t="shared" si="73"/>
        <v/>
      </c>
      <c r="D725" s="433" t="s">
        <v>2797</v>
      </c>
      <c r="E725" s="2378" t="s">
        <v>660</v>
      </c>
      <c r="F725" s="2379">
        <v>7</v>
      </c>
      <c r="G725" s="2380">
        <f>IF(choice902.1.2="2 devices",7,0)</f>
        <v>0</v>
      </c>
      <c r="H725" s="4839"/>
      <c r="I725" s="4946"/>
      <c r="J725" s="4892"/>
      <c r="K725" s="4491"/>
      <c r="L725" s="4833"/>
      <c r="M725" s="2702" t="str">
        <f t="shared" si="72"/>
        <v/>
      </c>
    </row>
    <row r="726" spans="3:27">
      <c r="C726" s="2142" t="str">
        <f t="shared" si="73"/>
        <v/>
      </c>
      <c r="D726" s="433" t="s">
        <v>2797</v>
      </c>
      <c r="E726" s="2378" t="s">
        <v>2312</v>
      </c>
      <c r="F726" s="2379">
        <v>9</v>
      </c>
      <c r="G726" s="2380">
        <f>IF(choice902.1.2="3 devices",9,0)</f>
        <v>0</v>
      </c>
      <c r="H726" s="4839"/>
      <c r="I726" s="4946"/>
      <c r="J726" s="4892"/>
      <c r="K726" s="4491"/>
      <c r="L726" s="4833"/>
      <c r="M726" s="2702" t="str">
        <f t="shared" si="72"/>
        <v/>
      </c>
    </row>
    <row r="727" spans="3:27">
      <c r="C727" s="2142" t="str">
        <f t="shared" si="73"/>
        <v/>
      </c>
      <c r="D727" s="433" t="s">
        <v>2797</v>
      </c>
      <c r="E727" s="2378" t="s">
        <v>2311</v>
      </c>
      <c r="F727" s="2379">
        <v>11</v>
      </c>
      <c r="G727" s="2380">
        <f>IF(choice902.1.2="4+ devices",11,0)</f>
        <v>0</v>
      </c>
      <c r="H727" s="4933"/>
      <c r="I727" s="4951"/>
      <c r="J727" s="4956"/>
      <c r="K727" s="4493"/>
      <c r="L727" s="4856"/>
      <c r="M727" s="2702" t="str">
        <f t="shared" si="72"/>
        <v/>
      </c>
    </row>
    <row r="728" spans="3:27" ht="60">
      <c r="C728" s="2142" t="str">
        <f t="shared" si="73"/>
        <v/>
      </c>
      <c r="D728" s="433" t="s">
        <v>2797</v>
      </c>
      <c r="E728" s="2483" t="s">
        <v>2313</v>
      </c>
      <c r="F728" s="2379">
        <v>8</v>
      </c>
      <c r="G728" s="2380">
        <f>claim902.1.3</f>
        <v>0</v>
      </c>
      <c r="H728" s="2437"/>
      <c r="I728" s="2381"/>
      <c r="J728" s="2381"/>
      <c r="K728" s="4854">
        <f>note902.1.3</f>
        <v>0</v>
      </c>
      <c r="L728" s="4855"/>
      <c r="M728" s="2702" t="str">
        <f t="shared" si="72"/>
        <v/>
      </c>
    </row>
    <row r="729" spans="3:27">
      <c r="C729" s="2142" t="str">
        <f>IF(G729&gt;0,"P","")</f>
        <v/>
      </c>
      <c r="D729" s="433" t="s">
        <v>2797</v>
      </c>
      <c r="E729" s="2483" t="s">
        <v>661</v>
      </c>
      <c r="F729" s="2603" t="s">
        <v>601</v>
      </c>
      <c r="G729" s="2391">
        <f>claim902.1.4</f>
        <v>0</v>
      </c>
      <c r="H729" s="2539"/>
      <c r="I729" s="2604">
        <f>IF(SUM(I730*2,I731*3)&gt;12,12,SUM(I730*2,I731*3))</f>
        <v>0</v>
      </c>
      <c r="J729" s="2477"/>
      <c r="K729" s="4810">
        <f>note902.1.4</f>
        <v>0</v>
      </c>
      <c r="L729" s="4811"/>
      <c r="M729" s="2702" t="str">
        <f t="shared" si="72"/>
        <v/>
      </c>
    </row>
    <row r="730" spans="3:27" ht="30">
      <c r="C730" s="2142" t="str">
        <f t="shared" si="73"/>
        <v/>
      </c>
      <c r="D730" s="433" t="s">
        <v>2797</v>
      </c>
      <c r="E730" s="2378" t="s">
        <v>662</v>
      </c>
      <c r="F730" s="2379" t="s">
        <v>663</v>
      </c>
      <c r="G730" s="2380">
        <f>choice902.1.4_1</f>
        <v>0</v>
      </c>
      <c r="H730" s="2073" t="s">
        <v>3109</v>
      </c>
      <c r="I730" s="2070"/>
      <c r="J730" s="1888"/>
      <c r="K730" s="4491"/>
      <c r="L730" s="4833"/>
      <c r="M730" s="2702" t="str">
        <f t="shared" si="72"/>
        <v/>
      </c>
    </row>
    <row r="731" spans="3:27" ht="46" thickBot="1">
      <c r="C731" s="2142" t="str">
        <f t="shared" si="73"/>
        <v/>
      </c>
      <c r="D731" s="433" t="s">
        <v>2797</v>
      </c>
      <c r="E731" s="2420" t="s">
        <v>664</v>
      </c>
      <c r="F731" s="252" t="s">
        <v>665</v>
      </c>
      <c r="G731" s="253">
        <f>choice902.1.4_2</f>
        <v>0</v>
      </c>
      <c r="H731" s="2605" t="s">
        <v>2770</v>
      </c>
      <c r="I731" s="2074"/>
      <c r="J731" s="2405"/>
      <c r="K731" s="4849"/>
      <c r="L731" s="4850"/>
      <c r="M731" s="2702" t="str">
        <f t="shared" si="72"/>
        <v/>
      </c>
    </row>
    <row r="732" spans="3:27" ht="16" thickTop="1">
      <c r="E732" s="2422" t="s">
        <v>666</v>
      </c>
      <c r="F732" s="275"/>
      <c r="G732" s="275"/>
      <c r="H732" s="1857"/>
      <c r="I732" s="1857"/>
      <c r="J732" s="1836"/>
      <c r="K732" s="4516"/>
      <c r="L732" s="4853"/>
      <c r="M732" s="2702" t="str">
        <f t="shared" si="72"/>
        <v/>
      </c>
    </row>
    <row r="733" spans="3:27" ht="30">
      <c r="C733" s="2142" t="s">
        <v>2800</v>
      </c>
      <c r="D733" s="433" t="s">
        <v>2797</v>
      </c>
      <c r="E733" s="2483" t="s">
        <v>667</v>
      </c>
      <c r="F733" s="2472" t="s">
        <v>2318</v>
      </c>
      <c r="G733" s="2606">
        <f>choice902.2.1</f>
        <v>0</v>
      </c>
      <c r="H733" s="2607"/>
      <c r="I733" s="2608"/>
      <c r="J733" s="2609"/>
      <c r="K733" s="4847"/>
      <c r="L733" s="4848"/>
      <c r="M733" s="2702" t="str">
        <f t="shared" si="72"/>
        <v/>
      </c>
    </row>
    <row r="734" spans="3:27" ht="30">
      <c r="C734" s="2142" t="str">
        <f t="shared" ref="C734:C739" si="74">IF(G734&gt;0,"P","")</f>
        <v/>
      </c>
      <c r="D734" s="433" t="s">
        <v>2797</v>
      </c>
      <c r="E734" s="2378" t="s">
        <v>2314</v>
      </c>
      <c r="F734" s="2379">
        <v>3</v>
      </c>
      <c r="G734" s="2380">
        <f>IF(claim902.2.1=3,3,0)</f>
        <v>0</v>
      </c>
      <c r="H734" s="4834"/>
      <c r="I734" s="4910"/>
      <c r="J734" s="4910"/>
      <c r="K734" s="4810">
        <f>note902.2.1</f>
        <v>0</v>
      </c>
      <c r="L734" s="4811"/>
      <c r="M734" s="2702" t="str">
        <f t="shared" si="72"/>
        <v/>
      </c>
      <c r="AA734" s="32">
        <f>IF(AND(I734="",OR(AND(J495&lt;&gt;"",$J$495&lt;5),AND(J382&lt;&gt;"",$J$382&lt;5),AND(J351&lt;&gt;"",$J$351&lt;5))),1,0)</f>
        <v>0</v>
      </c>
    </row>
    <row r="735" spans="3:27" ht="45">
      <c r="C735" s="2142" t="str">
        <f t="shared" si="74"/>
        <v/>
      </c>
      <c r="D735" s="433" t="s">
        <v>2797</v>
      </c>
      <c r="E735" s="2378" t="s">
        <v>2315</v>
      </c>
      <c r="F735" s="2379">
        <v>6</v>
      </c>
      <c r="G735" s="2380">
        <f>IF(claim902.2.1=6,6,0)</f>
        <v>0</v>
      </c>
      <c r="H735" s="4839"/>
      <c r="I735" s="4946"/>
      <c r="J735" s="4946"/>
      <c r="K735" s="4491"/>
      <c r="L735" s="4833"/>
      <c r="M735" s="2702" t="str">
        <f t="shared" si="72"/>
        <v/>
      </c>
    </row>
    <row r="736" spans="3:27">
      <c r="C736" s="2142" t="str">
        <f t="shared" si="74"/>
        <v/>
      </c>
      <c r="D736" s="433" t="s">
        <v>2797</v>
      </c>
      <c r="E736" s="2378" t="s">
        <v>2316</v>
      </c>
      <c r="F736" s="2379">
        <v>7</v>
      </c>
      <c r="G736" s="2380">
        <f>IF(claim902.2.1=7,7,0)</f>
        <v>0</v>
      </c>
      <c r="H736" s="4839"/>
      <c r="I736" s="4946"/>
      <c r="J736" s="4946"/>
      <c r="K736" s="4491"/>
      <c r="L736" s="4833"/>
      <c r="M736" s="2702" t="str">
        <f t="shared" si="72"/>
        <v/>
      </c>
    </row>
    <row r="737" spans="3:31">
      <c r="C737" s="2142" t="str">
        <f t="shared" si="74"/>
        <v/>
      </c>
      <c r="D737" s="433" t="s">
        <v>2797</v>
      </c>
      <c r="E737" s="2378" t="s">
        <v>2317</v>
      </c>
      <c r="F737" s="2379">
        <v>8</v>
      </c>
      <c r="G737" s="2380">
        <f>IF(claim902.2.1=8,8,0)</f>
        <v>0</v>
      </c>
      <c r="H737" s="4933"/>
      <c r="I737" s="4951"/>
      <c r="J737" s="4951"/>
      <c r="K737" s="4493"/>
      <c r="L737" s="4856"/>
      <c r="M737" s="2702" t="str">
        <f t="shared" si="72"/>
        <v/>
      </c>
    </row>
    <row r="738" spans="3:31" ht="30">
      <c r="C738" s="2142" t="str">
        <f t="shared" si="74"/>
        <v/>
      </c>
      <c r="D738" s="433" t="s">
        <v>2797</v>
      </c>
      <c r="E738" s="2483" t="s">
        <v>2319</v>
      </c>
      <c r="F738" s="2379">
        <v>4</v>
      </c>
      <c r="G738" s="2380">
        <f>claim902.2.2</f>
        <v>0</v>
      </c>
      <c r="H738" s="2437"/>
      <c r="I738" s="2381"/>
      <c r="J738" s="2381"/>
      <c r="K738" s="4854">
        <f>note902.2.2</f>
        <v>0</v>
      </c>
      <c r="L738" s="4855"/>
      <c r="M738" s="2702" t="str">
        <f t="shared" si="72"/>
        <v/>
      </c>
    </row>
    <row r="739" spans="3:31" ht="46" thickBot="1">
      <c r="C739" s="2142" t="str">
        <f t="shared" si="74"/>
        <v/>
      </c>
      <c r="D739" s="433" t="s">
        <v>2797</v>
      </c>
      <c r="E739" s="2500" t="s">
        <v>2320</v>
      </c>
      <c r="F739" s="252">
        <v>3</v>
      </c>
      <c r="G739" s="253">
        <f>claim902.2.3</f>
        <v>0</v>
      </c>
      <c r="H739" s="2013"/>
      <c r="I739" s="1878"/>
      <c r="J739" s="1878"/>
      <c r="K739" s="4526">
        <f>note902.2.3</f>
        <v>0</v>
      </c>
      <c r="L739" s="4852"/>
      <c r="M739" s="2702" t="str">
        <f t="shared" si="72"/>
        <v/>
      </c>
    </row>
    <row r="740" spans="3:31" ht="16" thickTop="1">
      <c r="C740" s="2142" t="s">
        <v>2800</v>
      </c>
      <c r="D740" s="433" t="s">
        <v>2795</v>
      </c>
      <c r="E740" s="2422" t="s">
        <v>668</v>
      </c>
      <c r="F740" s="275"/>
      <c r="G740" s="5068" t="str">
        <f>IF(vn902.3_1=1,"Practice 902.3 must be addressed","")</f>
        <v/>
      </c>
      <c r="H740" s="5069"/>
      <c r="I740" s="5070"/>
      <c r="J740" s="1836" t="s">
        <v>2943</v>
      </c>
      <c r="K740" s="4516"/>
      <c r="L740" s="4853"/>
      <c r="M740" s="2702" t="str">
        <f t="shared" si="72"/>
        <v/>
      </c>
    </row>
    <row r="741" spans="3:31" ht="18.75" customHeight="1">
      <c r="C741" s="2142" t="s">
        <v>2800</v>
      </c>
      <c r="D741" s="433" t="s">
        <v>2795</v>
      </c>
      <c r="E741" s="2378" t="s">
        <v>2805</v>
      </c>
      <c r="F741" s="2442" t="s">
        <v>3</v>
      </c>
      <c r="G741" s="2073">
        <f>claim902.3</f>
        <v>0</v>
      </c>
      <c r="H741" s="2610"/>
      <c r="I741" s="2610"/>
      <c r="J741" s="2611"/>
      <c r="K741" s="4810">
        <f>note902.3_1</f>
        <v>0</v>
      </c>
      <c r="L741" s="4811"/>
      <c r="M741" s="2702" t="str">
        <f t="shared" si="72"/>
        <v/>
      </c>
      <c r="AB741" s="32">
        <f>IF(AND(vn902.3_1=1,SUM(H742:I743)&lt;7),1,0)</f>
        <v>0</v>
      </c>
      <c r="AC741" s="32">
        <f>IF(AND(vn902.3_1="",ReportType="Final"),1,0)</f>
        <v>0</v>
      </c>
    </row>
    <row r="742" spans="3:31">
      <c r="C742" s="2142" t="s">
        <v>2800</v>
      </c>
      <c r="D742" s="433" t="s">
        <v>2795</v>
      </c>
      <c r="E742" s="2394" t="s">
        <v>670</v>
      </c>
      <c r="F742" s="2379">
        <v>7</v>
      </c>
      <c r="G742" s="2380">
        <f>IF(claim902.3_1=7,7,0)</f>
        <v>0</v>
      </c>
      <c r="H742" s="2070"/>
      <c r="I742" s="2075"/>
      <c r="J742" s="1888"/>
      <c r="K742" s="4491"/>
      <c r="L742" s="4833"/>
      <c r="M742" s="2702" t="str">
        <f t="shared" si="72"/>
        <v/>
      </c>
      <c r="X742" s="32">
        <f>IF(AND(H742&gt;0,I742&gt;0),1,0)</f>
        <v>0</v>
      </c>
      <c r="AB742" s="32">
        <f>IF(AND(H742&gt;0,J741&lt;&gt;1),1,0)</f>
        <v>0</v>
      </c>
      <c r="AC742" s="32">
        <f>IF(AND(I742&gt;0,J741&lt;&gt;1),1,0)</f>
        <v>0</v>
      </c>
    </row>
    <row r="743" spans="3:31">
      <c r="C743" s="2142" t="s">
        <v>2800</v>
      </c>
      <c r="D743" s="433" t="s">
        <v>2797</v>
      </c>
      <c r="E743" s="2394" t="s">
        <v>671</v>
      </c>
      <c r="F743" s="2379">
        <v>10</v>
      </c>
      <c r="G743" s="2380">
        <f>IF(claim902.3_1=10,10,0)</f>
        <v>0</v>
      </c>
      <c r="H743" s="2075"/>
      <c r="I743" s="2076"/>
      <c r="J743" s="2351"/>
      <c r="K743" s="4493"/>
      <c r="L743" s="4856"/>
      <c r="M743" s="2702" t="str">
        <f t="shared" si="72"/>
        <v/>
      </c>
      <c r="X743" s="32">
        <f>IF(AND(H743&gt;0,I743&gt;0),1,0)</f>
        <v>0</v>
      </c>
      <c r="AB743" s="32">
        <f>IF(AND(H743&gt;0,J741&lt;&gt;1),1,0)</f>
        <v>0</v>
      </c>
      <c r="AC743" s="32">
        <f>IF(AND(I743&gt;0,J741&lt;&gt;1),1,0)</f>
        <v>0</v>
      </c>
    </row>
    <row r="744" spans="3:31">
      <c r="C744" s="2142" t="str">
        <f>IF(G745&gt;0,"P","")</f>
        <v/>
      </c>
      <c r="D744" s="433" t="s">
        <v>2795</v>
      </c>
      <c r="E744" s="2378" t="s">
        <v>672</v>
      </c>
      <c r="F744" s="2587"/>
      <c r="G744" s="2612"/>
      <c r="H744" s="2613"/>
      <c r="I744" s="2613"/>
      <c r="J744" s="2613"/>
      <c r="K744" s="5064"/>
      <c r="L744" s="5065"/>
      <c r="M744" s="2702" t="str">
        <f t="shared" si="72"/>
        <v/>
      </c>
    </row>
    <row r="745" spans="3:31" ht="16" thickBot="1">
      <c r="C745" s="2142" t="str">
        <f t="shared" ref="C745" si="75">IF(G745&gt;0,"P","")</f>
        <v/>
      </c>
      <c r="D745" s="433" t="s">
        <v>2795</v>
      </c>
      <c r="E745" s="2408" t="s">
        <v>3116</v>
      </c>
      <c r="F745" s="2379">
        <v>7</v>
      </c>
      <c r="G745" s="2380">
        <f>claim902.3_2</f>
        <v>0</v>
      </c>
      <c r="H745" s="2070"/>
      <c r="I745" s="2076"/>
      <c r="J745" s="1888"/>
      <c r="K745" s="4849">
        <f>note902.3_2</f>
        <v>0</v>
      </c>
      <c r="L745" s="4850"/>
      <c r="M745" s="2702" t="str">
        <f t="shared" si="72"/>
        <v/>
      </c>
      <c r="X745" s="32">
        <f>IF(AND(H745&gt;0,I745&gt;0),1,0)</f>
        <v>0</v>
      </c>
      <c r="AB745" s="32">
        <f>IF(AND(I745&gt;0,J741=""),1,0)</f>
        <v>0</v>
      </c>
      <c r="AC745" s="32">
        <f>IF(AND(H745&gt;0,J741=""),1,0)</f>
        <v>0</v>
      </c>
      <c r="AD745" s="32">
        <f>IF(AND(H745&gt;0,J741=1),1,0)</f>
        <v>0</v>
      </c>
      <c r="AE745" s="32">
        <f>IF(AND(I745&gt;0,J741=1),1,0)</f>
        <v>0</v>
      </c>
    </row>
    <row r="746" spans="3:31" ht="16" thickTop="1">
      <c r="C746" s="2142" t="str">
        <f>IF(SUM(G747:G748)&gt;0,"P","")</f>
        <v/>
      </c>
      <c r="D746" s="433" t="s">
        <v>2795</v>
      </c>
      <c r="E746" s="2422" t="s">
        <v>2785</v>
      </c>
      <c r="F746" s="275"/>
      <c r="G746" s="275"/>
      <c r="H746" s="1857"/>
      <c r="I746" s="1857"/>
      <c r="J746" s="1836"/>
      <c r="K746" s="4516"/>
      <c r="L746" s="4853"/>
      <c r="M746" s="2702" t="str">
        <f t="shared" si="72"/>
        <v/>
      </c>
    </row>
    <row r="747" spans="3:31" ht="45">
      <c r="C747" s="2142" t="str">
        <f t="shared" ref="C747:C749" si="76">IF(G747&gt;0,"P","")</f>
        <v/>
      </c>
      <c r="D747" s="433" t="s">
        <v>2796</v>
      </c>
      <c r="E747" s="2378" t="s">
        <v>2321</v>
      </c>
      <c r="F747" s="2379">
        <v>3</v>
      </c>
      <c r="G747" s="2380">
        <f>IF(choice902.4="Registers covered during construction",3,0)</f>
        <v>0</v>
      </c>
      <c r="H747" s="2381"/>
      <c r="I747" s="2437"/>
      <c r="J747" s="2381"/>
      <c r="K747" s="4854">
        <f>note902.4_1</f>
        <v>0</v>
      </c>
      <c r="L747" s="4855"/>
      <c r="M747" s="2702" t="str">
        <f t="shared" si="72"/>
        <v/>
      </c>
      <c r="AC747" s="32">
        <f>IF(AND(H747&gt;0,I748&gt;0),1,0)</f>
        <v>0</v>
      </c>
    </row>
    <row r="748" spans="3:31" ht="46" thickBot="1">
      <c r="C748" s="2142" t="str">
        <f t="shared" si="76"/>
        <v/>
      </c>
      <c r="D748" s="433" t="s">
        <v>2797</v>
      </c>
      <c r="E748" s="2420" t="s">
        <v>2322</v>
      </c>
      <c r="F748" s="252">
        <v>3</v>
      </c>
      <c r="G748" s="253">
        <f>IF(choice902.4="Registers vacuumed before occupancy",3,0)</f>
        <v>0</v>
      </c>
      <c r="H748" s="2013"/>
      <c r="I748" s="1878"/>
      <c r="J748" s="1878"/>
      <c r="K748" s="4526">
        <f>note902.4_2</f>
        <v>0</v>
      </c>
      <c r="L748" s="4852"/>
      <c r="M748" s="2702" t="str">
        <f t="shared" si="72"/>
        <v/>
      </c>
    </row>
    <row r="749" spans="3:31" ht="17" thickTop="1" thickBot="1">
      <c r="C749" s="2142" t="str">
        <f t="shared" si="76"/>
        <v/>
      </c>
      <c r="D749" s="433" t="s">
        <v>2797</v>
      </c>
      <c r="E749" s="2421" t="s">
        <v>675</v>
      </c>
      <c r="F749" s="274">
        <v>3</v>
      </c>
      <c r="G749" s="261">
        <f>claim902.5</f>
        <v>0</v>
      </c>
      <c r="H749" s="2381"/>
      <c r="I749" s="2381"/>
      <c r="J749" s="1881"/>
      <c r="K749" s="4609">
        <f>note902.5</f>
        <v>0</v>
      </c>
      <c r="L749" s="4945"/>
      <c r="M749" s="2702" t="str">
        <f t="shared" si="72"/>
        <v/>
      </c>
      <c r="X749" s="32">
        <f>IF(AND(H749&gt;0,I749&gt;0),1,0)</f>
        <v>0</v>
      </c>
    </row>
    <row r="750" spans="3:31" ht="46" thickTop="1">
      <c r="C750" s="2142" t="s">
        <v>2800</v>
      </c>
      <c r="D750" s="433" t="s">
        <v>2796</v>
      </c>
      <c r="E750" s="2445" t="s">
        <v>2323</v>
      </c>
      <c r="F750" s="2022" t="s">
        <v>3</v>
      </c>
      <c r="G750" s="1603">
        <f>claim902.6</f>
        <v>0</v>
      </c>
      <c r="H750" s="1907"/>
      <c r="I750" s="2078"/>
      <c r="J750" s="1907"/>
      <c r="K750" s="4504">
        <f>note902.6</f>
        <v>0</v>
      </c>
      <c r="L750" s="4994"/>
      <c r="M750" s="2702" t="str">
        <f t="shared" si="72"/>
        <v>!</v>
      </c>
      <c r="Z750" s="32">
        <f>IF(H750="",1,0)</f>
        <v>1</v>
      </c>
    </row>
    <row r="751" spans="3:31">
      <c r="E751" s="5057" t="s">
        <v>676</v>
      </c>
      <c r="F751" s="5058"/>
      <c r="G751" s="5058"/>
      <c r="H751" s="5058"/>
      <c r="I751" s="5058"/>
      <c r="J751" s="5058"/>
      <c r="K751" s="5058"/>
      <c r="L751" s="5059"/>
      <c r="M751" s="2702" t="str">
        <f t="shared" si="72"/>
        <v/>
      </c>
    </row>
    <row r="752" spans="3:31">
      <c r="E752" s="2445" t="s">
        <v>2325</v>
      </c>
      <c r="F752" s="2325"/>
      <c r="G752" s="842"/>
      <c r="H752" s="1833"/>
      <c r="I752" s="1833"/>
      <c r="J752" s="1833"/>
      <c r="K752" s="5073"/>
      <c r="L752" s="5074"/>
      <c r="M752" s="2702" t="str">
        <f t="shared" si="72"/>
        <v/>
      </c>
    </row>
    <row r="753" spans="3:32" ht="30">
      <c r="C753" s="2142" t="str">
        <f t="shared" ref="C753:C754" si="77">IF(G753&gt;0,"P","")</f>
        <v/>
      </c>
      <c r="D753" s="433" t="s">
        <v>2795</v>
      </c>
      <c r="E753" s="2378" t="s">
        <v>2324</v>
      </c>
      <c r="F753" s="2379">
        <v>2</v>
      </c>
      <c r="G753" s="2528">
        <f>IF(claim903.1=2,2,0)</f>
        <v>0</v>
      </c>
      <c r="H753" s="2381"/>
      <c r="I753" s="2381"/>
      <c r="J753" s="2531"/>
      <c r="K753" s="4854">
        <f>note903.1.1</f>
        <v>0</v>
      </c>
      <c r="L753" s="4855"/>
      <c r="M753" s="2702" t="str">
        <f t="shared" si="72"/>
        <v/>
      </c>
      <c r="X753" s="32">
        <f>IF(AND(H753&gt;0,I753&gt;0),1,0)</f>
        <v>0</v>
      </c>
    </row>
    <row r="754" spans="3:32" ht="16" thickBot="1">
      <c r="C754" s="2142" t="str">
        <f t="shared" si="77"/>
        <v/>
      </c>
      <c r="D754" s="433" t="s">
        <v>2795</v>
      </c>
      <c r="E754" s="2420" t="s">
        <v>2326</v>
      </c>
      <c r="F754" s="252">
        <v>5</v>
      </c>
      <c r="G754" s="1506">
        <f>IF(claim903.1=5,5,0)</f>
        <v>0</v>
      </c>
      <c r="H754" s="2381"/>
      <c r="I754" s="2381"/>
      <c r="J754" s="1905"/>
      <c r="K754" s="4526">
        <f>note903.1.2</f>
        <v>0</v>
      </c>
      <c r="L754" s="4852"/>
      <c r="M754" s="2702" t="str">
        <f t="shared" si="72"/>
        <v/>
      </c>
      <c r="X754" s="32">
        <f>IF(AND(H754&gt;0,I754&gt;0),1,0)</f>
        <v>0</v>
      </c>
    </row>
    <row r="755" spans="3:32" ht="16" thickTop="1">
      <c r="D755" s="433" t="s">
        <v>2795</v>
      </c>
      <c r="E755" s="2422" t="s">
        <v>2327</v>
      </c>
      <c r="F755" s="264"/>
      <c r="G755" s="264"/>
      <c r="H755" s="1855"/>
      <c r="I755" s="1855"/>
      <c r="J755" s="1837"/>
      <c r="K755" s="4516"/>
      <c r="L755" s="4853"/>
      <c r="M755" s="2702" t="str">
        <f t="shared" si="72"/>
        <v/>
      </c>
    </row>
    <row r="756" spans="3:32" ht="28.5" customHeight="1">
      <c r="C756" s="2142" t="str">
        <f t="shared" ref="C756:C757" si="78">IF(G756&gt;0,"P","")</f>
        <v/>
      </c>
      <c r="D756" s="433" t="s">
        <v>2795</v>
      </c>
      <c r="E756" s="2483" t="s">
        <v>2328</v>
      </c>
      <c r="F756" s="2390">
        <v>1</v>
      </c>
      <c r="G756" s="2520">
        <f>IF(claim903.2=1,1,0)</f>
        <v>0</v>
      </c>
      <c r="H756" s="4910"/>
      <c r="I756" s="4910"/>
      <c r="J756" s="5071"/>
      <c r="K756" s="4810">
        <f>note903.2_1</f>
        <v>0</v>
      </c>
      <c r="L756" s="4811"/>
      <c r="M756" s="2702" t="str">
        <f t="shared" si="72"/>
        <v/>
      </c>
      <c r="X756" s="32">
        <f>IF(AND(H756&gt;0,I756&gt;0),1,0)</f>
        <v>0</v>
      </c>
      <c r="AB756" s="32">
        <f>IF(AND(H756&gt;0,AND(SUM(H427,I427)&gt;0,SUM(H428,I428)&gt;0)),1,0)</f>
        <v>0</v>
      </c>
      <c r="AC756" s="32">
        <f>IF(AND(I756&gt;0,AND(SUM(H427,I427)&gt;0,SUM(H428,I428)&gt;0)),1,0)</f>
        <v>0</v>
      </c>
    </row>
    <row r="757" spans="3:32" ht="31" thickBot="1">
      <c r="C757" s="2142" t="str">
        <f t="shared" si="78"/>
        <v/>
      </c>
      <c r="D757" s="433" t="s">
        <v>2795</v>
      </c>
      <c r="E757" s="2500" t="s">
        <v>2329</v>
      </c>
      <c r="F757" s="252">
        <v>3</v>
      </c>
      <c r="G757" s="1506">
        <f>IF(claim903.2=3,3,0)</f>
        <v>0</v>
      </c>
      <c r="H757" s="4911"/>
      <c r="I757" s="4911"/>
      <c r="J757" s="5072"/>
      <c r="K757" s="4849"/>
      <c r="L757" s="4850"/>
      <c r="M757" s="2702" t="str">
        <f t="shared" si="72"/>
        <v/>
      </c>
    </row>
    <row r="758" spans="3:32" ht="47" thickTop="1" thickBot="1">
      <c r="C758" s="2142" t="str">
        <f>IF(SUM(G759:G760)&gt;0,"P","")</f>
        <v/>
      </c>
      <c r="D758" s="433" t="s">
        <v>2797</v>
      </c>
      <c r="E758" s="2443" t="s">
        <v>2772</v>
      </c>
      <c r="F758" s="1604"/>
      <c r="G758" s="2332"/>
      <c r="H758" s="2362"/>
      <c r="I758" s="2362"/>
      <c r="J758" s="2362"/>
      <c r="K758" s="4578"/>
      <c r="L758" s="5075"/>
      <c r="M758" s="2702" t="str">
        <f t="shared" si="72"/>
        <v/>
      </c>
    </row>
    <row r="759" spans="3:32" ht="17" thickTop="1" thickBot="1">
      <c r="C759" s="2142" t="str">
        <f t="shared" ref="C759:C763" si="79">IF(G759&gt;0,"P","")</f>
        <v/>
      </c>
      <c r="D759" s="433" t="s">
        <v>2797</v>
      </c>
      <c r="E759" s="2378" t="s">
        <v>2331</v>
      </c>
      <c r="F759" s="2519">
        <f>IF(AND(OR(VCZ=1,VCZ=2,VCZ=3,VCZ=4,VCZ=5),OR(startClimateType="Warm-Humid",startClimateType="Moist")),7,0)</f>
        <v>0</v>
      </c>
      <c r="G759" s="2528">
        <f>IF(choice903.3="additional dehumidification system",7,0)</f>
        <v>0</v>
      </c>
      <c r="H759" s="4839"/>
      <c r="I759" s="5010"/>
      <c r="J759" s="5010"/>
      <c r="K759" s="4522">
        <f>note903.3_1</f>
        <v>0</v>
      </c>
      <c r="L759" s="4980"/>
      <c r="M759" s="2702" t="str">
        <f t="shared" si="72"/>
        <v/>
      </c>
      <c r="AB759" s="32">
        <f>IF(AND(I759&gt;0,AF759&lt;&gt;1),1,0)</f>
        <v>0</v>
      </c>
      <c r="AF759" s="2815">
        <f>IF(AND(startClimateZone&gt;=1,startClimateZone&lt;=5,OR(startClimateType="Moist",startClimateType="Warm-Humid")),1,0)</f>
        <v>0</v>
      </c>
    </row>
    <row r="760" spans="3:32" ht="30">
      <c r="C760" s="2142" t="str">
        <f t="shared" si="79"/>
        <v/>
      </c>
      <c r="D760" s="433" t="s">
        <v>2797</v>
      </c>
      <c r="E760" s="2384" t="s">
        <v>2332</v>
      </c>
      <c r="F760" s="2354">
        <f>IF(AND(OR(VCZ=1,VCZ=2,VCZ=3,VCZ=4,VCZ=5),OR(startClimateType="Warm-Humid",startClimateType="Moist")),7,0)</f>
        <v>0</v>
      </c>
      <c r="G760" s="2356">
        <f>IF(choice903.3="central HVAC system with dehumidification mode",7,0)</f>
        <v>0</v>
      </c>
      <c r="H760" s="4933"/>
      <c r="I760" s="4941"/>
      <c r="J760" s="4941"/>
      <c r="K760" s="4810">
        <f>note903.3_2</f>
        <v>0</v>
      </c>
      <c r="L760" s="4811"/>
      <c r="M760" s="2702" t="str">
        <f t="shared" si="72"/>
        <v/>
      </c>
    </row>
    <row r="761" spans="3:32">
      <c r="E761" s="5057" t="s">
        <v>677</v>
      </c>
      <c r="F761" s="5058"/>
      <c r="G761" s="5058"/>
      <c r="H761" s="5058"/>
      <c r="I761" s="5058"/>
      <c r="J761" s="5058"/>
      <c r="K761" s="5058"/>
      <c r="L761" s="5059"/>
      <c r="M761" s="2702" t="str">
        <f t="shared" si="72"/>
        <v/>
      </c>
    </row>
    <row r="762" spans="3:32" ht="75">
      <c r="C762" s="2142" t="str">
        <f t="shared" si="79"/>
        <v/>
      </c>
      <c r="D762" s="433" t="s">
        <v>2797</v>
      </c>
      <c r="E762" s="2480" t="s">
        <v>2333</v>
      </c>
      <c r="F762" s="2326">
        <v>2</v>
      </c>
      <c r="G762" s="2340">
        <f>claim904.1</f>
        <v>0</v>
      </c>
      <c r="H762" s="2038"/>
      <c r="I762" s="2351"/>
      <c r="J762" s="2351"/>
      <c r="K762" s="4854">
        <f>note904.1</f>
        <v>0</v>
      </c>
      <c r="L762" s="4855"/>
      <c r="M762" s="2702" t="str">
        <f t="shared" si="72"/>
        <v/>
      </c>
    </row>
    <row r="763" spans="3:32" ht="45">
      <c r="C763" s="2142" t="str">
        <f t="shared" si="79"/>
        <v/>
      </c>
      <c r="D763" s="433" t="s">
        <v>2797</v>
      </c>
      <c r="E763" s="2453" t="s">
        <v>2334</v>
      </c>
      <c r="F763" s="2379">
        <v>2</v>
      </c>
      <c r="G763" s="2380">
        <f>claim904.2</f>
        <v>0</v>
      </c>
      <c r="H763" s="2437"/>
      <c r="I763" s="2381"/>
      <c r="J763" s="2381"/>
      <c r="K763" s="4854">
        <f>note904.2</f>
        <v>0</v>
      </c>
      <c r="L763" s="4855"/>
      <c r="M763" s="2702" t="str">
        <f t="shared" si="72"/>
        <v/>
      </c>
    </row>
    <row r="764" spans="3:32">
      <c r="C764" s="2142" t="s">
        <v>2806</v>
      </c>
      <c r="D764" s="433" t="s">
        <v>2795</v>
      </c>
      <c r="E764" s="5050" t="s">
        <v>2635</v>
      </c>
      <c r="F764" s="5051"/>
      <c r="G764" s="2685">
        <f>SUM(G629:G763) -SUM(G666:G689)</f>
        <v>0</v>
      </c>
      <c r="H764" s="2685">
        <f>SUM(H629:H763)</f>
        <v>0</v>
      </c>
      <c r="I764" s="2685">
        <f>SUM(I629:I763)-SUM(I686:I689,I681:I684,I676:I679,I671:I674,I666:I669)-SUM(I730:I731)</f>
        <v>0</v>
      </c>
      <c r="J764" s="2686" t="str">
        <f>IF(SUM(H764,I764)&gt;96,"EMERALD",IF(SUM(H764,I764)&gt;68,"GOLD",IF(SUM(H764,I764)&gt;41,"SILVER",IF(SUM(H764,I764)&gt;24,"BRONZE","no threshold achieved yet"))))</f>
        <v>no threshold achieved yet</v>
      </c>
      <c r="K764" s="4865" t="str">
        <f>IF(J764="Emerald","Minimum points for Emerald = 97",IF(J764="Gold","Minimum points for Gold = 69; for Emerald = 97",IF(J764="Silver","Minimum points for Silver = 42; for Gold = 69",IF(J764="Bronze","Minimum points for Bronze = 25; for Silver = 42","Minimum points for Bronze = 25"))))</f>
        <v>Minimum points for Bronze = 25</v>
      </c>
      <c r="L764" s="4866"/>
      <c r="M764" s="2702" t="str">
        <f t="shared" si="72"/>
        <v/>
      </c>
    </row>
    <row r="765" spans="3:32">
      <c r="E765" s="5057" t="s">
        <v>678</v>
      </c>
      <c r="F765" s="5058"/>
      <c r="G765" s="5058"/>
      <c r="H765" s="5058"/>
      <c r="I765" s="5058"/>
      <c r="J765" s="5058"/>
      <c r="K765" s="5058"/>
      <c r="L765" s="5059"/>
      <c r="M765" s="2702" t="str">
        <f t="shared" si="72"/>
        <v/>
      </c>
    </row>
    <row r="766" spans="3:32">
      <c r="E766" s="5057" t="s">
        <v>679</v>
      </c>
      <c r="F766" s="5058"/>
      <c r="G766" s="5058"/>
      <c r="H766" s="5058"/>
      <c r="I766" s="5058"/>
      <c r="J766" s="5058"/>
      <c r="K766" s="5058"/>
      <c r="L766" s="5059"/>
      <c r="M766" s="2702" t="str">
        <f t="shared" si="72"/>
        <v/>
      </c>
    </row>
    <row r="767" spans="3:32" ht="60">
      <c r="C767" s="2142" t="str">
        <f>IF(G767&gt;0,"p","")</f>
        <v/>
      </c>
      <c r="D767" s="433" t="s">
        <v>2797</v>
      </c>
      <c r="E767" s="2480" t="s">
        <v>2775</v>
      </c>
      <c r="F767" s="317" t="s">
        <v>2196</v>
      </c>
      <c r="G767" s="2353">
        <f>claim1001.1</f>
        <v>0</v>
      </c>
      <c r="H767" s="2047"/>
      <c r="I767" s="2079">
        <f>IF(BldgType="Single-Family",IF(ROUNDDOWN(Formulas!I247/2,0)&lt;9,ROUNDDOWN(Formulas!I247/2,0),8),0)</f>
        <v>0</v>
      </c>
      <c r="J767" s="1897"/>
      <c r="K767" s="4847"/>
      <c r="L767" s="4848"/>
      <c r="M767" s="2702" t="str">
        <f t="shared" si="72"/>
        <v/>
      </c>
    </row>
    <row r="768" spans="3:32">
      <c r="C768" s="2142" t="str">
        <f>IF(G768="Met","P","")</f>
        <v/>
      </c>
      <c r="D768" s="433" t="s">
        <v>2797</v>
      </c>
      <c r="E768" s="2378" t="s">
        <v>2200</v>
      </c>
      <c r="F768" s="2442" t="s">
        <v>3</v>
      </c>
      <c r="G768" s="2073">
        <f>IF(startSingleorMulti="Single-Family",choice1001.1_1,IF(startSingleorMulti="Multi-Unit","NA",choice1001.1_1))</f>
        <v>0</v>
      </c>
      <c r="H768" s="2437"/>
      <c r="I768" s="2395"/>
      <c r="J768" s="2395"/>
      <c r="K768" s="5060">
        <f>note1001.1_1</f>
        <v>0</v>
      </c>
      <c r="L768" s="5061"/>
      <c r="M768" s="2702" t="str">
        <f t="shared" si="72"/>
        <v/>
      </c>
      <c r="AA768" s="32">
        <f>IF(AND(ReportType="Final",BldgType&lt;&gt;"Multi-Unit",af1001.1_1=""),1,0)</f>
        <v>0</v>
      </c>
      <c r="AB768" s="32">
        <f>IF(AND(ReportType="Final",BldgType="Single-Family",I768=""),1,0)</f>
        <v>0</v>
      </c>
    </row>
    <row r="769" spans="3:28" ht="30">
      <c r="C769" s="2142" t="str">
        <f t="shared" ref="C769:C788" si="80">IF(G769="Met","P","")</f>
        <v/>
      </c>
      <c r="D769" s="433" t="s">
        <v>2797</v>
      </c>
      <c r="E769" s="2378" t="s">
        <v>2201</v>
      </c>
      <c r="F769" s="2442" t="s">
        <v>3</v>
      </c>
      <c r="G769" s="2073">
        <f>IF(startSingleorMulti="Single-Family",choice1001.1_2,IF(startSingleorMulti="Multi-Unit","NA",choice1001.1_2))</f>
        <v>0</v>
      </c>
      <c r="H769" s="2437"/>
      <c r="I769" s="2395"/>
      <c r="J769" s="2395"/>
      <c r="K769" s="5060">
        <f>note1001.1_2</f>
        <v>0</v>
      </c>
      <c r="L769" s="5061"/>
      <c r="M769" s="2702" t="str">
        <f t="shared" si="72"/>
        <v/>
      </c>
      <c r="AA769" s="32">
        <f>IF(AND(ReportType="Final",BldgType&lt;&gt;"Multi-Unit",af1001.1_2=""),1,0)</f>
        <v>0</v>
      </c>
      <c r="AB769" s="32">
        <f>IF(AND(ReportType="Final",BldgType="Single-Family",I769=""),1,0)</f>
        <v>0</v>
      </c>
    </row>
    <row r="770" spans="3:28" ht="30">
      <c r="C770" s="2142" t="str">
        <f t="shared" si="80"/>
        <v/>
      </c>
      <c r="D770" s="433" t="s">
        <v>2797</v>
      </c>
      <c r="E770" s="2384" t="s">
        <v>2202</v>
      </c>
      <c r="F770" s="2051" t="s">
        <v>3</v>
      </c>
      <c r="G770" s="2358">
        <f>IF(startSingleorMulti="Single-Family",choice1001.1_3,IF(startSingleorMulti="Multi-Unit","NA",choice1001.1_3))</f>
        <v>0</v>
      </c>
      <c r="H770" s="2054"/>
      <c r="I770" s="2395"/>
      <c r="J770" s="2359"/>
      <c r="K770" s="5060">
        <f>note1001.1_3</f>
        <v>0</v>
      </c>
      <c r="L770" s="5061"/>
      <c r="M770" s="2702" t="str">
        <f t="shared" si="72"/>
        <v/>
      </c>
      <c r="AA770" s="32">
        <f>IF(AND(ReportType="Final",BldgType&lt;&gt;"Multi-Unit",af1001.1_3=""),1,0)</f>
        <v>0</v>
      </c>
      <c r="AB770" s="32">
        <f>IF(AND(ReportType="Final",BldgType="Single-Family",I770=""),1,0)</f>
        <v>0</v>
      </c>
    </row>
    <row r="771" spans="3:28">
      <c r="C771" s="2142" t="str">
        <f t="shared" si="80"/>
        <v/>
      </c>
      <c r="D771" s="433" t="s">
        <v>2797</v>
      </c>
      <c r="E771" s="2378" t="s">
        <v>2203</v>
      </c>
      <c r="F771" s="2379">
        <v>0.5</v>
      </c>
      <c r="G771" s="2380">
        <f>choice1001.1_4</f>
        <v>0</v>
      </c>
      <c r="H771" s="2437"/>
      <c r="I771" s="2395"/>
      <c r="J771" s="2381"/>
      <c r="K771" s="5060">
        <f>note1001.1_4</f>
        <v>0</v>
      </c>
      <c r="L771" s="5061"/>
      <c r="M771" s="2702" t="str">
        <f t="shared" si="72"/>
        <v/>
      </c>
    </row>
    <row r="772" spans="3:28">
      <c r="C772" s="2142" t="str">
        <f t="shared" si="80"/>
        <v/>
      </c>
      <c r="D772" s="433" t="s">
        <v>2797</v>
      </c>
      <c r="E772" s="2378" t="s">
        <v>2204</v>
      </c>
      <c r="F772" s="2326">
        <v>0.5</v>
      </c>
      <c r="G772" s="2380">
        <f>choice1001.1_5</f>
        <v>0</v>
      </c>
      <c r="H772" s="2437"/>
      <c r="I772" s="2395"/>
      <c r="J772" s="2381"/>
      <c r="K772" s="4854">
        <f>note1001.1_5</f>
        <v>0</v>
      </c>
      <c r="L772" s="4855"/>
      <c r="M772" s="2702" t="str">
        <f t="shared" si="72"/>
        <v/>
      </c>
    </row>
    <row r="773" spans="3:28" ht="30">
      <c r="C773" s="2142" t="str">
        <f t="shared" si="80"/>
        <v/>
      </c>
      <c r="D773" s="433" t="s">
        <v>2797</v>
      </c>
      <c r="E773" s="2378" t="s">
        <v>2205</v>
      </c>
      <c r="F773" s="2326">
        <v>0.5</v>
      </c>
      <c r="G773" s="2380">
        <f>choice1001.1_6</f>
        <v>0</v>
      </c>
      <c r="H773" s="2437"/>
      <c r="I773" s="2395"/>
      <c r="J773" s="2381"/>
      <c r="K773" s="4854">
        <f>note1001.1_6</f>
        <v>0</v>
      </c>
      <c r="L773" s="4855"/>
      <c r="M773" s="2702" t="str">
        <f t="shared" si="72"/>
        <v/>
      </c>
    </row>
    <row r="774" spans="3:28" ht="30">
      <c r="C774" s="2142" t="str">
        <f t="shared" si="80"/>
        <v/>
      </c>
      <c r="D774" s="433" t="s">
        <v>2797</v>
      </c>
      <c r="E774" s="2378" t="s">
        <v>2206</v>
      </c>
      <c r="F774" s="2326">
        <v>0.5</v>
      </c>
      <c r="G774" s="2380">
        <f>choice1001.1_7</f>
        <v>0</v>
      </c>
      <c r="H774" s="2437"/>
      <c r="I774" s="2395"/>
      <c r="J774" s="2381"/>
      <c r="K774" s="4854">
        <f>note1001.1_7</f>
        <v>0</v>
      </c>
      <c r="L774" s="4855"/>
      <c r="M774" s="2702" t="str">
        <f t="shared" si="72"/>
        <v/>
      </c>
    </row>
    <row r="775" spans="3:28">
      <c r="C775" s="2142" t="str">
        <f t="shared" si="80"/>
        <v/>
      </c>
      <c r="D775" s="433" t="s">
        <v>2797</v>
      </c>
      <c r="E775" s="2378" t="s">
        <v>2207</v>
      </c>
      <c r="F775" s="2326">
        <v>0.5</v>
      </c>
      <c r="G775" s="2380">
        <f>choice1001.1_8</f>
        <v>0</v>
      </c>
      <c r="H775" s="2437"/>
      <c r="I775" s="2395"/>
      <c r="J775" s="2381"/>
      <c r="K775" s="4854">
        <f>note1001.1_8</f>
        <v>0</v>
      </c>
      <c r="L775" s="4855"/>
      <c r="M775" s="2702" t="str">
        <f t="shared" si="72"/>
        <v/>
      </c>
    </row>
    <row r="776" spans="3:28">
      <c r="C776" s="2142" t="str">
        <f t="shared" si="80"/>
        <v/>
      </c>
      <c r="D776" s="433" t="s">
        <v>2797</v>
      </c>
      <c r="E776" s="2378" t="s">
        <v>2208</v>
      </c>
      <c r="F776" s="2326">
        <v>0.5</v>
      </c>
      <c r="G776" s="2380">
        <f>choice1001.1_9</f>
        <v>0</v>
      </c>
      <c r="H776" s="2437"/>
      <c r="I776" s="2395"/>
      <c r="J776" s="2381"/>
      <c r="K776" s="4854">
        <f>note1001.1_9</f>
        <v>0</v>
      </c>
      <c r="L776" s="4855"/>
      <c r="M776" s="2702" t="str">
        <f t="shared" si="72"/>
        <v/>
      </c>
    </row>
    <row r="777" spans="3:28" ht="30">
      <c r="C777" s="2142" t="str">
        <f t="shared" si="80"/>
        <v/>
      </c>
      <c r="D777" s="433" t="s">
        <v>2797</v>
      </c>
      <c r="E777" s="2378" t="s">
        <v>2209</v>
      </c>
      <c r="F777" s="2326">
        <v>0.5</v>
      </c>
      <c r="G777" s="2380">
        <f>choice1001.1_10</f>
        <v>0</v>
      </c>
      <c r="H777" s="2437"/>
      <c r="I777" s="2395"/>
      <c r="J777" s="2381"/>
      <c r="K777" s="4854">
        <f>note1001.1_10</f>
        <v>0</v>
      </c>
      <c r="L777" s="4855"/>
      <c r="M777" s="2702" t="str">
        <f t="shared" si="72"/>
        <v/>
      </c>
    </row>
    <row r="778" spans="3:28" ht="30">
      <c r="C778" s="2142" t="str">
        <f t="shared" si="80"/>
        <v/>
      </c>
      <c r="D778" s="433" t="s">
        <v>2797</v>
      </c>
      <c r="E778" s="2378" t="s">
        <v>2210</v>
      </c>
      <c r="F778" s="2326">
        <v>0.5</v>
      </c>
      <c r="G778" s="2380">
        <f>choice1001.1_11</f>
        <v>0</v>
      </c>
      <c r="H778" s="2437"/>
      <c r="I778" s="2395"/>
      <c r="J778" s="2381"/>
      <c r="K778" s="4854">
        <f>note1001.1_11</f>
        <v>0</v>
      </c>
      <c r="L778" s="4855"/>
      <c r="M778" s="2702" t="str">
        <f t="shared" si="72"/>
        <v/>
      </c>
    </row>
    <row r="779" spans="3:28" ht="30">
      <c r="C779" s="2142" t="str">
        <f t="shared" si="80"/>
        <v/>
      </c>
      <c r="D779" s="433" t="s">
        <v>2797</v>
      </c>
      <c r="E779" s="2378" t="s">
        <v>2211</v>
      </c>
      <c r="F779" s="2326">
        <v>0.5</v>
      </c>
      <c r="G779" s="2380">
        <f>choice1001.1_12</f>
        <v>0</v>
      </c>
      <c r="H779" s="2437"/>
      <c r="I779" s="2395"/>
      <c r="J779" s="2381"/>
      <c r="K779" s="4854">
        <f>note1001.1_12</f>
        <v>0</v>
      </c>
      <c r="L779" s="4855"/>
      <c r="M779" s="2702" t="str">
        <f t="shared" si="72"/>
        <v/>
      </c>
    </row>
    <row r="780" spans="3:28">
      <c r="C780" s="2142" t="str">
        <f t="shared" si="80"/>
        <v/>
      </c>
      <c r="D780" s="433" t="s">
        <v>2797</v>
      </c>
      <c r="E780" s="2378" t="s">
        <v>2212</v>
      </c>
      <c r="F780" s="2326">
        <v>0.5</v>
      </c>
      <c r="G780" s="2380">
        <f>choice1001.1_13</f>
        <v>0</v>
      </c>
      <c r="H780" s="2437"/>
      <c r="I780" s="2395"/>
      <c r="J780" s="2381"/>
      <c r="K780" s="4854">
        <f>note1001.1_13</f>
        <v>0</v>
      </c>
      <c r="L780" s="4855"/>
      <c r="M780" s="2702" t="str">
        <f t="shared" si="72"/>
        <v/>
      </c>
    </row>
    <row r="781" spans="3:28" ht="30">
      <c r="C781" s="2142" t="str">
        <f t="shared" si="80"/>
        <v/>
      </c>
      <c r="D781" s="433" t="s">
        <v>2797</v>
      </c>
      <c r="E781" s="2378" t="s">
        <v>2213</v>
      </c>
      <c r="F781" s="2326">
        <v>0.5</v>
      </c>
      <c r="G781" s="2380">
        <f>choice1001.1_14</f>
        <v>0</v>
      </c>
      <c r="H781" s="2437"/>
      <c r="I781" s="2395"/>
      <c r="J781" s="2381"/>
      <c r="K781" s="4854">
        <f>note1001.1_14</f>
        <v>0</v>
      </c>
      <c r="L781" s="4855"/>
      <c r="M781" s="2702" t="str">
        <f t="shared" si="72"/>
        <v/>
      </c>
    </row>
    <row r="782" spans="3:28" ht="30">
      <c r="C782" s="2142" t="str">
        <f t="shared" si="80"/>
        <v/>
      </c>
      <c r="D782" s="433" t="s">
        <v>2797</v>
      </c>
      <c r="E782" s="2378" t="s">
        <v>2214</v>
      </c>
      <c r="F782" s="2326">
        <v>0.5</v>
      </c>
      <c r="G782" s="2380">
        <f>choice1001.1_15</f>
        <v>0</v>
      </c>
      <c r="H782" s="2437"/>
      <c r="I782" s="2395"/>
      <c r="J782" s="2381"/>
      <c r="K782" s="4854">
        <f>note1001.1_15</f>
        <v>0</v>
      </c>
      <c r="L782" s="4855"/>
      <c r="M782" s="2702" t="str">
        <f t="shared" si="72"/>
        <v/>
      </c>
    </row>
    <row r="783" spans="3:28" ht="30">
      <c r="C783" s="2142" t="str">
        <f t="shared" si="80"/>
        <v/>
      </c>
      <c r="D783" s="433" t="s">
        <v>2797</v>
      </c>
      <c r="E783" s="2378" t="s">
        <v>680</v>
      </c>
      <c r="F783" s="2326">
        <v>0.5</v>
      </c>
      <c r="G783" s="2380">
        <f>choice1001.1_16</f>
        <v>0</v>
      </c>
      <c r="H783" s="2437"/>
      <c r="I783" s="2395"/>
      <c r="J783" s="2381"/>
      <c r="K783" s="4854">
        <f>note1001.1_16</f>
        <v>0</v>
      </c>
      <c r="L783" s="4855"/>
      <c r="M783" s="2702" t="str">
        <f t="shared" si="72"/>
        <v/>
      </c>
    </row>
    <row r="784" spans="3:28" ht="30">
      <c r="C784" s="2142" t="str">
        <f t="shared" si="80"/>
        <v/>
      </c>
      <c r="D784" s="433" t="s">
        <v>2797</v>
      </c>
      <c r="E784" s="2378" t="s">
        <v>2215</v>
      </c>
      <c r="F784" s="2326">
        <v>0.5</v>
      </c>
      <c r="G784" s="2380">
        <f>choice1001.1_17</f>
        <v>0</v>
      </c>
      <c r="H784" s="2437"/>
      <c r="I784" s="2395"/>
      <c r="J784" s="2381"/>
      <c r="K784" s="4854">
        <f>note1001.1_17</f>
        <v>0</v>
      </c>
      <c r="L784" s="4855"/>
      <c r="M784" s="2702" t="str">
        <f t="shared" si="72"/>
        <v/>
      </c>
    </row>
    <row r="785" spans="3:28">
      <c r="C785" s="2142" t="str">
        <f t="shared" si="80"/>
        <v/>
      </c>
      <c r="D785" s="433" t="s">
        <v>2797</v>
      </c>
      <c r="E785" s="2378" t="s">
        <v>2216</v>
      </c>
      <c r="F785" s="2326">
        <v>0.5</v>
      </c>
      <c r="G785" s="2380">
        <f>choice1001.1_18</f>
        <v>0</v>
      </c>
      <c r="H785" s="2437"/>
      <c r="I785" s="2395"/>
      <c r="J785" s="2381"/>
      <c r="K785" s="4854">
        <f>note1001.1_18</f>
        <v>0</v>
      </c>
      <c r="L785" s="4855"/>
      <c r="M785" s="2702" t="str">
        <f t="shared" ref="M785:M822" si="81">IF(AND(ReportType="Rough",SUM(X785,Y785,Z785,AB785,AC785,AD785,AE785)&gt;0),"!",IF(AND(ReportType="Final", SUM(X785,Y785,AA785,AB785,AC785,AD785,AE785)&gt;0),"!",""))</f>
        <v/>
      </c>
    </row>
    <row r="786" spans="3:28" ht="30">
      <c r="C786" s="2142" t="str">
        <f t="shared" si="80"/>
        <v/>
      </c>
      <c r="D786" s="433" t="s">
        <v>2797</v>
      </c>
      <c r="E786" s="2378" t="s">
        <v>2217</v>
      </c>
      <c r="F786" s="2326">
        <v>0.5</v>
      </c>
      <c r="G786" s="2380">
        <f>choice1001.1_19</f>
        <v>0</v>
      </c>
      <c r="H786" s="2437"/>
      <c r="I786" s="2395"/>
      <c r="J786" s="2381"/>
      <c r="K786" s="4854">
        <f>note1001.1_19</f>
        <v>0</v>
      </c>
      <c r="L786" s="4855"/>
      <c r="M786" s="2702" t="str">
        <f t="shared" si="81"/>
        <v/>
      </c>
    </row>
    <row r="787" spans="3:28" ht="30">
      <c r="C787" s="2142" t="str">
        <f t="shared" si="80"/>
        <v/>
      </c>
      <c r="D787" s="433" t="s">
        <v>2797</v>
      </c>
      <c r="E787" s="2384" t="s">
        <v>2218</v>
      </c>
      <c r="F787" s="2325">
        <v>0.5</v>
      </c>
      <c r="G787" s="2334">
        <f>choice1001.1_20</f>
        <v>0</v>
      </c>
      <c r="H787" s="2054"/>
      <c r="I787" s="2395"/>
      <c r="J787" s="2350"/>
      <c r="K787" s="4810">
        <f>note1001.1_20</f>
        <v>0</v>
      </c>
      <c r="L787" s="4811"/>
      <c r="M787" s="2702" t="str">
        <f t="shared" si="81"/>
        <v/>
      </c>
    </row>
    <row r="788" spans="3:28" ht="30">
      <c r="C788" s="2142" t="str">
        <f t="shared" si="80"/>
        <v/>
      </c>
      <c r="D788" s="433" t="s">
        <v>2797</v>
      </c>
      <c r="E788" s="2384" t="s">
        <v>2219</v>
      </c>
      <c r="F788" s="2342">
        <v>0.5</v>
      </c>
      <c r="G788" s="2334">
        <f>choice1001.1_21</f>
        <v>0</v>
      </c>
      <c r="H788" s="2054"/>
      <c r="I788" s="2395"/>
      <c r="J788" s="2350"/>
      <c r="K788" s="4810">
        <f>note1001.1_21</f>
        <v>0</v>
      </c>
      <c r="L788" s="4811"/>
      <c r="M788" s="2702" t="str">
        <f t="shared" si="81"/>
        <v/>
      </c>
    </row>
    <row r="789" spans="3:28">
      <c r="D789" s="433" t="s">
        <v>2797</v>
      </c>
      <c r="E789" s="5057" t="s">
        <v>681</v>
      </c>
      <c r="F789" s="5058"/>
      <c r="G789" s="5058"/>
      <c r="H789" s="5058"/>
      <c r="I789" s="5058"/>
      <c r="J789" s="5058"/>
      <c r="K789" s="5058"/>
      <c r="L789" s="5059"/>
      <c r="M789" s="2702" t="str">
        <f t="shared" si="81"/>
        <v/>
      </c>
    </row>
    <row r="790" spans="3:28" ht="165">
      <c r="C790" s="2142" t="str">
        <f>IF(G790&gt;0,"P","")</f>
        <v/>
      </c>
      <c r="D790" s="433" t="s">
        <v>2797</v>
      </c>
      <c r="E790" s="2445" t="s">
        <v>2197</v>
      </c>
      <c r="F790" s="313">
        <v>8</v>
      </c>
      <c r="G790" s="2335">
        <f>claim1002.1</f>
        <v>0</v>
      </c>
      <c r="H790" s="2059"/>
      <c r="I790" s="1888"/>
      <c r="J790" s="1888"/>
      <c r="K790" s="4810">
        <f>note1002.1</f>
        <v>0</v>
      </c>
      <c r="L790" s="4811"/>
      <c r="M790" s="2702" t="str">
        <f t="shared" si="81"/>
        <v/>
      </c>
    </row>
    <row r="791" spans="3:28">
      <c r="D791" s="433" t="s">
        <v>2797</v>
      </c>
      <c r="E791" s="5057" t="s">
        <v>682</v>
      </c>
      <c r="F791" s="5058"/>
      <c r="G791" s="5058"/>
      <c r="H791" s="5058"/>
      <c r="I791" s="5058"/>
      <c r="J791" s="5058"/>
      <c r="K791" s="5058"/>
      <c r="L791" s="5059"/>
      <c r="M791" s="2702" t="str">
        <f t="shared" si="81"/>
        <v/>
      </c>
    </row>
    <row r="792" spans="3:28" ht="91" thickBot="1">
      <c r="C792" s="2142" t="str">
        <f>IF(G793&gt;0,"P","")</f>
        <v/>
      </c>
      <c r="D792" s="433" t="s">
        <v>2797</v>
      </c>
      <c r="E792" s="2445" t="s">
        <v>2199</v>
      </c>
      <c r="F792" s="318"/>
      <c r="G792" s="318"/>
      <c r="H792" s="1861"/>
      <c r="I792" s="1861"/>
      <c r="J792" s="1852"/>
      <c r="K792" s="5066"/>
      <c r="L792" s="5067"/>
      <c r="M792" s="2702" t="str">
        <f t="shared" si="81"/>
        <v/>
      </c>
    </row>
    <row r="793" spans="3:28" ht="43.5" customHeight="1" thickTop="1">
      <c r="C793" s="2142" t="str">
        <f>IF(G793&gt;0,"P","")</f>
        <v/>
      </c>
      <c r="D793" s="433" t="s">
        <v>2797</v>
      </c>
      <c r="E793" s="2400" t="s">
        <v>2776</v>
      </c>
      <c r="F793" s="319" t="s">
        <v>2777</v>
      </c>
      <c r="G793" s="320">
        <f>claim1003.1</f>
        <v>0</v>
      </c>
      <c r="H793" s="2080"/>
      <c r="I793" s="2079">
        <f>IF(BldgType="Multi-Unit",IF(Formulas!I258&gt;4,IF(ROUNDDOWN(Formulas!I258/2,0)&lt;5,ROUNDDOWN(Formulas!I258/2,0),4),0),0)</f>
        <v>0</v>
      </c>
      <c r="J793" s="1908"/>
      <c r="K793" s="4516"/>
      <c r="L793" s="4853"/>
      <c r="M793" s="2702" t="str">
        <f t="shared" si="81"/>
        <v/>
      </c>
    </row>
    <row r="794" spans="3:28" ht="30">
      <c r="C794" s="2142" t="str">
        <f t="shared" ref="C794:C822" si="82">IF(G794="Met","P","")</f>
        <v/>
      </c>
      <c r="D794" s="433" t="s">
        <v>2797</v>
      </c>
      <c r="E794" s="2378" t="s">
        <v>2220</v>
      </c>
      <c r="F794" s="2442" t="s">
        <v>3</v>
      </c>
      <c r="G794" s="2073">
        <f>IF(startSingleorMulti&lt;&gt;"Single-Family",choice1003.1_1,"NA")</f>
        <v>0</v>
      </c>
      <c r="H794" s="2437"/>
      <c r="I794" s="2395"/>
      <c r="J794" s="2395"/>
      <c r="K794" s="4854">
        <f>note1003.1_1</f>
        <v>0</v>
      </c>
      <c r="L794" s="4855"/>
      <c r="M794" s="2702" t="str">
        <f t="shared" si="81"/>
        <v/>
      </c>
      <c r="AA794" s="32">
        <f>IF(AND(ReportType="Final",BldgType="Multi-Unit",af1003.1_1=""),1,0)</f>
        <v>0</v>
      </c>
      <c r="AB794" s="32">
        <f t="shared" ref="AB794:AB801" si="83">IF(AND(I794&lt;&gt;"",BldgType="Single-Family"),1,0)</f>
        <v>0</v>
      </c>
    </row>
    <row r="795" spans="3:28" ht="30">
      <c r="C795" s="2142" t="str">
        <f t="shared" si="82"/>
        <v/>
      </c>
      <c r="D795" s="433" t="s">
        <v>2797</v>
      </c>
      <c r="E795" s="2378" t="s">
        <v>2221</v>
      </c>
      <c r="F795" s="2442" t="s">
        <v>3</v>
      </c>
      <c r="G795" s="2073">
        <f>IF(startSingleorMulti&lt;&gt;"Single-Family",choice1003.1_2,"NA")</f>
        <v>0</v>
      </c>
      <c r="H795" s="2437"/>
      <c r="I795" s="2395"/>
      <c r="J795" s="2395"/>
      <c r="K795" s="4854">
        <f>note1003.1_2</f>
        <v>0</v>
      </c>
      <c r="L795" s="4855"/>
      <c r="M795" s="2702" t="str">
        <f t="shared" si="81"/>
        <v/>
      </c>
      <c r="AA795" s="32">
        <f>IF(AND(ReportType="Final",BldgType="Multi-Unit",af1003.1_2=""),1,0)</f>
        <v>0</v>
      </c>
      <c r="AB795" s="32">
        <f t="shared" si="83"/>
        <v>0</v>
      </c>
    </row>
    <row r="796" spans="3:28" ht="30">
      <c r="C796" s="2142" t="str">
        <f t="shared" si="82"/>
        <v/>
      </c>
      <c r="D796" s="433" t="s">
        <v>2797</v>
      </c>
      <c r="E796" s="2384" t="s">
        <v>2222</v>
      </c>
      <c r="F796" s="2051" t="s">
        <v>3</v>
      </c>
      <c r="G796" s="2358">
        <f>IF(startSingleorMulti&lt;&gt;"Single-Family",choice1003.1_3,"NA")</f>
        <v>0</v>
      </c>
      <c r="H796" s="2054"/>
      <c r="I796" s="2395"/>
      <c r="J796" s="2359"/>
      <c r="K796" s="4854">
        <f>note1003.1_3</f>
        <v>0</v>
      </c>
      <c r="L796" s="4855"/>
      <c r="M796" s="2702" t="str">
        <f t="shared" si="81"/>
        <v/>
      </c>
      <c r="AA796" s="32">
        <f>IF(AND(ReportType="Final",BldgType="Multi-Unit",af1003.1_3=""),1,0)</f>
        <v>0</v>
      </c>
      <c r="AB796" s="32">
        <f t="shared" si="83"/>
        <v>0</v>
      </c>
    </row>
    <row r="797" spans="3:28">
      <c r="C797" s="2142" t="str">
        <f t="shared" si="82"/>
        <v/>
      </c>
      <c r="D797" s="433" t="s">
        <v>2797</v>
      </c>
      <c r="E797" s="2378" t="s">
        <v>2223</v>
      </c>
      <c r="F797" s="2614">
        <v>0.5</v>
      </c>
      <c r="G797" s="2380">
        <f>choice1003.1_4</f>
        <v>0</v>
      </c>
      <c r="H797" s="2437"/>
      <c r="I797" s="2395"/>
      <c r="J797" s="2381"/>
      <c r="K797" s="4854">
        <f>note1003.1_4</f>
        <v>0</v>
      </c>
      <c r="L797" s="4855"/>
      <c r="M797" s="2702" t="str">
        <f t="shared" si="81"/>
        <v/>
      </c>
      <c r="AB797" s="32">
        <f t="shared" si="83"/>
        <v>0</v>
      </c>
    </row>
    <row r="798" spans="3:28" ht="30">
      <c r="C798" s="2142" t="str">
        <f t="shared" si="82"/>
        <v/>
      </c>
      <c r="D798" s="433" t="s">
        <v>2797</v>
      </c>
      <c r="E798" s="2378" t="s">
        <v>2224</v>
      </c>
      <c r="F798" s="2614">
        <v>0.5</v>
      </c>
      <c r="G798" s="2380">
        <f>choice1003.1_5</f>
        <v>0</v>
      </c>
      <c r="H798" s="2437"/>
      <c r="I798" s="2395"/>
      <c r="J798" s="2381"/>
      <c r="K798" s="4854">
        <f>note1003.1_5</f>
        <v>0</v>
      </c>
      <c r="L798" s="4855"/>
      <c r="M798" s="2702" t="str">
        <f t="shared" si="81"/>
        <v/>
      </c>
      <c r="AB798" s="32">
        <f t="shared" si="83"/>
        <v>0</v>
      </c>
    </row>
    <row r="799" spans="3:28" ht="30">
      <c r="C799" s="2142" t="str">
        <f t="shared" si="82"/>
        <v/>
      </c>
      <c r="D799" s="433" t="s">
        <v>2797</v>
      </c>
      <c r="E799" s="2378" t="s">
        <v>2225</v>
      </c>
      <c r="F799" s="2614">
        <v>0.5</v>
      </c>
      <c r="G799" s="2380">
        <f>choice1003.1_6</f>
        <v>0</v>
      </c>
      <c r="H799" s="2437"/>
      <c r="I799" s="2395"/>
      <c r="J799" s="2381"/>
      <c r="K799" s="4854">
        <f>note1003.1_6</f>
        <v>0</v>
      </c>
      <c r="L799" s="4855"/>
      <c r="M799" s="2702" t="str">
        <f t="shared" si="81"/>
        <v/>
      </c>
      <c r="AB799" s="32">
        <f t="shared" si="83"/>
        <v>0</v>
      </c>
    </row>
    <row r="800" spans="3:28">
      <c r="C800" s="2142" t="str">
        <f t="shared" si="82"/>
        <v/>
      </c>
      <c r="D800" s="433" t="s">
        <v>2797</v>
      </c>
      <c r="E800" s="2378" t="s">
        <v>2226</v>
      </c>
      <c r="F800" s="2614">
        <v>0.5</v>
      </c>
      <c r="G800" s="2380">
        <f>choice1003.1_7</f>
        <v>0</v>
      </c>
      <c r="H800" s="2437"/>
      <c r="I800" s="2395"/>
      <c r="J800" s="2381"/>
      <c r="K800" s="4854">
        <f>note1003.1_7</f>
        <v>0</v>
      </c>
      <c r="L800" s="4855"/>
      <c r="M800" s="2702" t="str">
        <f t="shared" si="81"/>
        <v/>
      </c>
      <c r="AB800" s="32">
        <f t="shared" si="83"/>
        <v>0</v>
      </c>
    </row>
    <row r="801" spans="3:28" ht="31" thickBot="1">
      <c r="C801" s="2142" t="str">
        <f t="shared" si="82"/>
        <v/>
      </c>
      <c r="D801" s="433" t="s">
        <v>2797</v>
      </c>
      <c r="E801" s="2384" t="s">
        <v>2227</v>
      </c>
      <c r="F801" s="2615">
        <v>0.5</v>
      </c>
      <c r="G801" s="2334">
        <f>choice1003.1_8</f>
        <v>0</v>
      </c>
      <c r="H801" s="2054"/>
      <c r="I801" s="2395"/>
      <c r="J801" s="2350"/>
      <c r="K801" s="4526">
        <f>note1003.1_8</f>
        <v>0</v>
      </c>
      <c r="L801" s="4852"/>
      <c r="M801" s="2702" t="str">
        <f t="shared" si="81"/>
        <v/>
      </c>
      <c r="AB801" s="32">
        <f t="shared" si="83"/>
        <v>0</v>
      </c>
    </row>
    <row r="802" spans="3:28" ht="57" customHeight="1" thickTop="1">
      <c r="C802" s="2142" t="str">
        <f>IF(G78:G802&gt;0,"P","")</f>
        <v/>
      </c>
      <c r="D802" s="433" t="s">
        <v>2797</v>
      </c>
      <c r="E802" s="2422" t="s">
        <v>2779</v>
      </c>
      <c r="F802" s="319" t="s">
        <v>2780</v>
      </c>
      <c r="G802" s="322">
        <f>claim1003.2</f>
        <v>0</v>
      </c>
      <c r="H802" s="2081"/>
      <c r="I802" s="2082">
        <f>IF(BldgType="Multi-Unit",IF(Formulas!I272&gt;4,ROUNDDOWN(Formulas!I272/2,0),0),0)</f>
        <v>0</v>
      </c>
      <c r="J802" s="1853"/>
      <c r="K802" s="4516"/>
      <c r="L802" s="4853"/>
      <c r="M802" s="2702" t="str">
        <f t="shared" si="81"/>
        <v/>
      </c>
    </row>
    <row r="803" spans="3:28" ht="30">
      <c r="C803" s="2142" t="str">
        <f t="shared" si="82"/>
        <v/>
      </c>
      <c r="D803" s="433" t="s">
        <v>2797</v>
      </c>
      <c r="E803" s="2378" t="s">
        <v>2229</v>
      </c>
      <c r="F803" s="2442" t="s">
        <v>3</v>
      </c>
      <c r="G803" s="2616">
        <f>IF(startSingleorMulti&lt;&gt;"Single-Family",choice1003.2_1,"N/A")</f>
        <v>0</v>
      </c>
      <c r="H803" s="2617"/>
      <c r="I803" s="2395"/>
      <c r="J803" s="2395"/>
      <c r="K803" s="4854">
        <f>note1003.2_1</f>
        <v>0</v>
      </c>
      <c r="L803" s="4855"/>
      <c r="M803" s="2702" t="str">
        <f t="shared" si="81"/>
        <v/>
      </c>
      <c r="AA803" s="32">
        <f>IF(AND(ReportType="Final",BldgType="Multi-Unit",af1003.2_1=""),1,0)</f>
        <v>0</v>
      </c>
      <c r="AB803" s="32">
        <f t="shared" ref="AB803:AB812" si="84">IF(AND(I803&lt;&gt;"",BldgType="Single-Family"),1,0)</f>
        <v>0</v>
      </c>
    </row>
    <row r="804" spans="3:28">
      <c r="C804" s="2142" t="str">
        <f t="shared" si="82"/>
        <v/>
      </c>
      <c r="D804" s="433" t="s">
        <v>2797</v>
      </c>
      <c r="E804" s="2378" t="s">
        <v>2230</v>
      </c>
      <c r="F804" s="2442" t="s">
        <v>3</v>
      </c>
      <c r="G804" s="2616">
        <f>IF(startSingleorMulti&lt;&gt;"Single-Family",choice1003.2_2,"N/A")</f>
        <v>0</v>
      </c>
      <c r="H804" s="2617"/>
      <c r="I804" s="2395"/>
      <c r="J804" s="2395"/>
      <c r="K804" s="4854">
        <f>note1003.2_2</f>
        <v>0</v>
      </c>
      <c r="L804" s="4855"/>
      <c r="M804" s="2702" t="str">
        <f t="shared" si="81"/>
        <v/>
      </c>
      <c r="AA804" s="32">
        <f>IF(AND(ReportType="Final",BldgType="Multi-Unit",af1003.2_2=""),1,0)</f>
        <v>0</v>
      </c>
      <c r="AB804" s="32">
        <f t="shared" si="84"/>
        <v>0</v>
      </c>
    </row>
    <row r="805" spans="3:28" ht="30">
      <c r="C805" s="2142" t="str">
        <f t="shared" si="82"/>
        <v/>
      </c>
      <c r="D805" s="433" t="s">
        <v>2797</v>
      </c>
      <c r="E805" s="2384" t="s">
        <v>2231</v>
      </c>
      <c r="F805" s="2342">
        <v>0.5</v>
      </c>
      <c r="G805" s="2358">
        <f>IF(startSingleorMulti&lt;&gt;"Single-Family",choice1003.2_3,"N/A")</f>
        <v>0</v>
      </c>
      <c r="H805" s="2618"/>
      <c r="I805" s="2395"/>
      <c r="J805" s="2359"/>
      <c r="K805" s="4854">
        <f>note1003.2_3</f>
        <v>0</v>
      </c>
      <c r="L805" s="4855"/>
      <c r="M805" s="2702" t="str">
        <f t="shared" si="81"/>
        <v/>
      </c>
      <c r="AB805" s="32">
        <f t="shared" si="84"/>
        <v>0</v>
      </c>
    </row>
    <row r="806" spans="3:28" ht="45">
      <c r="C806" s="2142" t="str">
        <f t="shared" si="82"/>
        <v/>
      </c>
      <c r="D806" s="433" t="s">
        <v>2797</v>
      </c>
      <c r="E806" s="2378" t="s">
        <v>2232</v>
      </c>
      <c r="F806" s="2619">
        <v>0.5</v>
      </c>
      <c r="G806" s="2380">
        <f>choice1003.2_4</f>
        <v>0</v>
      </c>
      <c r="H806" s="2617"/>
      <c r="I806" s="2395"/>
      <c r="J806" s="2381"/>
      <c r="K806" s="4854">
        <f>note1003.2_4</f>
        <v>0</v>
      </c>
      <c r="L806" s="4855"/>
      <c r="M806" s="2702" t="str">
        <f t="shared" si="81"/>
        <v/>
      </c>
      <c r="AB806" s="32">
        <f t="shared" si="84"/>
        <v>0</v>
      </c>
    </row>
    <row r="807" spans="3:28" ht="45">
      <c r="C807" s="2142" t="str">
        <f t="shared" si="82"/>
        <v/>
      </c>
      <c r="D807" s="433" t="s">
        <v>2797</v>
      </c>
      <c r="E807" s="2378" t="s">
        <v>2233</v>
      </c>
      <c r="F807" s="323">
        <v>0.5</v>
      </c>
      <c r="G807" s="2380">
        <f>choice1003.2_5</f>
        <v>0</v>
      </c>
      <c r="H807" s="2617"/>
      <c r="I807" s="2395"/>
      <c r="J807" s="2381"/>
      <c r="K807" s="4854">
        <f>note1003.2_5</f>
        <v>0</v>
      </c>
      <c r="L807" s="4855"/>
      <c r="M807" s="2702" t="str">
        <f t="shared" si="81"/>
        <v/>
      </c>
      <c r="AB807" s="32">
        <f t="shared" si="84"/>
        <v>0</v>
      </c>
    </row>
    <row r="808" spans="3:28">
      <c r="C808" s="2142" t="str">
        <f t="shared" si="82"/>
        <v/>
      </c>
      <c r="D808" s="433" t="s">
        <v>2797</v>
      </c>
      <c r="E808" s="2378" t="s">
        <v>2234</v>
      </c>
      <c r="F808" s="323">
        <v>0.5</v>
      </c>
      <c r="G808" s="2380">
        <f>choice1003.2_6</f>
        <v>0</v>
      </c>
      <c r="H808" s="2617"/>
      <c r="I808" s="2395"/>
      <c r="J808" s="2381"/>
      <c r="K808" s="4854">
        <f>note1003.2_6</f>
        <v>0</v>
      </c>
      <c r="L808" s="4855"/>
      <c r="M808" s="2702" t="str">
        <f t="shared" si="81"/>
        <v/>
      </c>
      <c r="AB808" s="32">
        <f t="shared" si="84"/>
        <v>0</v>
      </c>
    </row>
    <row r="809" spans="3:28" ht="30">
      <c r="C809" s="2142" t="str">
        <f t="shared" si="82"/>
        <v/>
      </c>
      <c r="D809" s="433" t="s">
        <v>2797</v>
      </c>
      <c r="E809" s="2378" t="s">
        <v>2235</v>
      </c>
      <c r="F809" s="323">
        <v>0.5</v>
      </c>
      <c r="G809" s="2380">
        <f>choice1003.2_7</f>
        <v>0</v>
      </c>
      <c r="H809" s="2617"/>
      <c r="I809" s="2395"/>
      <c r="J809" s="2381"/>
      <c r="K809" s="4854">
        <f>note1003.2_7</f>
        <v>0</v>
      </c>
      <c r="L809" s="4855"/>
      <c r="M809" s="2702" t="str">
        <f t="shared" si="81"/>
        <v/>
      </c>
      <c r="AB809" s="32">
        <f t="shared" si="84"/>
        <v>0</v>
      </c>
    </row>
    <row r="810" spans="3:28" ht="30">
      <c r="C810" s="2142" t="str">
        <f t="shared" si="82"/>
        <v/>
      </c>
      <c r="D810" s="433" t="s">
        <v>2797</v>
      </c>
      <c r="E810" s="2378" t="s">
        <v>2236</v>
      </c>
      <c r="F810" s="323">
        <v>0.5</v>
      </c>
      <c r="G810" s="2380">
        <f>choice1003.2_8</f>
        <v>0</v>
      </c>
      <c r="H810" s="2617"/>
      <c r="I810" s="2395"/>
      <c r="J810" s="2381"/>
      <c r="K810" s="4854">
        <f>note1003.2_8</f>
        <v>0</v>
      </c>
      <c r="L810" s="4855"/>
      <c r="M810" s="2702" t="str">
        <f t="shared" si="81"/>
        <v/>
      </c>
      <c r="AB810" s="32">
        <f t="shared" si="84"/>
        <v>0</v>
      </c>
    </row>
    <row r="811" spans="3:28" ht="30">
      <c r="C811" s="2142" t="str">
        <f t="shared" si="82"/>
        <v/>
      </c>
      <c r="D811" s="433" t="s">
        <v>2797</v>
      </c>
      <c r="E811" s="2378" t="s">
        <v>2237</v>
      </c>
      <c r="F811" s="323">
        <v>0.5</v>
      </c>
      <c r="G811" s="2380">
        <f>choice1003.2_9</f>
        <v>0</v>
      </c>
      <c r="H811" s="2617"/>
      <c r="I811" s="2395"/>
      <c r="J811" s="2381"/>
      <c r="K811" s="4854">
        <f>note1003.2_9</f>
        <v>0</v>
      </c>
      <c r="L811" s="4855"/>
      <c r="M811" s="2702" t="str">
        <f t="shared" si="81"/>
        <v/>
      </c>
      <c r="AB811" s="32">
        <f t="shared" si="84"/>
        <v>0</v>
      </c>
    </row>
    <row r="812" spans="3:28" ht="46" thickBot="1">
      <c r="C812" s="2142" t="str">
        <f t="shared" si="82"/>
        <v/>
      </c>
      <c r="D812" s="433" t="s">
        <v>2797</v>
      </c>
      <c r="E812" s="2384" t="s">
        <v>2238</v>
      </c>
      <c r="F812" s="324">
        <v>0.5</v>
      </c>
      <c r="G812" s="2334">
        <f>choice1003.2_10</f>
        <v>0</v>
      </c>
      <c r="H812" s="2618"/>
      <c r="I812" s="2395"/>
      <c r="J812" s="2350"/>
      <c r="K812" s="4526">
        <f>note1003.2_10</f>
        <v>0</v>
      </c>
      <c r="L812" s="4852"/>
      <c r="M812" s="2702" t="str">
        <f t="shared" si="81"/>
        <v/>
      </c>
      <c r="AB812" s="32">
        <f t="shared" si="84"/>
        <v>0</v>
      </c>
    </row>
    <row r="813" spans="3:28" ht="61" thickTop="1">
      <c r="C813" s="2142" t="str">
        <f>IF(G813&gt;0,"P","")</f>
        <v/>
      </c>
      <c r="D813" s="433" t="s">
        <v>2797</v>
      </c>
      <c r="E813" s="2422" t="s">
        <v>2782</v>
      </c>
      <c r="F813" s="319" t="s">
        <v>2781</v>
      </c>
      <c r="G813" s="322">
        <f>claim1003.3</f>
        <v>0</v>
      </c>
      <c r="H813" s="2081"/>
      <c r="I813" s="2082">
        <f>IF(BldgType="Multi-Unit",IF(Formulas!I287&gt;4,IF(ROUNDDOWN(Formulas!I287/2,0)&lt;5,ROUNDDOWN(Formulas!I287/2,0),4),0),0)</f>
        <v>0</v>
      </c>
      <c r="J813" s="1853"/>
      <c r="K813" s="4516"/>
      <c r="L813" s="4853"/>
      <c r="M813" s="2702" t="str">
        <f t="shared" si="81"/>
        <v/>
      </c>
    </row>
    <row r="814" spans="3:28" ht="30">
      <c r="C814" s="2142" t="str">
        <f t="shared" si="82"/>
        <v/>
      </c>
      <c r="D814" s="433" t="s">
        <v>2797</v>
      </c>
      <c r="E814" s="2378" t="s">
        <v>2240</v>
      </c>
      <c r="F814" s="2442" t="s">
        <v>3</v>
      </c>
      <c r="G814" s="2616">
        <f>IF(startSingleorMulti&lt;&gt;"Single-Family",choice1003.3_1,"N/A")</f>
        <v>0</v>
      </c>
      <c r="H814" s="2617"/>
      <c r="I814" s="2395"/>
      <c r="J814" s="2395"/>
      <c r="K814" s="4854">
        <f>note1003.3_1</f>
        <v>0</v>
      </c>
      <c r="L814" s="4855"/>
      <c r="M814" s="2702" t="str">
        <f t="shared" si="81"/>
        <v/>
      </c>
      <c r="AA814" s="32">
        <f>IF(AND(ReportType="Final",BldgType="Multi-Unit",af1003.3_1=""),1,0)</f>
        <v>0</v>
      </c>
      <c r="AB814" s="32">
        <f>IF(AND(I814&lt;&gt;"",BldgType="Single-Family"),1,0)</f>
        <v>0</v>
      </c>
    </row>
    <row r="815" spans="3:28" ht="45">
      <c r="C815" s="2142" t="str">
        <f t="shared" si="82"/>
        <v/>
      </c>
      <c r="D815" s="433" t="s">
        <v>2797</v>
      </c>
      <c r="E815" s="2378" t="s">
        <v>2241</v>
      </c>
      <c r="F815" s="2379">
        <v>0.5</v>
      </c>
      <c r="G815" s="2380">
        <f>choice1003.3_2</f>
        <v>0</v>
      </c>
      <c r="H815" s="2617"/>
      <c r="I815" s="2395"/>
      <c r="J815" s="2381"/>
      <c r="K815" s="4854">
        <f>note1003.1_2</f>
        <v>0</v>
      </c>
      <c r="L815" s="4855"/>
      <c r="M815" s="2702" t="str">
        <f t="shared" si="81"/>
        <v/>
      </c>
    </row>
    <row r="816" spans="3:28" ht="105">
      <c r="C816" s="2142" t="str">
        <f t="shared" si="82"/>
        <v/>
      </c>
      <c r="D816" s="433" t="s">
        <v>2797</v>
      </c>
      <c r="E816" s="2378" t="s">
        <v>686</v>
      </c>
      <c r="F816" s="2620">
        <v>0.5</v>
      </c>
      <c r="G816" s="2380">
        <f>choice1003.3_3</f>
        <v>0</v>
      </c>
      <c r="H816" s="2617"/>
      <c r="I816" s="2395"/>
      <c r="J816" s="2381"/>
      <c r="K816" s="4854">
        <f>note1003.3_3</f>
        <v>0</v>
      </c>
      <c r="L816" s="4855"/>
      <c r="M816" s="2702" t="str">
        <f t="shared" si="81"/>
        <v/>
      </c>
    </row>
    <row r="817" spans="3:27" ht="30">
      <c r="C817" s="2142" t="str">
        <f t="shared" si="82"/>
        <v/>
      </c>
      <c r="D817" s="433" t="s">
        <v>2797</v>
      </c>
      <c r="E817" s="2378" t="s">
        <v>2242</v>
      </c>
      <c r="F817" s="2620">
        <v>0.5</v>
      </c>
      <c r="G817" s="2380">
        <f>choice1003.3_4</f>
        <v>0</v>
      </c>
      <c r="H817" s="2617"/>
      <c r="I817" s="2395"/>
      <c r="J817" s="2381"/>
      <c r="K817" s="4854">
        <f>note1003.3_4</f>
        <v>0</v>
      </c>
      <c r="L817" s="4855"/>
      <c r="M817" s="2702" t="str">
        <f t="shared" si="81"/>
        <v/>
      </c>
    </row>
    <row r="818" spans="3:27" ht="30">
      <c r="C818" s="2142" t="str">
        <f t="shared" si="82"/>
        <v/>
      </c>
      <c r="D818" s="433" t="s">
        <v>2797</v>
      </c>
      <c r="E818" s="2378" t="s">
        <v>2243</v>
      </c>
      <c r="F818" s="2620">
        <v>0.5</v>
      </c>
      <c r="G818" s="2380">
        <f>choice1003.3_5</f>
        <v>0</v>
      </c>
      <c r="H818" s="2617"/>
      <c r="I818" s="2395"/>
      <c r="J818" s="2381"/>
      <c r="K818" s="4854">
        <f>note1003.3_5</f>
        <v>0</v>
      </c>
      <c r="L818" s="4855"/>
      <c r="M818" s="2702" t="str">
        <f t="shared" si="81"/>
        <v/>
      </c>
    </row>
    <row r="819" spans="3:27" ht="30">
      <c r="C819" s="2142" t="str">
        <f t="shared" si="82"/>
        <v/>
      </c>
      <c r="D819" s="433" t="s">
        <v>2797</v>
      </c>
      <c r="E819" s="2378" t="s">
        <v>2244</v>
      </c>
      <c r="F819" s="2620">
        <v>0.5</v>
      </c>
      <c r="G819" s="2380">
        <f>choice1003.3_6</f>
        <v>0</v>
      </c>
      <c r="H819" s="2617"/>
      <c r="I819" s="2395"/>
      <c r="J819" s="2381"/>
      <c r="K819" s="4854">
        <f>note1003.3_6</f>
        <v>0</v>
      </c>
      <c r="L819" s="4855"/>
      <c r="M819" s="2702" t="str">
        <f t="shared" si="81"/>
        <v/>
      </c>
    </row>
    <row r="820" spans="3:27">
      <c r="C820" s="2142" t="str">
        <f t="shared" si="82"/>
        <v/>
      </c>
      <c r="D820" s="433" t="s">
        <v>2797</v>
      </c>
      <c r="E820" s="2378" t="s">
        <v>2245</v>
      </c>
      <c r="F820" s="2620">
        <v>0.5</v>
      </c>
      <c r="G820" s="2380">
        <f>choice1003.3_7</f>
        <v>0</v>
      </c>
      <c r="H820" s="2617"/>
      <c r="I820" s="2395"/>
      <c r="J820" s="2381"/>
      <c r="K820" s="4854">
        <f>note1003.3_7</f>
        <v>0</v>
      </c>
      <c r="L820" s="4855"/>
      <c r="M820" s="2702" t="str">
        <f t="shared" si="81"/>
        <v/>
      </c>
    </row>
    <row r="821" spans="3:27" ht="30">
      <c r="C821" s="2142" t="str">
        <f t="shared" si="82"/>
        <v/>
      </c>
      <c r="D821" s="433" t="s">
        <v>2797</v>
      </c>
      <c r="E821" s="2378" t="s">
        <v>2246</v>
      </c>
      <c r="F821" s="2620">
        <v>0.5</v>
      </c>
      <c r="G821" s="2380">
        <f>choice1003.3_8</f>
        <v>0</v>
      </c>
      <c r="H821" s="2617"/>
      <c r="I821" s="2395"/>
      <c r="J821" s="2381"/>
      <c r="K821" s="4854">
        <f>note1003.3_8</f>
        <v>0</v>
      </c>
      <c r="L821" s="4855"/>
      <c r="M821" s="2702" t="str">
        <f t="shared" si="81"/>
        <v/>
      </c>
    </row>
    <row r="822" spans="3:27" ht="30">
      <c r="C822" s="2142" t="str">
        <f t="shared" si="82"/>
        <v/>
      </c>
      <c r="D822" s="433" t="s">
        <v>2797</v>
      </c>
      <c r="E822" s="2378" t="s">
        <v>2247</v>
      </c>
      <c r="F822" s="2620">
        <v>0.5</v>
      </c>
      <c r="G822" s="2380">
        <f>choice1003.3_9</f>
        <v>0</v>
      </c>
      <c r="H822" s="2617"/>
      <c r="I822" s="2395"/>
      <c r="J822" s="2381"/>
      <c r="K822" s="4854">
        <f>note1003.3_9</f>
        <v>0</v>
      </c>
      <c r="L822" s="4855"/>
      <c r="M822" s="2702" t="str">
        <f t="shared" si="81"/>
        <v/>
      </c>
    </row>
    <row r="823" spans="3:27">
      <c r="C823" s="2142" t="s">
        <v>2800</v>
      </c>
      <c r="D823" s="433" t="s">
        <v>2795</v>
      </c>
      <c r="E823" s="5050" t="s">
        <v>2636</v>
      </c>
      <c r="F823" s="5051"/>
      <c r="G823" s="2685">
        <f>SUM(G767:G822)</f>
        <v>0</v>
      </c>
      <c r="H823" s="2685">
        <f>SUM(H767:H822)</f>
        <v>0</v>
      </c>
      <c r="I823" s="2685">
        <f>SUM(I767:I822)</f>
        <v>0</v>
      </c>
      <c r="J823" s="2686" t="str">
        <f>IF(SUM(H823,I823)&gt;11,"EMERALD",IF(SUM(H823,I823)&gt;10,"GOLD",IF(SUM(H823,I823)&gt;9,"SILVER",IF(SUM(H823,I823)&gt;7,"BRONZE","no threshold achieved yet"))))</f>
        <v>no threshold achieved yet</v>
      </c>
      <c r="K823" s="4859" t="str">
        <f>IF(J823="Emerald","Minimum points for Emerald = 12",IF(J823="Gold","Minimum points for Gold = 11; for Emerald = 12",IF(J823="Silver","Minimum points for Silver = 10; for Gold = 11",IF(J823="Bronze","Minimum points for Bronze = 8; for Silver = 10","Minimum points for Bronze = 8"))))</f>
        <v>Minimum points for Bronze = 8</v>
      </c>
      <c r="L823" s="4860"/>
      <c r="M823" s="433"/>
    </row>
    <row r="824" spans="3:27">
      <c r="C824" s="2142" t="s">
        <v>2800</v>
      </c>
      <c r="D824" s="433" t="s">
        <v>2795</v>
      </c>
      <c r="E824" s="5310" t="s">
        <v>2637</v>
      </c>
      <c r="F824" s="5311"/>
      <c r="G824" s="327">
        <f>SUM(G823,G764,G625,G537,G326,G135)</f>
        <v>0</v>
      </c>
      <c r="H824" s="327">
        <f>SUM(H823,H764,H625,H537,H326,H135)</f>
        <v>66</v>
      </c>
      <c r="I824" s="327">
        <f>SUM(I823,I764,I625,I537,I326,I135)</f>
        <v>0</v>
      </c>
    </row>
    <row r="825" spans="3:27" ht="16" thickBot="1">
      <c r="C825" s="2142" t="s">
        <v>2800</v>
      </c>
      <c r="D825" s="2144" t="s">
        <v>2795</v>
      </c>
      <c r="F825" s="5336" t="s">
        <v>2638</v>
      </c>
      <c r="G825" s="5337"/>
      <c r="H825" s="5335">
        <f>SUM(H824:I824)</f>
        <v>66</v>
      </c>
      <c r="I825" s="5335"/>
    </row>
    <row r="826" spans="3:27" ht="17" thickTop="1" thickBot="1">
      <c r="C826" s="2142" t="s">
        <v>2800</v>
      </c>
      <c r="D826" s="2144" t="s">
        <v>2797</v>
      </c>
      <c r="F826" s="5336" t="s">
        <v>2656</v>
      </c>
      <c r="G826" s="5337"/>
      <c r="H826" s="5335" t="str">
        <f>vlevel</f>
        <v>Nothing</v>
      </c>
      <c r="I826" s="5335"/>
      <c r="J826" s="327" t="str">
        <f>IF(H826="Emerald",CONCATENATE("Minimum points for Emerald = ",Formulas!D332),IF(H826="Gold",CONCATENATE("Minimum points for Gold = ",Formulas!D331,"; for Emerald =",Formulas!D332),IF(H826="Silver",CONCATENATE("Minimum points for Silver = ",Formulas!D330,"; for Gold = ",Formulas!D331),IF(H285="Bronze",CONCATENATE("Minimum points for Bronze = ",Formulas!D329,"; for Silver = ",Formulas!D330),CONCATENATE("Minimum points for Bronze = ",Formulas!D329)))))</f>
        <v>Minimum points for Bronze = 231</v>
      </c>
      <c r="K826" s="1982" t="s">
        <v>2587</v>
      </c>
      <c r="L826" s="5357" t="str">
        <f>K8</f>
        <v>This Report is NOT Ready To Submit</v>
      </c>
      <c r="M826" s="5357"/>
      <c r="N826" s="2682"/>
      <c r="O826" s="2682"/>
      <c r="P826" s="2682"/>
      <c r="Q826" s="2682"/>
      <c r="R826" s="2682"/>
      <c r="S826" s="2682"/>
      <c r="T826" s="2682"/>
      <c r="U826" s="2682"/>
      <c r="V826" s="2682"/>
      <c r="AA826" s="32">
        <f>IF(AND(OR(vlevel="Gold",vlevel="Emerald"),I580&lt;&gt;11),1,0)</f>
        <v>0</v>
      </c>
    </row>
    <row r="827" spans="3:27" ht="16" thickTop="1"/>
    <row r="828" spans="3:27">
      <c r="C828" s="5456" t="str">
        <f>CONCATENATE(copyright," All rights reserved.  This document is protected by U.S. copyright law. Requirements from ICC700-2012 National Green Building Standard™ © 2013 National Association of Home Builders of the U.S. - used by permission."," Home Innovation authorizes use of this document only by those individuals/organizations participating in Home Innovation's Green Building Certification and solely for purpose of seeking project certification from the Home Innovation Research Labs.")</f>
        <v>© 2020 Home Innovation Research Labs, Inc. All rights reserved.  This document is protected by U.S. copyright law. Requirements from ICC700-2012 National Green Building Standard™ © 2013 National Association of Home Builders of the U.S. - used by permission. Home Innovation authorizes use of this document only by those individuals/organizations participating in Home Innovation's Green Building Certification and solely for purpose of seeking project certification from the Home Innovation Research Labs.</v>
      </c>
      <c r="D828" s="5456"/>
      <c r="E828" s="5456"/>
      <c r="F828" s="5456"/>
      <c r="G828" s="5456"/>
      <c r="H828" s="5456"/>
      <c r="I828" s="5456"/>
      <c r="J828" s="5456"/>
      <c r="K828" s="5456"/>
      <c r="L828" s="5456"/>
    </row>
    <row r="829" spans="3:27">
      <c r="C829" s="5456"/>
      <c r="D829" s="5456"/>
      <c r="E829" s="5456"/>
      <c r="F829" s="5456"/>
      <c r="G829" s="5456"/>
      <c r="H829" s="5456"/>
      <c r="I829" s="5456"/>
      <c r="J829" s="5456"/>
      <c r="K829" s="5456"/>
      <c r="L829" s="5456"/>
    </row>
    <row r="830" spans="3:27">
      <c r="C830" s="5456"/>
      <c r="D830" s="5456"/>
      <c r="E830" s="5456"/>
      <c r="F830" s="5456"/>
      <c r="G830" s="5456"/>
      <c r="H830" s="5456"/>
      <c r="I830" s="5456"/>
      <c r="J830" s="5456"/>
      <c r="K830" s="5456"/>
      <c r="L830" s="5456"/>
    </row>
    <row r="831" spans="3:27">
      <c r="C831" s="2754"/>
      <c r="D831" s="2754"/>
      <c r="E831" s="2754"/>
      <c r="F831" s="2754"/>
      <c r="G831" s="2754"/>
      <c r="H831" s="2754"/>
      <c r="I831" s="2754"/>
      <c r="J831" s="2754"/>
      <c r="K831" s="2754"/>
      <c r="L831" s="2754"/>
    </row>
    <row r="832" spans="3:27">
      <c r="C832" s="2782"/>
      <c r="D832" s="2754"/>
      <c r="E832" s="2754"/>
      <c r="F832" s="2754"/>
      <c r="G832" s="2754"/>
      <c r="H832" s="2754"/>
      <c r="I832" s="2754"/>
      <c r="J832" s="2754"/>
      <c r="K832" s="2754"/>
      <c r="L832" s="2754"/>
    </row>
    <row r="833" spans="3:12">
      <c r="C833" s="433"/>
      <c r="E833" s="2768" t="s">
        <v>3093</v>
      </c>
      <c r="F833" s="2838" t="s">
        <v>153</v>
      </c>
      <c r="G833" s="2753"/>
      <c r="H833" s="2753"/>
      <c r="I833" s="2753"/>
      <c r="J833" s="2753"/>
    </row>
    <row r="834" spans="3:12">
      <c r="C834" s="433"/>
      <c r="E834" s="2768"/>
      <c r="G834" s="2753"/>
      <c r="H834" s="2753"/>
      <c r="I834" s="2753"/>
      <c r="J834" s="2753"/>
    </row>
    <row r="835" spans="3:12">
      <c r="C835" s="433"/>
      <c r="E835" s="497" t="s">
        <v>3050</v>
      </c>
      <c r="G835" s="2753"/>
      <c r="H835" s="2753"/>
      <c r="I835" s="2753"/>
      <c r="J835" s="2753"/>
    </row>
    <row r="836" spans="3:12">
      <c r="E836" s="2755" t="s">
        <v>3084</v>
      </c>
      <c r="G836" s="2753"/>
      <c r="H836" s="2753"/>
      <c r="I836" s="2753"/>
      <c r="J836" s="2753"/>
    </row>
    <row r="837" spans="3:12">
      <c r="E837" s="4825" t="s">
        <v>3043</v>
      </c>
      <c r="F837" s="4826"/>
      <c r="G837" s="4826"/>
      <c r="H837" s="4826"/>
      <c r="I837" s="4826"/>
      <c r="J837" s="4826"/>
      <c r="K837" s="4827"/>
    </row>
    <row r="838" spans="3:12">
      <c r="E838" s="2766" t="s">
        <v>3044</v>
      </c>
      <c r="F838" s="2410" t="s">
        <v>3045</v>
      </c>
      <c r="G838" s="4828" t="s">
        <v>3046</v>
      </c>
      <c r="H838" s="4829"/>
      <c r="I838" s="2767" t="s">
        <v>3047</v>
      </c>
      <c r="J838" s="2767" t="s">
        <v>3048</v>
      </c>
      <c r="K838" s="2764" t="s">
        <v>2584</v>
      </c>
    </row>
    <row r="839" spans="3:12">
      <c r="C839" s="2758"/>
      <c r="E839" s="2759"/>
      <c r="F839" s="2759"/>
      <c r="G839" s="5444"/>
      <c r="H839" s="5445"/>
      <c r="I839" s="5446"/>
      <c r="J839" s="5449"/>
      <c r="K839" s="2760"/>
    </row>
    <row r="840" spans="3:12" ht="16">
      <c r="C840" s="2758"/>
      <c r="E840" s="2759"/>
      <c r="F840" s="2759"/>
      <c r="G840" s="5444"/>
      <c r="H840" s="5445"/>
      <c r="I840" s="5447"/>
      <c r="J840" s="5450"/>
      <c r="K840" s="2760"/>
      <c r="L840" s="2714" t="s">
        <v>3049</v>
      </c>
    </row>
    <row r="841" spans="3:12">
      <c r="C841" s="2758"/>
      <c r="E841" s="2759"/>
      <c r="F841" s="2759"/>
      <c r="G841" s="5444"/>
      <c r="H841" s="5445"/>
      <c r="I841" s="5447"/>
      <c r="J841" s="5450"/>
      <c r="K841" s="2760"/>
    </row>
    <row r="842" spans="3:12">
      <c r="C842" s="2758"/>
      <c r="E842" s="2759"/>
      <c r="F842" s="2759"/>
      <c r="G842" s="5444"/>
      <c r="H842" s="5445"/>
      <c r="I842" s="5447"/>
      <c r="J842" s="5450"/>
      <c r="K842" s="2760"/>
    </row>
    <row r="843" spans="3:12">
      <c r="C843" s="2758"/>
      <c r="E843" s="2759"/>
      <c r="F843" s="2759"/>
      <c r="G843" s="5444"/>
      <c r="H843" s="5445"/>
      <c r="I843" s="5447"/>
      <c r="J843" s="5450"/>
      <c r="K843" s="2760"/>
    </row>
    <row r="844" spans="3:12">
      <c r="C844" s="2758"/>
      <c r="E844" s="2759"/>
      <c r="F844" s="2759"/>
      <c r="G844" s="5444"/>
      <c r="H844" s="5445"/>
      <c r="I844" s="5447"/>
      <c r="J844" s="5450"/>
      <c r="K844" s="2760"/>
    </row>
    <row r="845" spans="3:12">
      <c r="C845" s="2758"/>
      <c r="E845" s="2759"/>
      <c r="F845" s="2759"/>
      <c r="G845" s="5444"/>
      <c r="H845" s="5445"/>
      <c r="I845" s="5447"/>
      <c r="J845" s="5450"/>
      <c r="K845" s="2760"/>
    </row>
    <row r="846" spans="3:12">
      <c r="C846" s="2758"/>
      <c r="E846" s="2759"/>
      <c r="F846" s="2759"/>
      <c r="G846" s="5444"/>
      <c r="H846" s="5445"/>
      <c r="I846" s="5447"/>
      <c r="J846" s="5450"/>
      <c r="K846" s="2760"/>
    </row>
    <row r="847" spans="3:12">
      <c r="C847" s="2758"/>
      <c r="E847" s="2759"/>
      <c r="F847" s="2759"/>
      <c r="G847" s="5444"/>
      <c r="H847" s="5445"/>
      <c r="I847" s="5447"/>
      <c r="J847" s="5450"/>
      <c r="K847" s="2760"/>
    </row>
    <row r="848" spans="3:12">
      <c r="C848" s="2758"/>
      <c r="E848" s="2759"/>
      <c r="F848" s="2759"/>
      <c r="G848" s="5444"/>
      <c r="H848" s="5445"/>
      <c r="I848" s="5447"/>
      <c r="J848" s="5450"/>
      <c r="K848" s="2760"/>
    </row>
    <row r="849" spans="3:11">
      <c r="C849" s="2758"/>
      <c r="E849" s="2759"/>
      <c r="F849" s="2759"/>
      <c r="G849" s="5444"/>
      <c r="H849" s="5445"/>
      <c r="I849" s="5447"/>
      <c r="J849" s="5450"/>
      <c r="K849" s="2760"/>
    </row>
    <row r="850" spans="3:11">
      <c r="C850" s="2758"/>
      <c r="E850" s="2759"/>
      <c r="F850" s="2759"/>
      <c r="G850" s="5444"/>
      <c r="H850" s="5445"/>
      <c r="I850" s="5447"/>
      <c r="J850" s="5450"/>
      <c r="K850" s="2760"/>
    </row>
    <row r="851" spans="3:11">
      <c r="C851" s="2758"/>
      <c r="E851" s="2759"/>
      <c r="F851" s="2759"/>
      <c r="G851" s="5444"/>
      <c r="H851" s="5445"/>
      <c r="I851" s="5447"/>
      <c r="J851" s="5450"/>
      <c r="K851" s="2760"/>
    </row>
    <row r="852" spans="3:11">
      <c r="C852" s="2758"/>
      <c r="E852" s="2759"/>
      <c r="F852" s="2759"/>
      <c r="G852" s="5444"/>
      <c r="H852" s="5445"/>
      <c r="I852" s="5447"/>
      <c r="J852" s="5450"/>
      <c r="K852" s="2760"/>
    </row>
    <row r="853" spans="3:11">
      <c r="C853" s="2758"/>
      <c r="E853" s="2759"/>
      <c r="F853" s="2759"/>
      <c r="G853" s="5444"/>
      <c r="H853" s="5445"/>
      <c r="I853" s="5447"/>
      <c r="J853" s="5450"/>
      <c r="K853" s="2760"/>
    </row>
    <row r="854" spans="3:11">
      <c r="C854" s="2758"/>
      <c r="E854" s="2759"/>
      <c r="F854" s="2759"/>
      <c r="G854" s="5444"/>
      <c r="H854" s="5445"/>
      <c r="I854" s="5447"/>
      <c r="J854" s="5450"/>
      <c r="K854" s="2760"/>
    </row>
    <row r="855" spans="3:11">
      <c r="C855" s="2758"/>
      <c r="E855" s="2759"/>
      <c r="F855" s="2759"/>
      <c r="G855" s="5444"/>
      <c r="H855" s="5445"/>
      <c r="I855" s="5447"/>
      <c r="J855" s="5450"/>
      <c r="K855" s="2760"/>
    </row>
    <row r="856" spans="3:11">
      <c r="C856" s="2758"/>
      <c r="E856" s="2759"/>
      <c r="F856" s="2759"/>
      <c r="G856" s="5444"/>
      <c r="H856" s="5445"/>
      <c r="I856" s="5447"/>
      <c r="J856" s="5450"/>
      <c r="K856" s="2760"/>
    </row>
    <row r="857" spans="3:11">
      <c r="C857" s="2758"/>
      <c r="E857" s="2759"/>
      <c r="F857" s="2759"/>
      <c r="G857" s="5444"/>
      <c r="H857" s="5445"/>
      <c r="I857" s="5447"/>
      <c r="J857" s="5450"/>
      <c r="K857" s="2760"/>
    </row>
    <row r="858" spans="3:11">
      <c r="C858" s="2758"/>
      <c r="E858" s="2759"/>
      <c r="F858" s="2759"/>
      <c r="G858" s="5444"/>
      <c r="H858" s="5445"/>
      <c r="I858" s="5448"/>
      <c r="J858" s="5451"/>
      <c r="K858" s="2760"/>
    </row>
    <row r="859" spans="3:11">
      <c r="C859" s="2758"/>
      <c r="E859" s="2835"/>
      <c r="F859" s="2835"/>
      <c r="G859" s="2836"/>
      <c r="H859" s="2836"/>
      <c r="I859" s="2836"/>
      <c r="J859" s="2062"/>
      <c r="K859" s="2837"/>
    </row>
    <row r="860" spans="3:11">
      <c r="E860" s="497" t="s">
        <v>3050</v>
      </c>
      <c r="G860" s="2753"/>
      <c r="H860" s="2769" t="s">
        <v>3086</v>
      </c>
      <c r="I860" s="2753"/>
      <c r="J860" s="2753"/>
    </row>
    <row r="861" spans="3:11">
      <c r="D861" s="766"/>
      <c r="E861" s="2771"/>
      <c r="F861" s="2772"/>
      <c r="G861" s="2753"/>
      <c r="H861" s="2770"/>
      <c r="I861" s="1945"/>
      <c r="J861" s="1945"/>
      <c r="K861" s="2751"/>
    </row>
    <row r="862" spans="3:11" ht="15" customHeight="1">
      <c r="D862" s="2144"/>
      <c r="E862" s="4821" t="s">
        <v>3051</v>
      </c>
      <c r="F862" s="4822"/>
      <c r="G862" s="2753"/>
      <c r="H862" s="4812" t="s">
        <v>3087</v>
      </c>
      <c r="I862" s="4813"/>
      <c r="J862" s="4814"/>
      <c r="K862" s="2751"/>
    </row>
    <row r="863" spans="3:11">
      <c r="D863" s="2144"/>
      <c r="E863" s="4821" t="s">
        <v>3052</v>
      </c>
      <c r="F863" s="4822"/>
      <c r="G863" s="2753"/>
      <c r="H863" s="4815"/>
      <c r="I863" s="4816"/>
      <c r="J863" s="4817"/>
      <c r="K863" s="2751"/>
    </row>
    <row r="864" spans="3:11" ht="15" customHeight="1">
      <c r="D864" s="2144"/>
      <c r="E864" s="4821" t="s">
        <v>3053</v>
      </c>
      <c r="F864" s="4822"/>
      <c r="G864" s="2753"/>
      <c r="H864" s="4815"/>
      <c r="I864" s="4816"/>
      <c r="J864" s="4817"/>
      <c r="K864" s="2751"/>
    </row>
    <row r="865" spans="4:11" ht="15" customHeight="1">
      <c r="D865" s="2144"/>
      <c r="E865" s="4821" t="s">
        <v>3088</v>
      </c>
      <c r="F865" s="4822"/>
      <c r="G865" s="2753"/>
      <c r="H865" s="4815"/>
      <c r="I865" s="4816"/>
      <c r="J865" s="4817"/>
      <c r="K865" s="2751"/>
    </row>
    <row r="866" spans="4:11" ht="62.25" customHeight="1">
      <c r="D866" s="2144"/>
      <c r="E866" s="4823" t="s">
        <v>3089</v>
      </c>
      <c r="F866" s="4824"/>
      <c r="G866" s="2753"/>
      <c r="H866" s="4815"/>
      <c r="I866" s="4816"/>
      <c r="J866" s="4817"/>
    </row>
    <row r="867" spans="4:11">
      <c r="D867" s="2144"/>
      <c r="E867" s="4821" t="s">
        <v>3090</v>
      </c>
      <c r="F867" s="4822"/>
      <c r="G867" s="2753"/>
      <c r="H867" s="4818"/>
      <c r="I867" s="4819"/>
      <c r="J867" s="4820"/>
    </row>
    <row r="868" spans="4:11" ht="15" customHeight="1">
      <c r="D868" s="2144"/>
      <c r="E868" s="4821" t="s">
        <v>3091</v>
      </c>
      <c r="F868" s="4822"/>
      <c r="G868" s="2753"/>
      <c r="H868" s="2716"/>
      <c r="I868" s="2753"/>
      <c r="J868" s="2753"/>
    </row>
    <row r="869" spans="4:11">
      <c r="D869" s="2144"/>
      <c r="E869" s="4821" t="s">
        <v>3111</v>
      </c>
      <c r="F869" s="4822"/>
      <c r="G869" s="2753"/>
      <c r="H869" s="2753"/>
      <c r="I869" s="2753"/>
      <c r="J869" s="2753"/>
    </row>
    <row r="870" spans="4:11" ht="63" customHeight="1">
      <c r="D870" s="2144"/>
      <c r="E870" s="4821" t="s">
        <v>3092</v>
      </c>
      <c r="F870" s="4822"/>
      <c r="G870" s="2753"/>
      <c r="H870" s="2753"/>
      <c r="I870" s="2753"/>
      <c r="J870" s="2753"/>
    </row>
    <row r="871" spans="4:11" ht="15" customHeight="1">
      <c r="D871" s="2144"/>
      <c r="E871" s="4821" t="s">
        <v>3054</v>
      </c>
      <c r="F871" s="4822"/>
      <c r="G871" s="2753"/>
      <c r="H871" s="2753"/>
      <c r="I871" s="2753"/>
      <c r="J871" s="2753"/>
    </row>
    <row r="872" spans="4:11">
      <c r="E872" s="2773"/>
      <c r="F872" s="2774"/>
      <c r="G872" s="2753"/>
      <c r="H872" s="2753"/>
      <c r="I872" s="2753"/>
      <c r="J872" s="2753"/>
    </row>
    <row r="873" spans="4:11">
      <c r="E873" s="2715"/>
      <c r="G873" s="2712"/>
      <c r="H873" s="2712"/>
      <c r="I873" s="2712"/>
      <c r="J873" s="2712"/>
    </row>
    <row r="874" spans="4:11">
      <c r="E874" s="2715"/>
      <c r="G874" s="2712"/>
      <c r="H874" s="2712"/>
      <c r="I874" s="2712"/>
      <c r="J874" s="2712"/>
    </row>
    <row r="875" spans="4:11">
      <c r="E875" s="2715"/>
      <c r="G875" s="2712"/>
      <c r="H875" s="2712"/>
      <c r="I875" s="2712"/>
      <c r="J875" s="2712"/>
    </row>
    <row r="876" spans="4:11">
      <c r="E876" s="2715"/>
      <c r="G876" s="2712"/>
      <c r="H876" s="2712"/>
      <c r="I876" s="2712"/>
      <c r="J876" s="2712"/>
    </row>
    <row r="877" spans="4:11">
      <c r="E877" s="2715"/>
      <c r="G877" s="2712"/>
      <c r="H877" s="2712"/>
      <c r="I877" s="2712"/>
      <c r="J877" s="2712"/>
    </row>
    <row r="878" spans="4:11">
      <c r="E878" s="2715"/>
      <c r="G878" s="2712"/>
      <c r="H878" s="2712"/>
      <c r="I878" s="2712"/>
      <c r="J878" s="2712"/>
    </row>
  </sheetData>
  <sheetProtection algorithmName="SHA-512" hashValue="1DFUVo2nyQEffGvweODMqJcWIjKk/7VbsSSIBu8cfFwoPMD051Y3jV+HtaszLiumhOnufN79jtV4oYkvzTQVOA==" saltValue="9EXudMEdSMEzJyWJh0k5YQ==" spinCount="100000" sheet="1" formatRows="0" selectLockedCells="1" autoFilter="0"/>
  <autoFilter ref="C11:D826" xr:uid="{00000000-0009-0000-0000-000009000000}"/>
  <mergeCells count="1179">
    <mergeCell ref="G839:H858"/>
    <mergeCell ref="I839:I858"/>
    <mergeCell ref="J839:J858"/>
    <mergeCell ref="C2:C9"/>
    <mergeCell ref="D2:D9"/>
    <mergeCell ref="F362:F365"/>
    <mergeCell ref="G362:G365"/>
    <mergeCell ref="C828:L830"/>
    <mergeCell ref="G1:H1"/>
    <mergeCell ref="K1:L1"/>
    <mergeCell ref="I1:J1"/>
    <mergeCell ref="J9:J11"/>
    <mergeCell ref="K9:L11"/>
    <mergeCell ref="I580:I583"/>
    <mergeCell ref="E336:E337"/>
    <mergeCell ref="F336:F337"/>
    <mergeCell ref="E285:E287"/>
    <mergeCell ref="K285:L287"/>
    <mergeCell ref="E289:E290"/>
    <mergeCell ref="F289:F290"/>
    <mergeCell ref="G289:G290"/>
    <mergeCell ref="H289:H290"/>
    <mergeCell ref="I289:I290"/>
    <mergeCell ref="K289:L290"/>
    <mergeCell ref="K216:L217"/>
    <mergeCell ref="K222:L222"/>
    <mergeCell ref="H220:H221"/>
    <mergeCell ref="I220:I221"/>
    <mergeCell ref="K220:L221"/>
    <mergeCell ref="H233:H234"/>
    <mergeCell ref="K283:L283"/>
    <mergeCell ref="K276:L276"/>
    <mergeCell ref="K277:L279"/>
    <mergeCell ref="E280:L280"/>
    <mergeCell ref="F244:F245"/>
    <mergeCell ref="H350:H353"/>
    <mergeCell ref="K321:L321"/>
    <mergeCell ref="F332:F333"/>
    <mergeCell ref="H332:H333"/>
    <mergeCell ref="G332:G333"/>
    <mergeCell ref="F334:H334"/>
    <mergeCell ref="E105:E106"/>
    <mergeCell ref="F105:F106"/>
    <mergeCell ref="E145:E146"/>
    <mergeCell ref="F145:F146"/>
    <mergeCell ref="I206:I207"/>
    <mergeCell ref="K206:L207"/>
    <mergeCell ref="E186:I186"/>
    <mergeCell ref="E190:I190"/>
    <mergeCell ref="E151:I151"/>
    <mergeCell ref="E299:F299"/>
    <mergeCell ref="E300:F300"/>
    <mergeCell ref="J302:J305"/>
    <mergeCell ref="F272:F273"/>
    <mergeCell ref="I188:I189"/>
    <mergeCell ref="H192:I192"/>
    <mergeCell ref="E194:I194"/>
    <mergeCell ref="E291:L291"/>
    <mergeCell ref="F292:F293"/>
    <mergeCell ref="J278:J279"/>
    <mergeCell ref="E210:E211"/>
    <mergeCell ref="F285:F287"/>
    <mergeCell ref="G292:G293"/>
    <mergeCell ref="K292:L293"/>
    <mergeCell ref="E297:E298"/>
    <mergeCell ref="F297:F298"/>
    <mergeCell ref="E222:I222"/>
    <mergeCell ref="G297:G298"/>
    <mergeCell ref="K297:L300"/>
    <mergeCell ref="J298:J300"/>
    <mergeCell ref="H307:H310"/>
    <mergeCell ref="I307:I310"/>
    <mergeCell ref="E326:F326"/>
    <mergeCell ref="K315:L315"/>
    <mergeCell ref="K316:L316"/>
    <mergeCell ref="K307:L310"/>
    <mergeCell ref="E292:E293"/>
    <mergeCell ref="K296:L296"/>
    <mergeCell ref="K301:L305"/>
    <mergeCell ref="K228:L229"/>
    <mergeCell ref="I267:I270"/>
    <mergeCell ref="J263:J265"/>
    <mergeCell ref="I228:I229"/>
    <mergeCell ref="H246:H247"/>
    <mergeCell ref="H267:H270"/>
    <mergeCell ref="I246:I247"/>
    <mergeCell ref="K242:L242"/>
    <mergeCell ref="E243:L243"/>
    <mergeCell ref="E274:E275"/>
    <mergeCell ref="K244:L245"/>
    <mergeCell ref="K260:L260"/>
    <mergeCell ref="H262:H265"/>
    <mergeCell ref="I262:I265"/>
    <mergeCell ref="H285:H287"/>
    <mergeCell ref="E250:I250"/>
    <mergeCell ref="E254:I254"/>
    <mergeCell ref="E261:I261"/>
    <mergeCell ref="H255:H257"/>
    <mergeCell ref="I255:I257"/>
    <mergeCell ref="K139:L142"/>
    <mergeCell ref="K121:L123"/>
    <mergeCell ref="H96:H97"/>
    <mergeCell ref="I350:I352"/>
    <mergeCell ref="K343:L343"/>
    <mergeCell ref="K345:L345"/>
    <mergeCell ref="K340:L340"/>
    <mergeCell ref="E335:H335"/>
    <mergeCell ref="J308:J310"/>
    <mergeCell ref="E311:E312"/>
    <mergeCell ref="F311:F312"/>
    <mergeCell ref="E306:L306"/>
    <mergeCell ref="K317:L317"/>
    <mergeCell ref="K319:L319"/>
    <mergeCell ref="G307:G310"/>
    <mergeCell ref="H311:H312"/>
    <mergeCell ref="G336:G337"/>
    <mergeCell ref="H336:H337"/>
    <mergeCell ref="E332:E334"/>
    <mergeCell ref="E329:L329"/>
    <mergeCell ref="K330:L330"/>
    <mergeCell ref="K314:L314"/>
    <mergeCell ref="E350:E352"/>
    <mergeCell ref="F350:F353"/>
    <mergeCell ref="K350:L352"/>
    <mergeCell ref="K336:L337"/>
    <mergeCell ref="I336:I337"/>
    <mergeCell ref="K322:L322"/>
    <mergeCell ref="E266:L266"/>
    <mergeCell ref="I210:I211"/>
    <mergeCell ref="K210:L211"/>
    <mergeCell ref="J268:J270"/>
    <mergeCell ref="E249:L249"/>
    <mergeCell ref="K250:L250"/>
    <mergeCell ref="E271:I271"/>
    <mergeCell ref="K218:L219"/>
    <mergeCell ref="J216:J217"/>
    <mergeCell ref="I236:I238"/>
    <mergeCell ref="K235:L235"/>
    <mergeCell ref="K236:L238"/>
    <mergeCell ref="G220:G221"/>
    <mergeCell ref="H216:H217"/>
    <mergeCell ref="I216:I217"/>
    <mergeCell ref="E218:E219"/>
    <mergeCell ref="K240:L240"/>
    <mergeCell ref="K241:L241"/>
    <mergeCell ref="I233:I234"/>
    <mergeCell ref="H244:H245"/>
    <mergeCell ref="E244:E245"/>
    <mergeCell ref="E230:I230"/>
    <mergeCell ref="E235:I235"/>
    <mergeCell ref="K261:L261"/>
    <mergeCell ref="E228:E229"/>
    <mergeCell ref="J236:J238"/>
    <mergeCell ref="J233:J234"/>
    <mergeCell ref="K223:L225"/>
    <mergeCell ref="K226:L226"/>
    <mergeCell ref="K246:L247"/>
    <mergeCell ref="F220:F221"/>
    <mergeCell ref="F218:F219"/>
    <mergeCell ref="G218:G219"/>
    <mergeCell ref="G147:G148"/>
    <mergeCell ref="I68:I72"/>
    <mergeCell ref="K105:L106"/>
    <mergeCell ref="G96:G97"/>
    <mergeCell ref="H109:H110"/>
    <mergeCell ref="K152:L152"/>
    <mergeCell ref="F107:F108"/>
    <mergeCell ref="K124:L124"/>
    <mergeCell ref="H121:H123"/>
    <mergeCell ref="G73:G74"/>
    <mergeCell ref="F103:F104"/>
    <mergeCell ref="G103:G104"/>
    <mergeCell ref="F98:F99"/>
    <mergeCell ref="G98:G99"/>
    <mergeCell ref="E68:E69"/>
    <mergeCell ref="F68:F69"/>
    <mergeCell ref="G68:G69"/>
    <mergeCell ref="H68:H72"/>
    <mergeCell ref="E103:E104"/>
    <mergeCell ref="F73:F74"/>
    <mergeCell ref="K77:L77"/>
    <mergeCell ref="K78:L78"/>
    <mergeCell ref="K79:L79"/>
    <mergeCell ref="K80:L80"/>
    <mergeCell ref="K125:L126"/>
    <mergeCell ref="E87:E88"/>
    <mergeCell ref="F87:F88"/>
    <mergeCell ref="K95:L95"/>
    <mergeCell ref="E96:E97"/>
    <mergeCell ref="E117:I117"/>
    <mergeCell ref="K98:L99"/>
    <mergeCell ref="E93:E94"/>
    <mergeCell ref="K346:L346"/>
    <mergeCell ref="G629:G630"/>
    <mergeCell ref="H105:H106"/>
    <mergeCell ref="I105:I106"/>
    <mergeCell ref="F826:G826"/>
    <mergeCell ref="H826:I826"/>
    <mergeCell ref="L826:M826"/>
    <mergeCell ref="K153:L153"/>
    <mergeCell ref="K154:L154"/>
    <mergeCell ref="K155:L155"/>
    <mergeCell ref="K156:L156"/>
    <mergeCell ref="K157:L157"/>
    <mergeCell ref="K158:L158"/>
    <mergeCell ref="E176:L176"/>
    <mergeCell ref="H165:H167"/>
    <mergeCell ref="I165:I167"/>
    <mergeCell ref="J165:J167"/>
    <mergeCell ref="F174:F175"/>
    <mergeCell ref="G174:G175"/>
    <mergeCell ref="K325:L325"/>
    <mergeCell ref="E327:L327"/>
    <mergeCell ref="E302:F302"/>
    <mergeCell ref="H296:I296"/>
    <mergeCell ref="G311:G312"/>
    <mergeCell ref="I311:I312"/>
    <mergeCell ref="K311:L312"/>
    <mergeCell ref="K313:L313"/>
    <mergeCell ref="K209:L209"/>
    <mergeCell ref="H218:H219"/>
    <mergeCell ref="I218:I219"/>
    <mergeCell ref="H223:H225"/>
    <mergeCell ref="H195:H197"/>
    <mergeCell ref="K248:L248"/>
    <mergeCell ref="H825:I825"/>
    <mergeCell ref="F825:G825"/>
    <mergeCell ref="J141:J142"/>
    <mergeCell ref="H277:H279"/>
    <mergeCell ref="I277:I279"/>
    <mergeCell ref="H542:H546"/>
    <mergeCell ref="I542:I546"/>
    <mergeCell ref="J542:J546"/>
    <mergeCell ref="H551:H552"/>
    <mergeCell ref="I551:I552"/>
    <mergeCell ref="J551:J552"/>
    <mergeCell ref="K281:L281"/>
    <mergeCell ref="K282:L282"/>
    <mergeCell ref="K190:L190"/>
    <mergeCell ref="K177:L177"/>
    <mergeCell ref="K178:L178"/>
    <mergeCell ref="K179:L179"/>
    <mergeCell ref="K182:L182"/>
    <mergeCell ref="E303:F303"/>
    <mergeCell ref="E307:F310"/>
    <mergeCell ref="E143:I143"/>
    <mergeCell ref="E177:I177"/>
    <mergeCell ref="E182:I182"/>
    <mergeCell ref="E185:I185"/>
    <mergeCell ref="E144:I144"/>
    <mergeCell ref="K163:L163"/>
    <mergeCell ref="K164:L164"/>
    <mergeCell ref="I244:I245"/>
    <mergeCell ref="J244:J245"/>
    <mergeCell ref="E201:E202"/>
    <mergeCell ref="K356:L356"/>
    <mergeCell ref="E823:F823"/>
    <mergeCell ref="I145:I146"/>
    <mergeCell ref="E824:F824"/>
    <mergeCell ref="E2:L2"/>
    <mergeCell ref="K7:L7"/>
    <mergeCell ref="K8:L8"/>
    <mergeCell ref="K22:L22"/>
    <mergeCell ref="K23:L23"/>
    <mergeCell ref="F6:G6"/>
    <mergeCell ref="F7:G7"/>
    <mergeCell ref="H9:I9"/>
    <mergeCell ref="F9:F11"/>
    <mergeCell ref="E21:I21"/>
    <mergeCell ref="E14:I14"/>
    <mergeCell ref="G9:G11"/>
    <mergeCell ref="K14:L14"/>
    <mergeCell ref="K17:L17"/>
    <mergeCell ref="K18:L18"/>
    <mergeCell ref="K19:L19"/>
    <mergeCell ref="E15:E16"/>
    <mergeCell ref="F15:F16"/>
    <mergeCell ref="G15:G16"/>
    <mergeCell ref="H15:H16"/>
    <mergeCell ref="I15:I16"/>
    <mergeCell ref="K15:L16"/>
    <mergeCell ref="K5:L5"/>
    <mergeCell ref="F4:I4"/>
    <mergeCell ref="F3:I3"/>
    <mergeCell ref="F5:I5"/>
    <mergeCell ref="K20:L20"/>
    <mergeCell ref="K21:L21"/>
    <mergeCell ref="E9:E11"/>
    <mergeCell ref="K24:L24"/>
    <mergeCell ref="K320:L320"/>
    <mergeCell ref="K25:L25"/>
    <mergeCell ref="E27:E28"/>
    <mergeCell ref="F27:F28"/>
    <mergeCell ref="G27:G28"/>
    <mergeCell ref="H27:H28"/>
    <mergeCell ref="I27:I28"/>
    <mergeCell ref="K35:L35"/>
    <mergeCell ref="K36:L36"/>
    <mergeCell ref="E26:L26"/>
    <mergeCell ref="E29:L29"/>
    <mergeCell ref="K30:L30"/>
    <mergeCell ref="K33:L33"/>
    <mergeCell ref="E31:E32"/>
    <mergeCell ref="H31:H32"/>
    <mergeCell ref="I31:I32"/>
    <mergeCell ref="F63:F64"/>
    <mergeCell ref="F31:F32"/>
    <mergeCell ref="G31:G32"/>
    <mergeCell ref="K37:L37"/>
    <mergeCell ref="K38:L38"/>
    <mergeCell ref="K34:L34"/>
    <mergeCell ref="E30:I30"/>
    <mergeCell ref="E52:I52"/>
    <mergeCell ref="E63:E64"/>
    <mergeCell ref="G63:G64"/>
    <mergeCell ref="H63:H64"/>
    <mergeCell ref="K27:L28"/>
    <mergeCell ref="K31:L32"/>
    <mergeCell ref="K50:L50"/>
    <mergeCell ref="K40:L40"/>
    <mergeCell ref="E80:I80"/>
    <mergeCell ref="G85:G86"/>
    <mergeCell ref="H85:H86"/>
    <mergeCell ref="K41:L41"/>
    <mergeCell ref="J56:J58"/>
    <mergeCell ref="H62:I62"/>
    <mergeCell ref="E42:I42"/>
    <mergeCell ref="E39:I39"/>
    <mergeCell ref="H43:H45"/>
    <mergeCell ref="I43:I45"/>
    <mergeCell ref="J43:J45"/>
    <mergeCell ref="H56:H58"/>
    <mergeCell ref="E55:I55"/>
    <mergeCell ref="E48:I48"/>
    <mergeCell ref="F62:G62"/>
    <mergeCell ref="E67:I67"/>
    <mergeCell ref="K42:L42"/>
    <mergeCell ref="K43:L45"/>
    <mergeCell ref="K46:L46"/>
    <mergeCell ref="K47:L47"/>
    <mergeCell ref="K39:L39"/>
    <mergeCell ref="E65:E66"/>
    <mergeCell ref="F65:F66"/>
    <mergeCell ref="G65:G66"/>
    <mergeCell ref="K65:L66"/>
    <mergeCell ref="H65:H66"/>
    <mergeCell ref="I65:I66"/>
    <mergeCell ref="K54:L54"/>
    <mergeCell ref="K55:L55"/>
    <mergeCell ref="K56:L58"/>
    <mergeCell ref="K59:L59"/>
    <mergeCell ref="K60:L60"/>
    <mergeCell ref="K48:L48"/>
    <mergeCell ref="K49:L49"/>
    <mergeCell ref="K51:L51"/>
    <mergeCell ref="K52:L52"/>
    <mergeCell ref="K53:L53"/>
    <mergeCell ref="H73:H74"/>
    <mergeCell ref="I73:I74"/>
    <mergeCell ref="E73:E74"/>
    <mergeCell ref="E75:E76"/>
    <mergeCell ref="F75:F76"/>
    <mergeCell ref="G75:G76"/>
    <mergeCell ref="H75:H76"/>
    <mergeCell ref="I75:I76"/>
    <mergeCell ref="K73:L74"/>
    <mergeCell ref="K62:L62"/>
    <mergeCell ref="I63:I64"/>
    <mergeCell ref="K63:L64"/>
    <mergeCell ref="K68:L72"/>
    <mergeCell ref="J69:J72"/>
    <mergeCell ref="K61:L61"/>
    <mergeCell ref="K67:L67"/>
    <mergeCell ref="I56:I58"/>
    <mergeCell ref="I98:I99"/>
    <mergeCell ref="H103:H104"/>
    <mergeCell ref="G107:G108"/>
    <mergeCell ref="H107:H108"/>
    <mergeCell ref="I107:I108"/>
    <mergeCell ref="G111:G112"/>
    <mergeCell ref="K113:L113"/>
    <mergeCell ref="K119:L119"/>
    <mergeCell ref="K120:L120"/>
    <mergeCell ref="H81:H82"/>
    <mergeCell ref="G87:G88"/>
    <mergeCell ref="H87:H88"/>
    <mergeCell ref="I87:I88"/>
    <mergeCell ref="K87:L88"/>
    <mergeCell ref="G93:G94"/>
    <mergeCell ref="H93:H94"/>
    <mergeCell ref="F93:F94"/>
    <mergeCell ref="E136:L136"/>
    <mergeCell ref="K133:L133"/>
    <mergeCell ref="K134:L134"/>
    <mergeCell ref="E107:E108"/>
    <mergeCell ref="K111:L112"/>
    <mergeCell ref="K114:L114"/>
    <mergeCell ref="K107:L108"/>
    <mergeCell ref="E109:E110"/>
    <mergeCell ref="K127:L128"/>
    <mergeCell ref="G105:G106"/>
    <mergeCell ref="K103:L104"/>
    <mergeCell ref="F96:F97"/>
    <mergeCell ref="F81:F82"/>
    <mergeCell ref="E101:I101"/>
    <mergeCell ref="E95:I95"/>
    <mergeCell ref="E89:I89"/>
    <mergeCell ref="K96:L97"/>
    <mergeCell ref="E98:E99"/>
    <mergeCell ref="I121:I123"/>
    <mergeCell ref="G81:G82"/>
    <mergeCell ref="E92:L92"/>
    <mergeCell ref="K89:L89"/>
    <mergeCell ref="I85:I86"/>
    <mergeCell ref="K85:L86"/>
    <mergeCell ref="K115:L115"/>
    <mergeCell ref="I81:I82"/>
    <mergeCell ref="K81:L82"/>
    <mergeCell ref="K83:L84"/>
    <mergeCell ref="E85:E86"/>
    <mergeCell ref="F85:F86"/>
    <mergeCell ref="I96:I97"/>
    <mergeCell ref="H98:H99"/>
    <mergeCell ref="K187:L187"/>
    <mergeCell ref="K184:L184"/>
    <mergeCell ref="H174:H175"/>
    <mergeCell ref="K161:L161"/>
    <mergeCell ref="K162:L162"/>
    <mergeCell ref="K174:L175"/>
    <mergeCell ref="H168:H171"/>
    <mergeCell ref="E129:I129"/>
    <mergeCell ref="I111:I112"/>
    <mergeCell ref="I103:I104"/>
    <mergeCell ref="K75:L76"/>
    <mergeCell ref="E81:E82"/>
    <mergeCell ref="I93:I94"/>
    <mergeCell ref="K172:L173"/>
    <mergeCell ref="J121:J123"/>
    <mergeCell ref="F127:F128"/>
    <mergeCell ref="G127:G128"/>
    <mergeCell ref="H127:H128"/>
    <mergeCell ref="I127:I128"/>
    <mergeCell ref="H139:I142"/>
    <mergeCell ref="E137:L137"/>
    <mergeCell ref="K138:L138"/>
    <mergeCell ref="F125:F126"/>
    <mergeCell ref="G125:G126"/>
    <mergeCell ref="H125:H126"/>
    <mergeCell ref="E149:E150"/>
    <mergeCell ref="K143:L143"/>
    <mergeCell ref="K129:L129"/>
    <mergeCell ref="K130:L132"/>
    <mergeCell ref="F109:F110"/>
    <mergeCell ref="E120:I120"/>
    <mergeCell ref="E124:I124"/>
    <mergeCell ref="F398:F402"/>
    <mergeCell ref="K398:L402"/>
    <mergeCell ref="E180:E181"/>
    <mergeCell ref="F180:F181"/>
    <mergeCell ref="I195:I197"/>
    <mergeCell ref="E174:E175"/>
    <mergeCell ref="E135:F135"/>
    <mergeCell ref="H130:H132"/>
    <mergeCell ref="J195:J197"/>
    <mergeCell ref="K231:L231"/>
    <mergeCell ref="H199:H200"/>
    <mergeCell ref="K203:L204"/>
    <mergeCell ref="K145:L146"/>
    <mergeCell ref="K147:L148"/>
    <mergeCell ref="K149:L150"/>
    <mergeCell ref="K165:L167"/>
    <mergeCell ref="K168:L168"/>
    <mergeCell ref="K169:L171"/>
    <mergeCell ref="K159:L159"/>
    <mergeCell ref="K160:L160"/>
    <mergeCell ref="H147:H148"/>
    <mergeCell ref="I147:I148"/>
    <mergeCell ref="K215:L215"/>
    <mergeCell ref="J169:J171"/>
    <mergeCell ref="E138:I138"/>
    <mergeCell ref="I174:I175"/>
    <mergeCell ref="E172:E173"/>
    <mergeCell ref="F172:F173"/>
    <mergeCell ref="G172:G173"/>
    <mergeCell ref="H172:H173"/>
    <mergeCell ref="I172:I173"/>
    <mergeCell ref="K186:L186"/>
    <mergeCell ref="H203:H204"/>
    <mergeCell ref="I199:I200"/>
    <mergeCell ref="F212:F213"/>
    <mergeCell ref="K208:L208"/>
    <mergeCell ref="F206:F207"/>
    <mergeCell ref="E116:L116"/>
    <mergeCell ref="E111:E112"/>
    <mergeCell ref="F111:F112"/>
    <mergeCell ref="G109:G110"/>
    <mergeCell ref="I125:I126"/>
    <mergeCell ref="K117:L117"/>
    <mergeCell ref="K93:L94"/>
    <mergeCell ref="K91:L91"/>
    <mergeCell ref="F456:F460"/>
    <mergeCell ref="G457:G459"/>
    <mergeCell ref="H456:H460"/>
    <mergeCell ref="I456:I460"/>
    <mergeCell ref="E414:E416"/>
    <mergeCell ref="F414:F416"/>
    <mergeCell ref="G414:G416"/>
    <mergeCell ref="H414:H416"/>
    <mergeCell ref="I414:I416"/>
    <mergeCell ref="I168:I171"/>
    <mergeCell ref="E127:E128"/>
    <mergeCell ref="I130:I132"/>
    <mergeCell ref="H389:I390"/>
    <mergeCell ref="G400:G402"/>
    <mergeCell ref="E358:L358"/>
    <mergeCell ref="H398:H402"/>
    <mergeCell ref="I398:I402"/>
    <mergeCell ref="K397:L397"/>
    <mergeCell ref="E398:E402"/>
    <mergeCell ref="K185:L185"/>
    <mergeCell ref="E164:I164"/>
    <mergeCell ref="K180:L181"/>
    <mergeCell ref="G149:G150"/>
    <mergeCell ref="I203:I204"/>
    <mergeCell ref="F201:F202"/>
    <mergeCell ref="G203:G204"/>
    <mergeCell ref="H145:H146"/>
    <mergeCell ref="K357:L357"/>
    <mergeCell ref="H431:I435"/>
    <mergeCell ref="G439:G441"/>
    <mergeCell ref="K424:L424"/>
    <mergeCell ref="K425:L425"/>
    <mergeCell ref="K426:L426"/>
    <mergeCell ref="I381:I385"/>
    <mergeCell ref="K373:L373"/>
    <mergeCell ref="K374:L375"/>
    <mergeCell ref="K376:L376"/>
    <mergeCell ref="K377:L378"/>
    <mergeCell ref="K409:L413"/>
    <mergeCell ref="F369:F372"/>
    <mergeCell ref="K199:L200"/>
    <mergeCell ref="H201:H202"/>
    <mergeCell ref="I201:I202"/>
    <mergeCell ref="J364:J365"/>
    <mergeCell ref="H362:I365"/>
    <mergeCell ref="K428:L428"/>
    <mergeCell ref="K429:L429"/>
    <mergeCell ref="H437:H441"/>
    <mergeCell ref="I437:I441"/>
    <mergeCell ref="K396:L396"/>
    <mergeCell ref="E215:G215"/>
    <mergeCell ref="J286:J287"/>
    <mergeCell ref="K379:L379"/>
    <mergeCell ref="J223:J225"/>
    <mergeCell ref="H236:H238"/>
    <mergeCell ref="H212:H213"/>
    <mergeCell ref="F228:F229"/>
    <mergeCell ref="G228:G229"/>
    <mergeCell ref="H228:H229"/>
    <mergeCell ref="G206:G207"/>
    <mergeCell ref="K271:L271"/>
    <mergeCell ref="E456:E460"/>
    <mergeCell ref="H149:H150"/>
    <mergeCell ref="I149:I150"/>
    <mergeCell ref="E208:I208"/>
    <mergeCell ref="H210:H211"/>
    <mergeCell ref="E198:I198"/>
    <mergeCell ref="K191:L191"/>
    <mergeCell ref="K192:L192"/>
    <mergeCell ref="K193:L193"/>
    <mergeCell ref="K194:L194"/>
    <mergeCell ref="H188:H189"/>
    <mergeCell ref="E199:E200"/>
    <mergeCell ref="F199:F200"/>
    <mergeCell ref="G199:G200"/>
    <mergeCell ref="K195:L197"/>
    <mergeCell ref="K198:L198"/>
    <mergeCell ref="K201:L202"/>
    <mergeCell ref="E158:I158"/>
    <mergeCell ref="K183:L183"/>
    <mergeCell ref="K151:L151"/>
    <mergeCell ref="G180:G181"/>
    <mergeCell ref="E188:E189"/>
    <mergeCell ref="K453:L454"/>
    <mergeCell ref="K455:L455"/>
    <mergeCell ref="K456:L460"/>
    <mergeCell ref="K465:L465"/>
    <mergeCell ref="K466:L466"/>
    <mergeCell ref="E477:G477"/>
    <mergeCell ref="K414:L416"/>
    <mergeCell ref="J448:J450"/>
    <mergeCell ref="H453:H455"/>
    <mergeCell ref="I453:I455"/>
    <mergeCell ref="K442:L442"/>
    <mergeCell ref="K443:L443"/>
    <mergeCell ref="J481:J482"/>
    <mergeCell ref="H490:I490"/>
    <mergeCell ref="K445:L445"/>
    <mergeCell ref="K446:L450"/>
    <mergeCell ref="K451:L451"/>
    <mergeCell ref="H446:H450"/>
    <mergeCell ref="I446:I450"/>
    <mergeCell ref="K467:L467"/>
    <mergeCell ref="K417:L417"/>
    <mergeCell ref="K418:L422"/>
    <mergeCell ref="K423:L423"/>
    <mergeCell ref="H477:I477"/>
    <mergeCell ref="K462:L462"/>
    <mergeCell ref="K463:L463"/>
    <mergeCell ref="K464:L464"/>
    <mergeCell ref="J420:J422"/>
    <mergeCell ref="K427:L427"/>
    <mergeCell ref="E505:G505"/>
    <mergeCell ref="H505:I505"/>
    <mergeCell ref="E495:E498"/>
    <mergeCell ref="G496:G498"/>
    <mergeCell ref="H495:H498"/>
    <mergeCell ref="I495:I498"/>
    <mergeCell ref="F495:F498"/>
    <mergeCell ref="J496:J498"/>
    <mergeCell ref="K495:L498"/>
    <mergeCell ref="E499:E500"/>
    <mergeCell ref="F499:F500"/>
    <mergeCell ref="G499:G500"/>
    <mergeCell ref="E433:E435"/>
    <mergeCell ref="F433:F435"/>
    <mergeCell ref="G433:G435"/>
    <mergeCell ref="K486:L486"/>
    <mergeCell ref="K487:L487"/>
    <mergeCell ref="K488:L488"/>
    <mergeCell ref="K489:L489"/>
    <mergeCell ref="K490:L490"/>
    <mergeCell ref="K492:L492"/>
    <mergeCell ref="K479:L479"/>
    <mergeCell ref="K480:L480"/>
    <mergeCell ref="K481:L482"/>
    <mergeCell ref="K483:L483"/>
    <mergeCell ref="K484:L484"/>
    <mergeCell ref="K485:L485"/>
    <mergeCell ref="K468:L468"/>
    <mergeCell ref="K469:L469"/>
    <mergeCell ref="K470:L475"/>
    <mergeCell ref="K476:L476"/>
    <mergeCell ref="K452:L452"/>
    <mergeCell ref="K633:L634"/>
    <mergeCell ref="H635:H636"/>
    <mergeCell ref="I635:I636"/>
    <mergeCell ref="J635:J636"/>
    <mergeCell ref="H641:H642"/>
    <mergeCell ref="I641:I642"/>
    <mergeCell ref="J641:J642"/>
    <mergeCell ref="K623:L623"/>
    <mergeCell ref="K624:L624"/>
    <mergeCell ref="E626:L626"/>
    <mergeCell ref="E627:L627"/>
    <mergeCell ref="K628:L628"/>
    <mergeCell ref="E625:F625"/>
    <mergeCell ref="K595:L595"/>
    <mergeCell ref="K596:L596"/>
    <mergeCell ref="K597:L597"/>
    <mergeCell ref="I633:I634"/>
    <mergeCell ref="J633:J634"/>
    <mergeCell ref="E629:E630"/>
    <mergeCell ref="F629:F630"/>
    <mergeCell ref="K629:L630"/>
    <mergeCell ref="K631:L631"/>
    <mergeCell ref="K632:L632"/>
    <mergeCell ref="I614:I618"/>
    <mergeCell ref="J614:J618"/>
    <mergeCell ref="H614:H618"/>
    <mergeCell ref="H629:I630"/>
    <mergeCell ref="J629:J630"/>
    <mergeCell ref="E638:E639"/>
    <mergeCell ref="H638:H639"/>
    <mergeCell ref="H602:H605"/>
    <mergeCell ref="E612:L612"/>
    <mergeCell ref="E645:E646"/>
    <mergeCell ref="F645:F646"/>
    <mergeCell ref="K645:L646"/>
    <mergeCell ref="E647:E648"/>
    <mergeCell ref="F647:F648"/>
    <mergeCell ref="K647:L648"/>
    <mergeCell ref="K635:L636"/>
    <mergeCell ref="K637:L637"/>
    <mergeCell ref="K639:L639"/>
    <mergeCell ref="K640:L640"/>
    <mergeCell ref="K641:L642"/>
    <mergeCell ref="K643:L643"/>
    <mergeCell ref="H645:H646"/>
    <mergeCell ref="J645:J646"/>
    <mergeCell ref="J647:J648"/>
    <mergeCell ref="J649:J650"/>
    <mergeCell ref="J651:J652"/>
    <mergeCell ref="H647:H648"/>
    <mergeCell ref="H649:H650"/>
    <mergeCell ref="H651:H652"/>
    <mergeCell ref="I638:I639"/>
    <mergeCell ref="J638:J639"/>
    <mergeCell ref="K614:L618"/>
    <mergeCell ref="K664:L664"/>
    <mergeCell ref="K665:L665"/>
    <mergeCell ref="K666:L669"/>
    <mergeCell ref="K670:L670"/>
    <mergeCell ref="K671:L674"/>
    <mergeCell ref="K675:L675"/>
    <mergeCell ref="E659:E660"/>
    <mergeCell ref="F659:F660"/>
    <mergeCell ref="K659:L660"/>
    <mergeCell ref="K661:L661"/>
    <mergeCell ref="K662:L662"/>
    <mergeCell ref="K663:L663"/>
    <mergeCell ref="E653:E654"/>
    <mergeCell ref="F653:F654"/>
    <mergeCell ref="K653:L654"/>
    <mergeCell ref="K655:L655"/>
    <mergeCell ref="K656:L656"/>
    <mergeCell ref="E657:E658"/>
    <mergeCell ref="F657:F658"/>
    <mergeCell ref="K657:L658"/>
    <mergeCell ref="J666:J669"/>
    <mergeCell ref="J671:J674"/>
    <mergeCell ref="J653:J654"/>
    <mergeCell ref="H653:H654"/>
    <mergeCell ref="J657:J658"/>
    <mergeCell ref="J659:J660"/>
    <mergeCell ref="K649:L650"/>
    <mergeCell ref="E651:E652"/>
    <mergeCell ref="F651:F652"/>
    <mergeCell ref="K651:L652"/>
    <mergeCell ref="K644:L644"/>
    <mergeCell ref="K699:L699"/>
    <mergeCell ref="K700:L700"/>
    <mergeCell ref="K701:L701"/>
    <mergeCell ref="K702:L702"/>
    <mergeCell ref="K703:L703"/>
    <mergeCell ref="K704:L706"/>
    <mergeCell ref="K691:L692"/>
    <mergeCell ref="K693:L693"/>
    <mergeCell ref="K694:L694"/>
    <mergeCell ref="K695:L696"/>
    <mergeCell ref="K697:L697"/>
    <mergeCell ref="K698:L698"/>
    <mergeCell ref="K676:L679"/>
    <mergeCell ref="K680:L680"/>
    <mergeCell ref="K681:L684"/>
    <mergeCell ref="K685:L685"/>
    <mergeCell ref="K686:L689"/>
    <mergeCell ref="K690:L690"/>
    <mergeCell ref="K721:L721"/>
    <mergeCell ref="K722:L722"/>
    <mergeCell ref="K723:L723"/>
    <mergeCell ref="K724:L727"/>
    <mergeCell ref="K728:L728"/>
    <mergeCell ref="K729:L731"/>
    <mergeCell ref="K716:L716"/>
    <mergeCell ref="K717:L717"/>
    <mergeCell ref="K718:L718"/>
    <mergeCell ref="E719:E720"/>
    <mergeCell ref="F719:F720"/>
    <mergeCell ref="K719:L720"/>
    <mergeCell ref="K707:L707"/>
    <mergeCell ref="K708:L708"/>
    <mergeCell ref="K709:L709"/>
    <mergeCell ref="K710:L711"/>
    <mergeCell ref="K714:L714"/>
    <mergeCell ref="E715:L715"/>
    <mergeCell ref="H724:H727"/>
    <mergeCell ref="I724:I727"/>
    <mergeCell ref="J724:J727"/>
    <mergeCell ref="H707:I707"/>
    <mergeCell ref="I710:I711"/>
    <mergeCell ref="J719:J720"/>
    <mergeCell ref="J734:J737"/>
    <mergeCell ref="G740:I740"/>
    <mergeCell ref="I759:I760"/>
    <mergeCell ref="H759:H760"/>
    <mergeCell ref="H756:H757"/>
    <mergeCell ref="I756:I757"/>
    <mergeCell ref="J756:J757"/>
    <mergeCell ref="K756:L757"/>
    <mergeCell ref="K749:L749"/>
    <mergeCell ref="K750:L750"/>
    <mergeCell ref="E751:L751"/>
    <mergeCell ref="K752:L752"/>
    <mergeCell ref="K753:L753"/>
    <mergeCell ref="K754:L754"/>
    <mergeCell ref="K745:L745"/>
    <mergeCell ref="K746:L746"/>
    <mergeCell ref="K747:L747"/>
    <mergeCell ref="K748:L748"/>
    <mergeCell ref="K755:L755"/>
    <mergeCell ref="K758:L758"/>
    <mergeCell ref="K759:L759"/>
    <mergeCell ref="K760:L760"/>
    <mergeCell ref="J759:J760"/>
    <mergeCell ref="K620:L621"/>
    <mergeCell ref="K779:L779"/>
    <mergeCell ref="K780:L780"/>
    <mergeCell ref="K741:L743"/>
    <mergeCell ref="K744:L744"/>
    <mergeCell ref="K808:L808"/>
    <mergeCell ref="K797:L797"/>
    <mergeCell ref="K798:L798"/>
    <mergeCell ref="K799:L799"/>
    <mergeCell ref="K800:L800"/>
    <mergeCell ref="K801:L801"/>
    <mergeCell ref="K802:L802"/>
    <mergeCell ref="E791:L791"/>
    <mergeCell ref="K792:L792"/>
    <mergeCell ref="K793:L793"/>
    <mergeCell ref="K794:L794"/>
    <mergeCell ref="K795:L795"/>
    <mergeCell ref="K796:L796"/>
    <mergeCell ref="K785:L785"/>
    <mergeCell ref="K786:L786"/>
    <mergeCell ref="K787:L787"/>
    <mergeCell ref="K788:L788"/>
    <mergeCell ref="K781:L781"/>
    <mergeCell ref="K782:L782"/>
    <mergeCell ref="K732:L732"/>
    <mergeCell ref="K733:L733"/>
    <mergeCell ref="K734:L737"/>
    <mergeCell ref="K738:L738"/>
    <mergeCell ref="K739:L739"/>
    <mergeCell ref="K740:L740"/>
    <mergeCell ref="H734:H737"/>
    <mergeCell ref="I734:I737"/>
    <mergeCell ref="K593:L593"/>
    <mergeCell ref="K584:L584"/>
    <mergeCell ref="K783:L783"/>
    <mergeCell ref="K784:L784"/>
    <mergeCell ref="K773:L773"/>
    <mergeCell ref="K774:L774"/>
    <mergeCell ref="K775:L775"/>
    <mergeCell ref="K776:L776"/>
    <mergeCell ref="K777:L777"/>
    <mergeCell ref="K778:L778"/>
    <mergeCell ref="K767:L767"/>
    <mergeCell ref="K768:L768"/>
    <mergeCell ref="K769:L769"/>
    <mergeCell ref="K770:L770"/>
    <mergeCell ref="K771:L771"/>
    <mergeCell ref="K772:L772"/>
    <mergeCell ref="E761:L761"/>
    <mergeCell ref="K762:L762"/>
    <mergeCell ref="K763:L763"/>
    <mergeCell ref="E765:L765"/>
    <mergeCell ref="E766:L766"/>
    <mergeCell ref="J585:J587"/>
    <mergeCell ref="H585:H587"/>
    <mergeCell ref="H607:H610"/>
    <mergeCell ref="I607:I610"/>
    <mergeCell ref="J607:J610"/>
    <mergeCell ref="K585:L587"/>
    <mergeCell ref="K588:L588"/>
    <mergeCell ref="K589:L589"/>
    <mergeCell ref="K590:L590"/>
    <mergeCell ref="H633:H634"/>
    <mergeCell ref="K619:L619"/>
    <mergeCell ref="K606:L606"/>
    <mergeCell ref="K622:L622"/>
    <mergeCell ref="K598:L598"/>
    <mergeCell ref="K599:L599"/>
    <mergeCell ref="K600:L605"/>
    <mergeCell ref="K613:L613"/>
    <mergeCell ref="K821:L821"/>
    <mergeCell ref="K822:L822"/>
    <mergeCell ref="K3:L3"/>
    <mergeCell ref="K4:L4"/>
    <mergeCell ref="K6:L6"/>
    <mergeCell ref="K815:L815"/>
    <mergeCell ref="K816:L816"/>
    <mergeCell ref="K817:L817"/>
    <mergeCell ref="K818:L818"/>
    <mergeCell ref="K819:L819"/>
    <mergeCell ref="K820:L820"/>
    <mergeCell ref="K809:L809"/>
    <mergeCell ref="K810:L810"/>
    <mergeCell ref="K811:L811"/>
    <mergeCell ref="K812:L812"/>
    <mergeCell ref="K813:L813"/>
    <mergeCell ref="K814:L814"/>
    <mergeCell ref="K803:L803"/>
    <mergeCell ref="K804:L804"/>
    <mergeCell ref="K805:L805"/>
    <mergeCell ref="K806:L806"/>
    <mergeCell ref="K807:L807"/>
    <mergeCell ref="E789:L789"/>
    <mergeCell ref="K790:L790"/>
    <mergeCell ref="E764:F764"/>
    <mergeCell ref="K611:L611"/>
    <mergeCell ref="K514:L515"/>
    <mergeCell ref="K594:L594"/>
    <mergeCell ref="E246:E247"/>
    <mergeCell ref="G274:G275"/>
    <mergeCell ref="H274:H275"/>
    <mergeCell ref="K368:L368"/>
    <mergeCell ref="K572:L572"/>
    <mergeCell ref="K580:L582"/>
    <mergeCell ref="K591:L591"/>
    <mergeCell ref="F246:F247"/>
    <mergeCell ref="K592:L592"/>
    <mergeCell ref="H704:H706"/>
    <mergeCell ref="I704:I706"/>
    <mergeCell ref="J704:J706"/>
    <mergeCell ref="E83:E84"/>
    <mergeCell ref="F83:F84"/>
    <mergeCell ref="G83:G84"/>
    <mergeCell ref="H83:H84"/>
    <mergeCell ref="I83:I84"/>
    <mergeCell ref="E649:E650"/>
    <mergeCell ref="F649:F650"/>
    <mergeCell ref="E537:F537"/>
    <mergeCell ref="E478:L478"/>
    <mergeCell ref="K461:L461"/>
    <mergeCell ref="E491:E492"/>
    <mergeCell ref="F491:F492"/>
    <mergeCell ref="G491:G492"/>
    <mergeCell ref="H491:H492"/>
    <mergeCell ref="I491:I492"/>
    <mergeCell ref="H481:H482"/>
    <mergeCell ref="I481:I482"/>
    <mergeCell ref="I585:I587"/>
    <mergeCell ref="K262:L265"/>
    <mergeCell ref="I251:I253"/>
    <mergeCell ref="E212:E213"/>
    <mergeCell ref="K500:L500"/>
    <mergeCell ref="K503:L503"/>
    <mergeCell ref="K547:L547"/>
    <mergeCell ref="K529:L529"/>
    <mergeCell ref="E530:E534"/>
    <mergeCell ref="F530:F534"/>
    <mergeCell ref="H580:H583"/>
    <mergeCell ref="G531:G532"/>
    <mergeCell ref="G533:G534"/>
    <mergeCell ref="K527:L528"/>
    <mergeCell ref="K542:L546"/>
    <mergeCell ref="K573:L573"/>
    <mergeCell ref="K574:L576"/>
    <mergeCell ref="K555:L558"/>
    <mergeCell ref="K559:L559"/>
    <mergeCell ref="H555:H558"/>
    <mergeCell ref="I555:I558"/>
    <mergeCell ref="J555:J558"/>
    <mergeCell ref="H560:H561"/>
    <mergeCell ref="I560:I561"/>
    <mergeCell ref="J560:J561"/>
    <mergeCell ref="J580:J582"/>
    <mergeCell ref="H563:H565"/>
    <mergeCell ref="I563:I565"/>
    <mergeCell ref="K577:L577"/>
    <mergeCell ref="K578:L578"/>
    <mergeCell ref="H574:H576"/>
    <mergeCell ref="K579:L579"/>
    <mergeCell ref="K512:L512"/>
    <mergeCell ref="I507:I510"/>
    <mergeCell ref="J507:J510"/>
    <mergeCell ref="K493:L493"/>
    <mergeCell ref="K444:L444"/>
    <mergeCell ref="E437:E441"/>
    <mergeCell ref="F437:F441"/>
    <mergeCell ref="K437:L441"/>
    <mergeCell ref="K507:L510"/>
    <mergeCell ref="K511:L511"/>
    <mergeCell ref="H206:H207"/>
    <mergeCell ref="K554:L554"/>
    <mergeCell ref="E538:L538"/>
    <mergeCell ref="E539:L539"/>
    <mergeCell ref="K540:L540"/>
    <mergeCell ref="K541:L541"/>
    <mergeCell ref="K361:L361"/>
    <mergeCell ref="K227:L227"/>
    <mergeCell ref="K230:L230"/>
    <mergeCell ref="I332:I334"/>
    <mergeCell ref="F324:F325"/>
    <mergeCell ref="G324:G325"/>
    <mergeCell ref="H324:H325"/>
    <mergeCell ref="E328:L328"/>
    <mergeCell ref="H349:I349"/>
    <mergeCell ref="E305:F305"/>
    <mergeCell ref="H377:H378"/>
    <mergeCell ref="I377:I378"/>
    <mergeCell ref="H381:H385"/>
    <mergeCell ref="F210:F211"/>
    <mergeCell ref="G210:G211"/>
    <mergeCell ref="E206:E207"/>
    <mergeCell ref="I223:I225"/>
    <mergeCell ref="I274:I275"/>
    <mergeCell ref="K272:L275"/>
    <mergeCell ref="K583:L583"/>
    <mergeCell ref="E276:I276"/>
    <mergeCell ref="J676:J679"/>
    <mergeCell ref="J681:J684"/>
    <mergeCell ref="J686:J689"/>
    <mergeCell ref="K607:L610"/>
    <mergeCell ref="F274:F275"/>
    <mergeCell ref="I369:I372"/>
    <mergeCell ref="F516:F524"/>
    <mergeCell ref="K516:L524"/>
    <mergeCell ref="K525:L525"/>
    <mergeCell ref="K526:L526"/>
    <mergeCell ref="J563:J565"/>
    <mergeCell ref="H569:H571"/>
    <mergeCell ref="I569:I571"/>
    <mergeCell ref="J569:J571"/>
    <mergeCell ref="K560:L561"/>
    <mergeCell ref="K530:L534"/>
    <mergeCell ref="K535:L535"/>
    <mergeCell ref="I530:I534"/>
    <mergeCell ref="E506:L506"/>
    <mergeCell ref="I514:I515"/>
    <mergeCell ref="J514:J515"/>
    <mergeCell ref="H514:H515"/>
    <mergeCell ref="K513:L513"/>
    <mergeCell ref="E501:E503"/>
    <mergeCell ref="F501:F503"/>
    <mergeCell ref="G501:G503"/>
    <mergeCell ref="H501:H503"/>
    <mergeCell ref="I501:I503"/>
    <mergeCell ref="E147:E148"/>
    <mergeCell ref="F147:F148"/>
    <mergeCell ref="F188:F189"/>
    <mergeCell ref="G188:G189"/>
    <mergeCell ref="F149:F150"/>
    <mergeCell ref="F203:F204"/>
    <mergeCell ref="K214:L214"/>
    <mergeCell ref="H180:H181"/>
    <mergeCell ref="I180:I181"/>
    <mergeCell ref="K205:L205"/>
    <mergeCell ref="G212:G213"/>
    <mergeCell ref="E220:E221"/>
    <mergeCell ref="H691:H692"/>
    <mergeCell ref="I691:I692"/>
    <mergeCell ref="J691:J692"/>
    <mergeCell ref="K567:L567"/>
    <mergeCell ref="K568:L568"/>
    <mergeCell ref="K569:L571"/>
    <mergeCell ref="K239:L239"/>
    <mergeCell ref="E294:E295"/>
    <mergeCell ref="G294:G295"/>
    <mergeCell ref="K294:L295"/>
    <mergeCell ref="H294:H295"/>
    <mergeCell ref="G272:G273"/>
    <mergeCell ref="H272:H273"/>
    <mergeCell ref="I272:I273"/>
    <mergeCell ref="G285:G287"/>
    <mergeCell ref="K347:L347"/>
    <mergeCell ref="K349:L349"/>
    <mergeCell ref="K338:L338"/>
    <mergeCell ref="I600:I605"/>
    <mergeCell ref="J600:J605"/>
    <mergeCell ref="I285:I287"/>
    <mergeCell ref="K389:L389"/>
    <mergeCell ref="K391:L395"/>
    <mergeCell ref="H499:H500"/>
    <mergeCell ref="I499:I500"/>
    <mergeCell ref="K504:L504"/>
    <mergeCell ref="J383:J385"/>
    <mergeCell ref="K359:L359"/>
    <mergeCell ref="K360:L360"/>
    <mergeCell ref="H369:H372"/>
    <mergeCell ref="K380:L380"/>
    <mergeCell ref="K362:L365"/>
    <mergeCell ref="K144:L144"/>
    <mergeCell ref="K90:L90"/>
    <mergeCell ref="H111:H112"/>
    <mergeCell ref="K100:L100"/>
    <mergeCell ref="K101:L101"/>
    <mergeCell ref="K102:L102"/>
    <mergeCell ref="K118:L118"/>
    <mergeCell ref="K251:L253"/>
    <mergeCell ref="K254:L254"/>
    <mergeCell ref="K255:L257"/>
    <mergeCell ref="E258:L258"/>
    <mergeCell ref="K259:L259"/>
    <mergeCell ref="J252:J253"/>
    <mergeCell ref="J256:J257"/>
    <mergeCell ref="H251:H253"/>
    <mergeCell ref="I109:I110"/>
    <mergeCell ref="K109:L110"/>
    <mergeCell ref="E125:E126"/>
    <mergeCell ref="E203:E204"/>
    <mergeCell ref="G145:G146"/>
    <mergeCell ref="I404:I407"/>
    <mergeCell ref="K267:L270"/>
    <mergeCell ref="K232:L232"/>
    <mergeCell ref="E233:E234"/>
    <mergeCell ref="F233:F234"/>
    <mergeCell ref="K233:L234"/>
    <mergeCell ref="I418:I422"/>
    <mergeCell ref="J406:J407"/>
    <mergeCell ref="J411:J413"/>
    <mergeCell ref="K353:L353"/>
    <mergeCell ref="K408:L408"/>
    <mergeCell ref="K354:L354"/>
    <mergeCell ref="K355:L355"/>
    <mergeCell ref="H374:H375"/>
    <mergeCell ref="K335:L335"/>
    <mergeCell ref="K323:L323"/>
    <mergeCell ref="K318:L318"/>
    <mergeCell ref="H301:I301"/>
    <mergeCell ref="H292:I293"/>
    <mergeCell ref="E284:L284"/>
    <mergeCell ref="E288:L288"/>
    <mergeCell ref="K341:L341"/>
    <mergeCell ref="K342:L342"/>
    <mergeCell ref="H297:I298"/>
    <mergeCell ref="E304:F304"/>
    <mergeCell ref="K344:L344"/>
    <mergeCell ref="E324:E325"/>
    <mergeCell ref="K332:L334"/>
    <mergeCell ref="I324:I325"/>
    <mergeCell ref="K339:L339"/>
    <mergeCell ref="I294:I295"/>
    <mergeCell ref="F294:F295"/>
    <mergeCell ref="K387:L387"/>
    <mergeCell ref="K331:L331"/>
    <mergeCell ref="K135:L135"/>
    <mergeCell ref="K326:L326"/>
    <mergeCell ref="K537:L537"/>
    <mergeCell ref="K625:L625"/>
    <mergeCell ref="K764:L764"/>
    <mergeCell ref="K823:L823"/>
    <mergeCell ref="H391:I395"/>
    <mergeCell ref="E387:E388"/>
    <mergeCell ref="H387:I388"/>
    <mergeCell ref="E389:E390"/>
    <mergeCell ref="F389:F390"/>
    <mergeCell ref="G389:G390"/>
    <mergeCell ref="E393:E395"/>
    <mergeCell ref="F393:F395"/>
    <mergeCell ref="G393:G395"/>
    <mergeCell ref="H360:I360"/>
    <mergeCell ref="J370:J372"/>
    <mergeCell ref="H359:I359"/>
    <mergeCell ref="K381:L385"/>
    <mergeCell ref="K386:L386"/>
    <mergeCell ref="E272:E273"/>
    <mergeCell ref="I212:I213"/>
    <mergeCell ref="K212:L213"/>
    <mergeCell ref="K189:L189"/>
    <mergeCell ref="K430:L430"/>
    <mergeCell ref="K431:L435"/>
    <mergeCell ref="K436:L436"/>
    <mergeCell ref="K403:L403"/>
    <mergeCell ref="K404:L407"/>
    <mergeCell ref="H404:H407"/>
    <mergeCell ref="K536:L536"/>
    <mergeCell ref="H862:J867"/>
    <mergeCell ref="E862:F862"/>
    <mergeCell ref="E863:F863"/>
    <mergeCell ref="E864:F864"/>
    <mergeCell ref="E865:F865"/>
    <mergeCell ref="E866:F866"/>
    <mergeCell ref="E867:F867"/>
    <mergeCell ref="E868:F868"/>
    <mergeCell ref="E869:F869"/>
    <mergeCell ref="E870:F870"/>
    <mergeCell ref="E871:F871"/>
    <mergeCell ref="E837:K837"/>
    <mergeCell ref="G838:H838"/>
    <mergeCell ref="E361:E365"/>
    <mergeCell ref="K369:L372"/>
    <mergeCell ref="I374:I375"/>
    <mergeCell ref="E366:L366"/>
    <mergeCell ref="K367:L367"/>
    <mergeCell ref="H409:H413"/>
    <mergeCell ref="I409:I413"/>
    <mergeCell ref="H418:H422"/>
    <mergeCell ref="I574:I576"/>
    <mergeCell ref="J574:J576"/>
    <mergeCell ref="K562:L562"/>
    <mergeCell ref="K563:L565"/>
    <mergeCell ref="K566:L566"/>
    <mergeCell ref="K548:L548"/>
    <mergeCell ref="K549:L549"/>
    <mergeCell ref="K550:L550"/>
    <mergeCell ref="K551:L552"/>
    <mergeCell ref="K553:L553"/>
  </mergeCells>
  <conditionalFormatting sqref="G140">
    <cfRule type="expression" dxfId="1060" priority="1324" stopIfTrue="1">
      <formula>OR(AND($G$140&gt;0,SUM($G$139,$G$141:$G$142)&gt;0), AND(square_footage&gt;1500, $G$140=12))</formula>
    </cfRule>
  </conditionalFormatting>
  <conditionalFormatting sqref="G141">
    <cfRule type="expression" dxfId="1059" priority="1323" stopIfTrue="1">
      <formula>OR(AND($G$141&gt;0,SUM($G$139:$G$140,$G$142)&gt;0), AND(square_footage&gt;2000, $G$141=9))</formula>
    </cfRule>
  </conditionalFormatting>
  <conditionalFormatting sqref="G142">
    <cfRule type="expression" dxfId="1058" priority="1322" stopIfTrue="1">
      <formula>OR(AND($G$142&gt;0,SUM($G$139:$G$141)&gt;0), AND(square_footage&gt;2500, $G$142=6))</formula>
    </cfRule>
  </conditionalFormatting>
  <conditionalFormatting sqref="J362 G362">
    <cfRule type="expression" dxfId="1057" priority="1315" stopIfTrue="1">
      <formula>AND($G$362=30, OR(energypath="Alternative Bronze", energypath="Prescriptive Path"))</formula>
    </cfRule>
  </conditionalFormatting>
  <conditionalFormatting sqref="G662 J662">
    <cfRule type="expression" dxfId="1056" priority="1312" stopIfTrue="1">
      <formula>AND($G$662=10,SUM($G$657:$G$661)&gt;0)</formula>
    </cfRule>
  </conditionalFormatting>
  <conditionalFormatting sqref="G657:G658">
    <cfRule type="expression" dxfId="1055" priority="1309">
      <formula>OR(AND($G$657="Met",$G$659="No attached garage"),AND($G$657="No attached garage",$G$659="Met"))</formula>
    </cfRule>
    <cfRule type="expression" dxfId="1054" priority="1310" stopIfTrue="1">
      <formula>OR(AND($G$662=10,$G$657="Met"),AND($G$657="No attached garage",$G$661=4))</formula>
    </cfRule>
    <cfRule type="expression" dxfId="1053" priority="1311">
      <formula>OR(choice901.3_1_a="",choice901.3_1_a="Not Met")</formula>
    </cfRule>
  </conditionalFormatting>
  <conditionalFormatting sqref="G659:G660">
    <cfRule type="expression" dxfId="1052" priority="1306">
      <formula>OR(AND($G$657="Met",$G$659="No attached garage"),AND($G$657="No attached garage",$G$659="Met"))</formula>
    </cfRule>
    <cfRule type="expression" dxfId="1051" priority="1307" stopIfTrue="1">
      <formula>OR(AND($G$659="Met",$G$662=10),AND($G$659="No attached garage",$G$661=4))</formula>
    </cfRule>
    <cfRule type="expression" dxfId="1050" priority="1308" stopIfTrue="1">
      <formula>OR(choice901.3_1_b="",choice901.3_1_b="Not Met")</formula>
    </cfRule>
  </conditionalFormatting>
  <conditionalFormatting sqref="G661 J661">
    <cfRule type="expression" dxfId="1049" priority="1305" stopIfTrue="1">
      <formula>AND($G$661&gt;0,$G$662&gt;0)</formula>
    </cfRule>
  </conditionalFormatting>
  <conditionalFormatting sqref="G734 J734">
    <cfRule type="expression" dxfId="1048" priority="1304" stopIfTrue="1">
      <formula>AND($G$734&gt;0,SUM($G$735:$G$737)&gt;0)</formula>
    </cfRule>
  </conditionalFormatting>
  <conditionalFormatting sqref="G735">
    <cfRule type="expression" dxfId="1047" priority="1303" stopIfTrue="1">
      <formula>AND($G$735&gt;0,SUM($G$734,$G$736:$G$737)&gt;0)</formula>
    </cfRule>
  </conditionalFormatting>
  <conditionalFormatting sqref="G736">
    <cfRule type="expression" dxfId="1046" priority="1302" stopIfTrue="1">
      <formula>AND($G$736&gt;0,SUM($G$734:$G$735,$G$737)&gt;0)</formula>
    </cfRule>
  </conditionalFormatting>
  <conditionalFormatting sqref="G737">
    <cfRule type="expression" dxfId="1045" priority="1301" stopIfTrue="1">
      <formula>AND($G$737&gt;0,SUM($G$734:$G$736)&gt;0)</formula>
    </cfRule>
  </conditionalFormatting>
  <conditionalFormatting sqref="G742">
    <cfRule type="expression" dxfId="1044" priority="1300" stopIfTrue="1">
      <formula>OR(AND($G$742&gt;0,OR($G$741=" ",$G$741="Not Zone 1")),AND($G$742&gt;0,OR($G$743&gt;0,$G$745&gt;0)))</formula>
    </cfRule>
  </conditionalFormatting>
  <conditionalFormatting sqref="G743">
    <cfRule type="expression" dxfId="1043" priority="1299" stopIfTrue="1">
      <formula>OR(AND($G$743&gt;0,$G$741&lt;&gt;"Met"),AND($G$743&gt;0,OR($G$742&gt;0,$G$745&gt;0)))</formula>
    </cfRule>
  </conditionalFormatting>
  <conditionalFormatting sqref="G747:G748 J747:J748">
    <cfRule type="expression" dxfId="1042" priority="1298" stopIfTrue="1">
      <formula>AND($G$747&gt;0,$G$748&gt;0)</formula>
    </cfRule>
  </conditionalFormatting>
  <conditionalFormatting sqref="AO1">
    <cfRule type="expression" dxfId="1041" priority="1297" stopIfTrue="1">
      <formula>OR(finalLevelReached="Emerald", finalLevelReached="Gold", finalLevelReached="Silver", finalLevelReached="Bronze")</formula>
    </cfRule>
  </conditionalFormatting>
  <conditionalFormatting sqref="K724">
    <cfRule type="expression" dxfId="1040" priority="1296" stopIfTrue="1">
      <formula>$G$724&gt;0</formula>
    </cfRule>
  </conditionalFormatting>
  <conditionalFormatting sqref="K362">
    <cfRule type="expression" dxfId="1039" priority="1295" stopIfTrue="1">
      <formula>$G$362&gt;0</formula>
    </cfRule>
  </conditionalFormatting>
  <conditionalFormatting sqref="G240">
    <cfRule type="expression" dxfId="1038" priority="1294" stopIfTrue="1">
      <formula>OR($G$240=0, $G$240="Not Met")</formula>
    </cfRule>
  </conditionalFormatting>
  <conditionalFormatting sqref="G340">
    <cfRule type="expression" dxfId="1037" priority="1292" stopIfTrue="1">
      <formula>OR($G$340="Not Met", $G$340=0)</formula>
    </cfRule>
  </conditionalFormatting>
  <conditionalFormatting sqref="G341">
    <cfRule type="expression" dxfId="1036" priority="1291" stopIfTrue="1">
      <formula>OR($G$341="Not Met", $G$341=0)</formula>
    </cfRule>
  </conditionalFormatting>
  <conditionalFormatting sqref="G721">
    <cfRule type="expression" dxfId="1035" priority="1287" stopIfTrue="1">
      <formula>OR(claim902.1.1_2="", $G$721="Not Met")</formula>
    </cfRule>
  </conditionalFormatting>
  <conditionalFormatting sqref="G741">
    <cfRule type="expression" dxfId="1034" priority="1286" stopIfTrue="1">
      <formula>OR($G$741="Not Met", $G$741=0)</formula>
    </cfRule>
  </conditionalFormatting>
  <conditionalFormatting sqref="G753:G754 J753:J754">
    <cfRule type="expression" dxfId="1033" priority="1285" stopIfTrue="1">
      <formula>OR($G$753="Met", $G$753="N/A")</formula>
    </cfRule>
  </conditionalFormatting>
  <conditionalFormatting sqref="G655 J655">
    <cfRule type="expression" dxfId="1032" priority="1284" stopIfTrue="1">
      <formula>AND($G$655=7, SUM($G$646,$G$648,$G$650,$G$652,$G$654)&gt;0)</formula>
    </cfRule>
  </conditionalFormatting>
  <conditionalFormatting sqref="G745 J745">
    <cfRule type="expression" dxfId="1031" priority="1283" stopIfTrue="1">
      <formula>OR(AND($G$745&gt;0,$G$741="Met"),AND($G$745&gt;0, OR($G$742&gt;0, $G$743&gt;0)))</formula>
    </cfRule>
  </conditionalFormatting>
  <conditionalFormatting sqref="G768">
    <cfRule type="expression" dxfId="1030" priority="1280" stopIfTrue="1">
      <formula>AND($G$768&lt;&gt;"Met",$G$768&lt;&gt;"NA")</formula>
    </cfRule>
    <cfRule type="expression" dxfId="1029" priority="1281" stopIfTrue="1">
      <formula>AND($G$768="Met", startSingleorMulti&lt;&gt;"Single-Family")</formula>
    </cfRule>
    <cfRule type="expression" dxfId="1028" priority="1282" stopIfTrue="1">
      <formula>OR($G$768="Met", $G$768="N/A")</formula>
    </cfRule>
  </conditionalFormatting>
  <conditionalFormatting sqref="G769">
    <cfRule type="expression" dxfId="1027" priority="1277">
      <formula>AND($G$769&lt;&gt;"Met",$G$769&lt;&gt;"NA")</formula>
    </cfRule>
    <cfRule type="expression" dxfId="1026" priority="1278" stopIfTrue="1">
      <formula>AND($G$769="Met", startSingleorMulti&lt;&gt;"Single-Family")</formula>
    </cfRule>
    <cfRule type="expression" dxfId="1025" priority="1279" stopIfTrue="1">
      <formula>OR($G$769="Met", $G$769="N/A")</formula>
    </cfRule>
  </conditionalFormatting>
  <conditionalFormatting sqref="G770">
    <cfRule type="expression" dxfId="1024" priority="1274">
      <formula>AND($G$770&lt;&gt;"Met",$G$770&lt;&gt;"NA")</formula>
    </cfRule>
    <cfRule type="expression" dxfId="1023" priority="1275" stopIfTrue="1">
      <formula>AND($G$768="Met", startSingleorMulti&lt;&gt;"Single-Family")</formula>
    </cfRule>
    <cfRule type="expression" dxfId="1022" priority="1276" stopIfTrue="1">
      <formula>OR($G$770="Met", $G$770="N/A")</formula>
    </cfRule>
  </conditionalFormatting>
  <conditionalFormatting sqref="G794 J794">
    <cfRule type="expression" dxfId="1021" priority="1272" stopIfTrue="1">
      <formula>AND($G$794="Met", startSingleorMulti&lt;&gt;"Multi-Unit")</formula>
    </cfRule>
    <cfRule type="expression" dxfId="1020" priority="1273" stopIfTrue="1">
      <formula>OR($G$794="Met", $G$794="N/A")</formula>
    </cfRule>
  </conditionalFormatting>
  <conditionalFormatting sqref="G795 J795">
    <cfRule type="expression" dxfId="1019" priority="1270" stopIfTrue="1">
      <formula>AND($G$795="Met", startSingleorMulti&lt;&gt;"Multi-Unit")</formula>
    </cfRule>
    <cfRule type="expression" dxfId="1018" priority="1271" stopIfTrue="1">
      <formula>OR($G$795="Met", $G$795="N/A")</formula>
    </cfRule>
  </conditionalFormatting>
  <conditionalFormatting sqref="G796 J796">
    <cfRule type="expression" dxfId="1017" priority="1268" stopIfTrue="1">
      <formula>AND($G$796="Met", startSingleorMulti&lt;&gt;"Multi-Unit")</formula>
    </cfRule>
    <cfRule type="expression" dxfId="1016" priority="1269" stopIfTrue="1">
      <formula>OR($G$796="Met", $G$796="N/A")</formula>
    </cfRule>
  </conditionalFormatting>
  <conditionalFormatting sqref="G814">
    <cfRule type="expression" dxfId="1015" priority="1266" stopIfTrue="1">
      <formula>AND($G$814="Met",startSingleorMulti&lt;&gt;"Multi-Unit")</formula>
    </cfRule>
    <cfRule type="expression" dxfId="1014" priority="1267" stopIfTrue="1">
      <formula>OR($G$814="Met", $G$814="N/A")</formula>
    </cfRule>
  </conditionalFormatting>
  <conditionalFormatting sqref="G803">
    <cfRule type="expression" dxfId="1013" priority="1264" stopIfTrue="1">
      <formula>AND($G$803="Met", startSingleorMulti&lt;&gt;"Multi-Unit")</formula>
    </cfRule>
    <cfRule type="expression" dxfId="1012" priority="1265" stopIfTrue="1">
      <formula>OR($G$803="Met", $G$803="N/A")</formula>
    </cfRule>
  </conditionalFormatting>
  <conditionalFormatting sqref="G804">
    <cfRule type="expression" dxfId="1011" priority="1262" stopIfTrue="1">
      <formula>AND($G$804="Met", startSingleorMulti&lt;&gt;"Multi-Unit")</formula>
    </cfRule>
    <cfRule type="expression" dxfId="1010" priority="1263" stopIfTrue="1">
      <formula>OR($G$804="Met", $G$804="N/A")</formula>
    </cfRule>
  </conditionalFormatting>
  <conditionalFormatting sqref="G805">
    <cfRule type="expression" dxfId="1009" priority="1260" stopIfTrue="1">
      <formula>AND($G$805="Met", startSingleorMulti&lt;&gt;"Multi-Unit")</formula>
    </cfRule>
    <cfRule type="expression" dxfId="1008" priority="1261" stopIfTrue="1">
      <formula>OR($G$805="Met", $G$805="N/A")</formula>
    </cfRule>
  </conditionalFormatting>
  <conditionalFormatting sqref="G572:H572 J572">
    <cfRule type="expression" dxfId="1007" priority="1259" stopIfTrue="1">
      <formula>AND($G$572&lt;&gt;0,$G$569="",$G$570="",$G$571="")</formula>
    </cfRule>
  </conditionalFormatting>
  <conditionalFormatting sqref="G738 J738">
    <cfRule type="expression" dxfId="1006" priority="1258" stopIfTrue="1">
      <formula>AND($G$738&gt;0, SUM($G$734:$G$737)=0)</formula>
    </cfRule>
  </conditionalFormatting>
  <conditionalFormatting sqref="E8">
    <cfRule type="expression" dxfId="1005" priority="1257" stopIfTrue="1">
      <formula>$E$8&lt;&gt;" "</formula>
    </cfRule>
  </conditionalFormatting>
  <conditionalFormatting sqref="G397 J397">
    <cfRule type="expression" dxfId="1004" priority="1256" stopIfTrue="1">
      <formula>AND($G$397&gt;0, OR(energypath="Alternative Bronze", energypath="Performance Path"))</formula>
    </cfRule>
  </conditionalFormatting>
  <conditionalFormatting sqref="G376:G378 J376:J378 H376:I376">
    <cfRule type="expression" dxfId="1003" priority="1255" stopIfTrue="1">
      <formula>AND($G$378&gt;0, OR(energypath="Alternative Bronze", energypath="Performance Path"))</formula>
    </cfRule>
  </conditionalFormatting>
  <conditionalFormatting sqref="G437:G438 H437">
    <cfRule type="expression" dxfId="1002" priority="1251" stopIfTrue="1">
      <formula>AND($G$437&gt;0, OR(energypath="Alternative Bronze", energypath="Performance Path"))</formula>
    </cfRule>
  </conditionalFormatting>
  <conditionalFormatting sqref="G444 J444">
    <cfRule type="expression" dxfId="1001" priority="1248" stopIfTrue="1">
      <formula>AND($G$444=1,startHVAC1&lt;&gt;"Boiler",startHVAC2&lt;&gt;"Boiler",startHVAC3&lt;&gt;"Boiler")</formula>
    </cfRule>
    <cfRule type="expression" dxfId="1000" priority="1249" stopIfTrue="1">
      <formula>AND($G$444&gt;0, OR(energypath="Alternative Bronze", energypath="Performance Path"))</formula>
    </cfRule>
  </conditionalFormatting>
  <conditionalFormatting sqref="G456:G457 H456">
    <cfRule type="expression" dxfId="999" priority="1247" stopIfTrue="1">
      <formula>AND($G$456&gt;0, OR(energypath="Alternative Bronze", energypath="Performance Path"))</formula>
    </cfRule>
  </conditionalFormatting>
  <conditionalFormatting sqref="G463:H463 J463">
    <cfRule type="expression" dxfId="998" priority="1246" stopIfTrue="1">
      <formula>AND($G$463&gt;0, OR(energypath="Alternative Bronze", energypath="Performance Path"))</formula>
    </cfRule>
  </conditionalFormatting>
  <conditionalFormatting sqref="G465:H465 J465">
    <cfRule type="expression" dxfId="997" priority="1245" stopIfTrue="1">
      <formula>AND($G$466&gt;0, OR(energypath="Alternative Bronze", energypath="Performance Path"))</formula>
    </cfRule>
  </conditionalFormatting>
  <conditionalFormatting sqref="G467 J467">
    <cfRule type="expression" dxfId="996" priority="1243">
      <formula>AND($G$467&lt;&gt;0,$G$467&lt;&gt;$F$467)</formula>
    </cfRule>
    <cfRule type="expression" dxfId="995" priority="1244" stopIfTrue="1">
      <formula>AND($G$467&gt;0, OR(energypath="Alternative Bronze", energypath="Performance Path"))</formula>
    </cfRule>
  </conditionalFormatting>
  <conditionalFormatting sqref="G468:H468 J468">
    <cfRule type="expression" dxfId="994" priority="1242" stopIfTrue="1">
      <formula>AND($G$468&gt;0,OR(energypath="Alternative Bronze", energypath="Performance Path"))</formula>
    </cfRule>
  </conditionalFormatting>
  <conditionalFormatting sqref="G714 J714">
    <cfRule type="expression" dxfId="993" priority="1241" stopIfTrue="1">
      <formula>AND($G$714=1, OR(startMultiUnits&lt;2, startSingleorMulti&lt;&gt;"Multi-Unit"))</formula>
    </cfRule>
  </conditionalFormatting>
  <conditionalFormatting sqref="G797 J797">
    <cfRule type="expression" dxfId="992" priority="1240" stopIfTrue="1">
      <formula>AND($G$797="Met", startSingleorMulti&lt;&gt;"Multi-Unit")</formula>
    </cfRule>
  </conditionalFormatting>
  <conditionalFormatting sqref="G767:H767 J767">
    <cfRule type="expression" dxfId="991" priority="1239" stopIfTrue="1">
      <formula>AND($G$767&gt;0, startSingleorMulti&lt;&gt;"Single-Family")</formula>
    </cfRule>
  </conditionalFormatting>
  <conditionalFormatting sqref="G771 J771">
    <cfRule type="expression" dxfId="990" priority="1238" stopIfTrue="1">
      <formula>AND($G$771="Met", startSingleorMulti&lt;&gt;"Single-Family")</formula>
    </cfRule>
  </conditionalFormatting>
  <conditionalFormatting sqref="G772 J772">
    <cfRule type="expression" dxfId="989" priority="1237" stopIfTrue="1">
      <formula>AND($G$772="Met", startSingleorMulti&lt;&gt;"Single-Family")</formula>
    </cfRule>
  </conditionalFormatting>
  <conditionalFormatting sqref="G773 J773">
    <cfRule type="expression" dxfId="988" priority="1236" stopIfTrue="1">
      <formula>AND($G$773="Met", startSingleorMulti&lt;&gt;"Single-Family")</formula>
    </cfRule>
  </conditionalFormatting>
  <conditionalFormatting sqref="G774 J774">
    <cfRule type="expression" dxfId="987" priority="1235" stopIfTrue="1">
      <formula>AND($G$774="Met", startSingleorMulti&lt;&gt;"Single-Family")</formula>
    </cfRule>
  </conditionalFormatting>
  <conditionalFormatting sqref="G775 J775">
    <cfRule type="expression" dxfId="986" priority="1234" stopIfTrue="1">
      <formula>AND($G$775="Met", startSingleorMulti&lt;&gt;"Single-Family")</formula>
    </cfRule>
  </conditionalFormatting>
  <conditionalFormatting sqref="G776 J776">
    <cfRule type="expression" dxfId="985" priority="1233" stopIfTrue="1">
      <formula>AND($G$776="Met", startSingleorMulti&lt;&gt;"Single-Family")</formula>
    </cfRule>
  </conditionalFormatting>
  <conditionalFormatting sqref="G777 J777">
    <cfRule type="expression" dxfId="984" priority="1232" stopIfTrue="1">
      <formula>AND($G$777="Met", startSingleorMulti&lt;&gt;"Single-Family")</formula>
    </cfRule>
  </conditionalFormatting>
  <conditionalFormatting sqref="G778 J778">
    <cfRule type="expression" dxfId="983" priority="1231" stopIfTrue="1">
      <formula>AND($G$778="Met", startSingleorMulti&lt;&gt;"Single-Family")</formula>
    </cfRule>
  </conditionalFormatting>
  <conditionalFormatting sqref="G779 J779">
    <cfRule type="expression" dxfId="982" priority="1230" stopIfTrue="1">
      <formula>AND($G$779="Met", startSingleorMulti&lt;&gt;"Single-Family")</formula>
    </cfRule>
  </conditionalFormatting>
  <conditionalFormatting sqref="G780 J780">
    <cfRule type="expression" dxfId="981" priority="1229" stopIfTrue="1">
      <formula>AND($G$780="Met", startSingleorMulti&lt;&gt;"Single-Family")</formula>
    </cfRule>
  </conditionalFormatting>
  <conditionalFormatting sqref="G781 J781">
    <cfRule type="expression" dxfId="980" priority="1228" stopIfTrue="1">
      <formula>AND($G$781="Met", startSingleorMulti&lt;&gt;"Single-Family")</formula>
    </cfRule>
  </conditionalFormatting>
  <conditionalFormatting sqref="G782 J782">
    <cfRule type="expression" dxfId="979" priority="1227" stopIfTrue="1">
      <formula>AND($G$782="Met", startSingleorMulti&lt;&gt;"Single-Family")</formula>
    </cfRule>
  </conditionalFormatting>
  <conditionalFormatting sqref="G783 J783">
    <cfRule type="expression" dxfId="978" priority="1226" stopIfTrue="1">
      <formula>AND($G$783="Met", startSingleorMulti&lt;&gt;"Single-Family")</formula>
    </cfRule>
  </conditionalFormatting>
  <conditionalFormatting sqref="G784 J784">
    <cfRule type="expression" dxfId="977" priority="1225" stopIfTrue="1">
      <formula>AND($G$784="Met", startSingleorMulti&lt;&gt;"Single-Family")</formula>
    </cfRule>
  </conditionalFormatting>
  <conditionalFormatting sqref="G785 J785">
    <cfRule type="expression" dxfId="976" priority="1224" stopIfTrue="1">
      <formula>AND($G$785="Met", startSingleorMulti&lt;&gt;"Single-Family")</formula>
    </cfRule>
  </conditionalFormatting>
  <conditionalFormatting sqref="G786 J786">
    <cfRule type="expression" dxfId="975" priority="1223" stopIfTrue="1">
      <formula>AND($G$786="Met", startSingleorMulti&lt;&gt;"Single-Family")</formula>
    </cfRule>
  </conditionalFormatting>
  <conditionalFormatting sqref="G787:G788 J787:J788">
    <cfRule type="expression" dxfId="974" priority="1222" stopIfTrue="1">
      <formula>AND($G$787="Met", startSingleorMulti&lt;&gt;"Single-Family")</formula>
    </cfRule>
  </conditionalFormatting>
  <conditionalFormatting sqref="G793 J793">
    <cfRule type="expression" dxfId="973" priority="1221" stopIfTrue="1">
      <formula>AND($G$793&gt;0, startSingleorMulti&lt;&gt;"Multi-Unit")</formula>
    </cfRule>
  </conditionalFormatting>
  <conditionalFormatting sqref="G798 J798">
    <cfRule type="expression" dxfId="972" priority="1220" stopIfTrue="1">
      <formula>AND($G$798="Met", startSingleorMulti&lt;&gt;"Multi-Unit")</formula>
    </cfRule>
  </conditionalFormatting>
  <conditionalFormatting sqref="G799 J799">
    <cfRule type="expression" dxfId="971" priority="1219" stopIfTrue="1">
      <formula>AND($G$799="Met", startSingleorMulti&lt;&gt;"Multi-Unit")</formula>
    </cfRule>
  </conditionalFormatting>
  <conditionalFormatting sqref="G800 J800">
    <cfRule type="expression" dxfId="970" priority="1218" stopIfTrue="1">
      <formula>AND($G$800="Met", startSingleorMulti&lt;&gt;"Multi-Unit")</formula>
    </cfRule>
  </conditionalFormatting>
  <conditionalFormatting sqref="G801 J801">
    <cfRule type="expression" dxfId="969" priority="1217" stopIfTrue="1">
      <formula>AND($G$801="Met", startSingleorMulti&lt;&gt;"Multi-Unit")</formula>
    </cfRule>
  </conditionalFormatting>
  <conditionalFormatting sqref="G802 J802">
    <cfRule type="expression" dxfId="968" priority="1216" stopIfTrue="1">
      <formula>AND($G$802&gt;0, startSingleorMulti&lt;&gt;"Multi-Unit")</formula>
    </cfRule>
  </conditionalFormatting>
  <conditionalFormatting sqref="G806 J806">
    <cfRule type="expression" dxfId="967" priority="1215" stopIfTrue="1">
      <formula>AND($G$806="Met", startSingleorMulti&lt;&gt;"Multi-Unit")</formula>
    </cfRule>
  </conditionalFormatting>
  <conditionalFormatting sqref="G807 J807">
    <cfRule type="expression" dxfId="966" priority="1214" stopIfTrue="1">
      <formula>AND($G$807="Met", startSingleorMulti&lt;&gt;"Multi-Unit")</formula>
    </cfRule>
  </conditionalFormatting>
  <conditionalFormatting sqref="G808 J808">
    <cfRule type="expression" dxfId="965" priority="1213" stopIfTrue="1">
      <formula>AND($G$808="Met", startSingleorMulti&lt;&gt;"Multi-Unit")</formula>
    </cfRule>
  </conditionalFormatting>
  <conditionalFormatting sqref="G809 J809">
    <cfRule type="expression" dxfId="964" priority="1212" stopIfTrue="1">
      <formula>AND($G$809="Met", startSingleorMulti&lt;&gt;"Multi-Unit")</formula>
    </cfRule>
  </conditionalFormatting>
  <conditionalFormatting sqref="G810 J810">
    <cfRule type="expression" dxfId="963" priority="1211" stopIfTrue="1">
      <formula>AND($G$810="Met", startSingleorMulti&lt;&gt;"Multi-Unit")</formula>
    </cfRule>
  </conditionalFormatting>
  <conditionalFormatting sqref="G811 J811">
    <cfRule type="expression" dxfId="962" priority="1210" stopIfTrue="1">
      <formula>AND($G$811="Met", startSingleorMulti&lt;&gt;"Multi-Unit")</formula>
    </cfRule>
  </conditionalFormatting>
  <conditionalFormatting sqref="G812 J812">
    <cfRule type="expression" dxfId="961" priority="1209" stopIfTrue="1">
      <formula>AND($G$812="Met", startSingleorMulti&lt;&gt;"Multi-Unit")</formula>
    </cfRule>
  </conditionalFormatting>
  <conditionalFormatting sqref="G813 J813">
    <cfRule type="expression" dxfId="960" priority="1208" stopIfTrue="1">
      <formula>AND($G$813&gt;0, startSingleorMulti&lt;&gt;"Multi-Unit")</formula>
    </cfRule>
  </conditionalFormatting>
  <conditionalFormatting sqref="G815 J815">
    <cfRule type="expression" dxfId="959" priority="1207" stopIfTrue="1">
      <formula>AND($G$815="Met",startSingleorMulti&lt;&gt;"Multi-Unit")</formula>
    </cfRule>
  </conditionalFormatting>
  <conditionalFormatting sqref="G816 J816">
    <cfRule type="expression" dxfId="958" priority="1206" stopIfTrue="1">
      <formula>AND($G$816="Met",startSingleorMulti&lt;&gt;"Multi-Unit")</formula>
    </cfRule>
  </conditionalFormatting>
  <conditionalFormatting sqref="G817 J817">
    <cfRule type="expression" dxfId="957" priority="1205" stopIfTrue="1">
      <formula>AND($G$817="Met",startSingleorMulti&lt;&gt;"Multi-Unit")</formula>
    </cfRule>
  </conditionalFormatting>
  <conditionalFormatting sqref="G818 J818">
    <cfRule type="expression" dxfId="956" priority="1204" stopIfTrue="1">
      <formula>AND($G$818="Met",startSingleorMulti&lt;&gt;"Multi-Unit")</formula>
    </cfRule>
  </conditionalFormatting>
  <conditionalFormatting sqref="G819 J819">
    <cfRule type="expression" dxfId="955" priority="1203" stopIfTrue="1">
      <formula>AND($G$819="Met",startSingleorMulti&lt;&gt;"Multi-Unit")</formula>
    </cfRule>
  </conditionalFormatting>
  <conditionalFormatting sqref="G820 J820">
    <cfRule type="expression" dxfId="954" priority="1202" stopIfTrue="1">
      <formula>AND($G$820="Met",startSingleorMulti&lt;&gt;"Multi-Unit")</formula>
    </cfRule>
  </conditionalFormatting>
  <conditionalFormatting sqref="G821 J821">
    <cfRule type="expression" dxfId="953" priority="1201" stopIfTrue="1">
      <formula>AND($G$821="Met",startSingleorMulti&lt;&gt;"Multi-Unit")</formula>
    </cfRule>
  </conditionalFormatting>
  <conditionalFormatting sqref="G822 J822">
    <cfRule type="expression" dxfId="952" priority="1200" stopIfTrue="1">
      <formula>AND($G$822="Met",startSingleorMulti&lt;&gt;"Multi-Unit")</formula>
    </cfRule>
  </conditionalFormatting>
  <conditionalFormatting sqref="K361">
    <cfRule type="expression" dxfId="951" priority="1199" stopIfTrue="1">
      <formula>$K$361&lt;&gt;0</formula>
    </cfRule>
  </conditionalFormatting>
  <conditionalFormatting sqref="K723">
    <cfRule type="expression" dxfId="950" priority="1198" stopIfTrue="1">
      <formula>$K$723&lt;&gt;0</formula>
    </cfRule>
  </conditionalFormatting>
  <conditionalFormatting sqref="K629">
    <cfRule type="expression" dxfId="949" priority="1197" stopIfTrue="1">
      <formula>$K$629&lt;&gt;0</formula>
    </cfRule>
  </conditionalFormatting>
  <conditionalFormatting sqref="G209">
    <cfRule type="expression" dxfId="948" priority="1195">
      <formula>OR($G$209=0,$G$209="Not Met")</formula>
    </cfRule>
  </conditionalFormatting>
  <conditionalFormatting sqref="G77 J77">
    <cfRule type="expression" dxfId="947" priority="1190">
      <formula>AND($G$77&gt;0,$G$77&lt;&gt;$F$77)</formula>
    </cfRule>
  </conditionalFormatting>
  <conditionalFormatting sqref="G119:I119">
    <cfRule type="expression" dxfId="946" priority="1188">
      <formula>AND(startSingleorMulti&lt;&gt;"Multi-Unit",$G$119&lt;&gt;0)</formula>
    </cfRule>
    <cfRule type="expression" dxfId="945" priority="1189">
      <formula>startSingleorMulti&lt;&gt;"Multi-Unit"</formula>
    </cfRule>
  </conditionalFormatting>
  <conditionalFormatting sqref="G543">
    <cfRule type="expression" dxfId="944" priority="1187">
      <formula>AND($G$543=17,$G$547=9)</formula>
    </cfRule>
  </conditionalFormatting>
  <conditionalFormatting sqref="G542 J542">
    <cfRule type="expression" dxfId="943" priority="1186">
      <formula>AND($G$542=11,$G$547=9)</formula>
    </cfRule>
  </conditionalFormatting>
  <conditionalFormatting sqref="G544">
    <cfRule type="expression" dxfId="942" priority="1185">
      <formula>AND($G$544=29,$G$547=9)</formula>
    </cfRule>
  </conditionalFormatting>
  <conditionalFormatting sqref="G545">
    <cfRule type="expression" dxfId="941" priority="1184">
      <formula>AND($G$545=35,$G$547=9)</formula>
    </cfRule>
  </conditionalFormatting>
  <conditionalFormatting sqref="G546">
    <cfRule type="expression" dxfId="940" priority="1183">
      <formula>AND($G$546=39,$G$547=9)</formula>
    </cfRule>
  </conditionalFormatting>
  <conditionalFormatting sqref="G548 J548">
    <cfRule type="expression" dxfId="939" priority="1182">
      <formula>AND($G$548=4,SUM($G542:$G$547)=0)</formula>
    </cfRule>
  </conditionalFormatting>
  <conditionalFormatting sqref="G560:H560 J560">
    <cfRule type="expression" dxfId="938" priority="1181">
      <formula>AND($G$560&lt;&gt;"",AND($G$555="",$G$556="",$G$557="",$G$558=""))</formula>
    </cfRule>
  </conditionalFormatting>
  <conditionalFormatting sqref="G561">
    <cfRule type="expression" dxfId="937" priority="1180">
      <formula>AND($G$561&lt;&gt;"",AND($G$555="",$G$556="",$G$557="",$G$558=""))</formula>
    </cfRule>
  </conditionalFormatting>
  <conditionalFormatting sqref="G555:G558 H555 J555">
    <cfRule type="expression" dxfId="936" priority="1179">
      <formula>AND(OR($G$560&lt;&gt;"",$G$561&lt;&gt;""),AND($G$555="",$G$556="",$G$557="",$G$558=""))</formula>
    </cfRule>
  </conditionalFormatting>
  <conditionalFormatting sqref="G569:G571 H569 J569">
    <cfRule type="expression" dxfId="935" priority="1178">
      <formula>AND($G$572&lt;&gt;0,$G$569="",$G$570="",$G$571="")</formula>
    </cfRule>
  </conditionalFormatting>
  <conditionalFormatting sqref="G578">
    <cfRule type="expression" dxfId="934" priority="1177">
      <formula>$G$578=0</formula>
    </cfRule>
  </conditionalFormatting>
  <conditionalFormatting sqref="G589 J589">
    <cfRule type="expression" dxfId="933" priority="1175">
      <formula>AND($G$589=6,$G$583&lt;&gt;11)</formula>
    </cfRule>
  </conditionalFormatting>
  <conditionalFormatting sqref="G586">
    <cfRule type="expression" dxfId="932" priority="1172">
      <formula>AND($G$586=2,$G$583&lt;&gt;11)</formula>
    </cfRule>
  </conditionalFormatting>
  <conditionalFormatting sqref="G585 J585">
    <cfRule type="expression" dxfId="931" priority="1171">
      <formula>AND($G$585=1,$G$583&lt;&gt;11)</formula>
    </cfRule>
  </conditionalFormatting>
  <conditionalFormatting sqref="G624 J624">
    <cfRule type="expression" dxfId="930" priority="1166">
      <formula>AND($G$624=20,SUM($G$614:$G$618)&gt;0)</formula>
    </cfRule>
  </conditionalFormatting>
  <conditionalFormatting sqref="G614 J614">
    <cfRule type="expression" dxfId="929" priority="1165">
      <formula>AND($G$614=5,$G$624=20)</formula>
    </cfRule>
  </conditionalFormatting>
  <conditionalFormatting sqref="G615">
    <cfRule type="expression" dxfId="928" priority="1164">
      <formula>AND($G$615=10,$G$624=20)</formula>
    </cfRule>
  </conditionalFormatting>
  <conditionalFormatting sqref="G616">
    <cfRule type="expression" dxfId="927" priority="1163">
      <formula>AND($G$616=15,$G$624=20)</formula>
    </cfRule>
  </conditionalFormatting>
  <conditionalFormatting sqref="G617">
    <cfRule type="expression" dxfId="926" priority="1162">
      <formula>AND($G$617=20,$G$624=20)</formula>
    </cfRule>
  </conditionalFormatting>
  <conditionalFormatting sqref="G618">
    <cfRule type="expression" dxfId="925" priority="1161">
      <formula>AND($G$618=10,$G$624=20)</formula>
    </cfRule>
  </conditionalFormatting>
  <conditionalFormatting sqref="G547 J547">
    <cfRule type="expression" dxfId="924" priority="1160">
      <formula>AND($G$547=9,SUM($G$542:$G$546)&gt;0)</formula>
    </cfRule>
  </conditionalFormatting>
  <conditionalFormatting sqref="G637:G638">
    <cfRule type="expression" dxfId="923" priority="1151">
      <formula>AND($G$637="No gas fireplace or heating equipment",$G$639=7)</formula>
    </cfRule>
    <cfRule type="expression" dxfId="922" priority="1152">
      <formula>OR($G$637=0,$G$637="Not Met")</formula>
    </cfRule>
  </conditionalFormatting>
  <conditionalFormatting sqref="G639:G642 J640:J641">
    <cfRule type="expression" dxfId="921" priority="1150">
      <formula>AND($G$639=7,$G$637="No gas fireplace or heating equipment")</formula>
    </cfRule>
  </conditionalFormatting>
  <conditionalFormatting sqref="G645:G646">
    <cfRule type="expression" dxfId="920" priority="1147">
      <formula>AND($G$646=4,$G$655=7)</formula>
    </cfRule>
    <cfRule type="expression" dxfId="919" priority="1148">
      <formula>OR(choice901.2.1_1="",choice901.2.1_1="Not Met")</formula>
    </cfRule>
  </conditionalFormatting>
  <conditionalFormatting sqref="G647:G648">
    <cfRule type="expression" dxfId="918" priority="1145">
      <formula>AND($G$648=6,$G$655=7)</formula>
    </cfRule>
    <cfRule type="expression" dxfId="917" priority="1146">
      <formula>OR(choice901.2.1_2="",choice901.2.1_2="Not Met")</formula>
    </cfRule>
  </conditionalFormatting>
  <conditionalFormatting sqref="G649:G650">
    <cfRule type="expression" dxfId="916" priority="1143">
      <formula>AND($G$650=6,$G$655=7)</formula>
    </cfRule>
    <cfRule type="expression" dxfId="915" priority="1144">
      <formula>OR(choice901.2.1_3="",choice901.2.1_3="Not Met")</formula>
    </cfRule>
  </conditionalFormatting>
  <conditionalFormatting sqref="G651:G652">
    <cfRule type="expression" dxfId="914" priority="1141">
      <formula>AND($G$652=6,$G$655=7)</formula>
    </cfRule>
    <cfRule type="expression" dxfId="913" priority="1142">
      <formula>OR(choice901.2.1_4="",choice901.2.1_4="Not Met")</formula>
    </cfRule>
  </conditionalFormatting>
  <conditionalFormatting sqref="G653:G654">
    <cfRule type="expression" dxfId="912" priority="1139">
      <formula>AND($G$654=6,$G$655=7)</formula>
    </cfRule>
    <cfRule type="expression" dxfId="911" priority="1140">
      <formula>OR(choice901.2.1_5="",choice901.2.1_5="Not Met")</formula>
    </cfRule>
  </conditionalFormatting>
  <conditionalFormatting sqref="G663">
    <cfRule type="expression" dxfId="910" priority="1138" stopIfTrue="1">
      <formula>OR(claim901.4_1="",claim901.4_1="Not Met")</formula>
    </cfRule>
  </conditionalFormatting>
  <conditionalFormatting sqref="G666 J666">
    <cfRule type="expression" dxfId="909" priority="1137">
      <formula>AND($G$666=2,SUM($G$671,$G$676,$G$681,$G$686)&gt;0)</formula>
    </cfRule>
  </conditionalFormatting>
  <conditionalFormatting sqref="G671 J671">
    <cfRule type="expression" dxfId="908" priority="1136">
      <formula>AND($G$671=2,SUM($G$666,$G$676,$G$681,$G$686)&gt;0)</formula>
    </cfRule>
  </conditionalFormatting>
  <conditionalFormatting sqref="G676 J676">
    <cfRule type="expression" dxfId="907" priority="1135">
      <formula>AND($G$676=3,SUM($G$666,$G$671,$G$681,$G$686)&gt;0)</formula>
    </cfRule>
  </conditionalFormatting>
  <conditionalFormatting sqref="G681">
    <cfRule type="expression" dxfId="906" priority="1134">
      <formula>AND($G$681=4,SUM($G$666,$G$671,$G$676,$G$686)&gt;0)</formula>
    </cfRule>
  </conditionalFormatting>
  <conditionalFormatting sqref="G686 J686">
    <cfRule type="expression" dxfId="905" priority="1133">
      <formula>AND($G$686=4,SUM($G$666,$G$671,$G$676,$G$681)&gt;0)</formula>
    </cfRule>
  </conditionalFormatting>
  <conditionalFormatting sqref="G667">
    <cfRule type="expression" dxfId="904" priority="1132">
      <formula>AND($G$667=2,SUM($G$672,$G$677,$G$682,$G$687)&gt;0)</formula>
    </cfRule>
  </conditionalFormatting>
  <conditionalFormatting sqref="G672">
    <cfRule type="expression" dxfId="903" priority="1131">
      <formula>AND($G$672=2,SUM($G$667,$G$677,$G$682,$G$687)&gt;0)</formula>
    </cfRule>
  </conditionalFormatting>
  <conditionalFormatting sqref="G677">
    <cfRule type="expression" dxfId="902" priority="1130">
      <formula>AND($G$677=3,SUM($G$667,$G$672,$G$682,$G$687)&gt;0)</formula>
    </cfRule>
  </conditionalFormatting>
  <conditionalFormatting sqref="G682">
    <cfRule type="expression" dxfId="901" priority="1129">
      <formula>AND($G$682=4,SUM($G$667,$G$672,$G$677,$G$687)&gt;0)</formula>
    </cfRule>
  </conditionalFormatting>
  <conditionalFormatting sqref="G687">
    <cfRule type="expression" dxfId="900" priority="1128">
      <formula>AND($G$687=4,SUM($G$667,$G$672,$G$677,$G$682)&gt;0)</formula>
    </cfRule>
  </conditionalFormatting>
  <conditionalFormatting sqref="G668">
    <cfRule type="expression" dxfId="899" priority="1127">
      <formula>AND($G$668=2,SUM($G$673,$G$678,$G$683,$G$688)&gt;0)</formula>
    </cfRule>
  </conditionalFormatting>
  <conditionalFormatting sqref="G673">
    <cfRule type="expression" dxfId="898" priority="1126">
      <formula>AND($G$673=2,SUM($G$668,$G$678,$G$683,$G$688)&gt;0)</formula>
    </cfRule>
  </conditionalFormatting>
  <conditionalFormatting sqref="G678">
    <cfRule type="expression" dxfId="897" priority="1125">
      <formula>AND($G$678=3,SUM($G$668,$G$673,$G$683,$G$688)&gt;0)</formula>
    </cfRule>
  </conditionalFormatting>
  <conditionalFormatting sqref="G683">
    <cfRule type="expression" dxfId="896" priority="1124">
      <formula>AND($G$683=4,SUM($G$668,$G$673,$G$678,$G$688)&gt;0)</formula>
    </cfRule>
  </conditionalFormatting>
  <conditionalFormatting sqref="G688">
    <cfRule type="expression" dxfId="895" priority="1123">
      <formula>AND($G$688=4,SUM($G$668,$G$673,$G$678,$G$683)&gt;0)</formula>
    </cfRule>
  </conditionalFormatting>
  <conditionalFormatting sqref="G669">
    <cfRule type="expression" dxfId="894" priority="1122">
      <formula>AND($G$669=2,SUM($G$674,$G$679,$G$684,$G$689)&gt;0)</formula>
    </cfRule>
  </conditionalFormatting>
  <conditionalFormatting sqref="G674">
    <cfRule type="expression" dxfId="893" priority="1121">
      <formula>AND($G$674=2,SUM($G$669,$G$679,$G$684,$G$689)&gt;0)</formula>
    </cfRule>
  </conditionalFormatting>
  <conditionalFormatting sqref="G679">
    <cfRule type="expression" dxfId="892" priority="1120">
      <formula>AND($G$679=3,SUM($G$669,$G$674,$G$684,$G$689)&gt;0)</formula>
    </cfRule>
  </conditionalFormatting>
  <conditionalFormatting sqref="G684">
    <cfRule type="expression" dxfId="891" priority="1119">
      <formula>AND($G$684=4,SUM($G$669,$G$674,$G$679,$G$689)&gt;0)</formula>
    </cfRule>
  </conditionalFormatting>
  <conditionalFormatting sqref="G689">
    <cfRule type="expression" dxfId="890" priority="1118">
      <formula>AND($G$689=4,SUM($G$669,$G$674,$G$679,$G$684)&gt;0)</formula>
    </cfRule>
  </conditionalFormatting>
  <conditionalFormatting sqref="G694">
    <cfRule type="expression" dxfId="889" priority="1117">
      <formula>OR($G$694=0,$G$694="Not Met")</formula>
    </cfRule>
  </conditionalFormatting>
  <conditionalFormatting sqref="G702 J702">
    <cfRule type="expression" dxfId="888" priority="1116" stopIfTrue="1">
      <formula>AND($G$702=8,$G$700=5)</formula>
    </cfRule>
  </conditionalFormatting>
  <conditionalFormatting sqref="G700 J700">
    <cfRule type="expression" dxfId="887" priority="1115">
      <formula>AND($G$700=5,$G$702=8)</formula>
    </cfRule>
  </conditionalFormatting>
  <conditionalFormatting sqref="G610">
    <cfRule type="expression" dxfId="886" priority="1114">
      <formula>AND($G$610=25,SUM($G$602:$G$605)=0)</formula>
    </cfRule>
  </conditionalFormatting>
  <conditionalFormatting sqref="G609">
    <cfRule type="expression" dxfId="885" priority="1113">
      <formula>AND($G$609=15,SUM($G$602:$G$605)=0)</formula>
    </cfRule>
  </conditionalFormatting>
  <conditionalFormatting sqref="G608">
    <cfRule type="expression" dxfId="884" priority="1112">
      <formula>AND($G$608=10,SUM($G$602:$G$605)=0)</formula>
    </cfRule>
  </conditionalFormatting>
  <conditionalFormatting sqref="G607 J607">
    <cfRule type="expression" dxfId="883" priority="1111">
      <formula>AND($G$607=5,SUM($G$602:$G$605)=0)</formula>
    </cfRule>
  </conditionalFormatting>
  <conditionalFormatting sqref="G600 J600">
    <cfRule type="expression" dxfId="882" priority="1110">
      <formula>AND($G$600=5,SUM($G$607:$G$610)&gt;0)</formula>
    </cfRule>
  </conditionalFormatting>
  <conditionalFormatting sqref="G719">
    <cfRule type="expression" dxfId="881" priority="1107" stopIfTrue="1">
      <formula>OR($G$719=0,$G$719="Not Met")</formula>
    </cfRule>
  </conditionalFormatting>
  <conditionalFormatting sqref="G733">
    <cfRule type="expression" dxfId="880" priority="1105">
      <formula>AND(choice902.2.1="N/A - air infiltration rate greater than 5 ACH50",OR(AND(ch7blowerdoor&lt;&gt;"",ch7blowerdoor&lt;5),AND(ch7ACH50&lt;&gt;"",ch7ACH50&lt;5)))</formula>
    </cfRule>
    <cfRule type="expression" dxfId="879" priority="1106">
      <formula>OR($G$733=0,$G$733="Not Met")</formula>
    </cfRule>
  </conditionalFormatting>
  <conditionalFormatting sqref="G750">
    <cfRule type="expression" dxfId="878" priority="1104">
      <formula>OR($G$750=0,$G$750="Not Met")</formula>
    </cfRule>
  </conditionalFormatting>
  <conditionalFormatting sqref="G178:H178">
    <cfRule type="expression" dxfId="877" priority="1102">
      <formula>OR($H$178=0,$H$178="Not Met")</formula>
    </cfRule>
  </conditionalFormatting>
  <conditionalFormatting sqref="G183:H183">
    <cfRule type="expression" dxfId="876" priority="1100">
      <formula>OR($H$183=0,$H$183="Not Met")</formula>
    </cfRule>
  </conditionalFormatting>
  <conditionalFormatting sqref="G192:H192">
    <cfRule type="expression" dxfId="875" priority="1096">
      <formula>AND($H$192="",ReportType="Final")</formula>
    </cfRule>
  </conditionalFormatting>
  <conditionalFormatting sqref="G226">
    <cfRule type="expression" dxfId="874" priority="1092">
      <formula>OR($G$226=0,$G$226="Not Met")</formula>
    </cfRule>
  </conditionalFormatting>
  <conditionalFormatting sqref="G234">
    <cfRule type="expression" dxfId="873" priority="1090">
      <formula>OR($G$234=0,$G$234="Not Met")</formula>
    </cfRule>
  </conditionalFormatting>
  <conditionalFormatting sqref="G233">
    <cfRule type="expression" dxfId="872" priority="1089">
      <formula>OR($G$233=0,$G$233="Not Met")</formula>
    </cfRule>
  </conditionalFormatting>
  <conditionalFormatting sqref="H331">
    <cfRule type="expression" dxfId="871" priority="1088">
      <formula>H331=""</formula>
    </cfRule>
  </conditionalFormatting>
  <conditionalFormatting sqref="G350:G353">
    <cfRule type="expression" dxfId="870" priority="1084">
      <formula>AND($G$350=0,$G$352=0,$G$353=0)</formula>
    </cfRule>
  </conditionalFormatting>
  <conditionalFormatting sqref="G350:G351">
    <cfRule type="expression" dxfId="869" priority="1083">
      <formula>$G$350="Not Met"</formula>
    </cfRule>
  </conditionalFormatting>
  <conditionalFormatting sqref="G352">
    <cfRule type="expression" dxfId="868" priority="1081">
      <formula>AND($G$350&lt;&gt;"Met",$G$352&gt;0)</formula>
    </cfRule>
    <cfRule type="expression" dxfId="867" priority="1082">
      <formula>AND($G$350="Not Met",$G$352=0)</formula>
    </cfRule>
  </conditionalFormatting>
  <conditionalFormatting sqref="G354">
    <cfRule type="expression" dxfId="866" priority="1080">
      <formula>OR($G$354="Not Met",$G$354=0)</formula>
    </cfRule>
  </conditionalFormatting>
  <conditionalFormatting sqref="G355">
    <cfRule type="expression" dxfId="865" priority="1079">
      <formula>OR($G$355="Not Met",$G$355=0)</formula>
    </cfRule>
  </conditionalFormatting>
  <conditionalFormatting sqref="G356">
    <cfRule type="expression" dxfId="864" priority="1078">
      <formula>OR($G$356="Not Met",$G$356=0)</formula>
    </cfRule>
  </conditionalFormatting>
  <conditionalFormatting sqref="G357">
    <cfRule type="expression" dxfId="863" priority="1077">
      <formula>OR($G$357="Not Met",$G$357=0)</formula>
    </cfRule>
  </conditionalFormatting>
  <conditionalFormatting sqref="G360">
    <cfRule type="expression" dxfId="862" priority="1076">
      <formula>OR($G$360="Not Met",$G$360=0)</formula>
    </cfRule>
  </conditionalFormatting>
  <conditionalFormatting sqref="G370">
    <cfRule type="expression" dxfId="861" priority="1072" stopIfTrue="1">
      <formula>AND($G$370&gt;0,OR(energypath="Alternative Bronze",energypath="Performance Path"))</formula>
    </cfRule>
  </conditionalFormatting>
  <conditionalFormatting sqref="G371">
    <cfRule type="expression" dxfId="860" priority="1071" stopIfTrue="1">
      <formula>AND($G$371&gt;0,OR(energypath="Alternative Bronze",energypath="Performance Path"))</formula>
    </cfRule>
  </conditionalFormatting>
  <conditionalFormatting sqref="G379 J379">
    <cfRule type="expression" dxfId="859" priority="1069">
      <formula>AND($G$379&gt;0,$G$379&lt;&gt;$F$379)</formula>
    </cfRule>
    <cfRule type="expression" dxfId="858" priority="1070" stopIfTrue="1">
      <formula>AND($G$379&gt;0, OR(energypath="Alternative Bronze", energypath="Performance Path"))</formula>
    </cfRule>
  </conditionalFormatting>
  <conditionalFormatting sqref="G380:J380 G417:J417 G403:J403 G408:J408 G389:H389 J389:J394">
    <cfRule type="expression" dxfId="857" priority="1067" stopIfTrue="1">
      <formula>OR(AND(OR(czone=7,czone=8),G380&gt;0), AND(czone=6,OR(G380=4,G380=6)),AND(OR(czone=1, czone=2, czone=3),OR(G380=3,G380=5)))</formula>
    </cfRule>
    <cfRule type="expression" dxfId="856" priority="1068" stopIfTrue="1">
      <formula>AND($G$376&gt;0, OR(energypath="Alternative Bronze", energypath="Performance Path"))</formula>
    </cfRule>
  </conditionalFormatting>
  <conditionalFormatting sqref="G383 G381">
    <cfRule type="expression" dxfId="855" priority="1066" stopIfTrue="1">
      <formula>AND($G$383&gt;0, OR(energypath="Alternative Bronze", energypath="Performance Path"))</formula>
    </cfRule>
  </conditionalFormatting>
  <conditionalFormatting sqref="G385:G386 H386:J386">
    <cfRule type="expression" dxfId="854" priority="1065" stopIfTrue="1">
      <formula>AND($G$385&gt;0, OR(energypath="Alternative Bronze", energypath="Performance Path"))</formula>
    </cfRule>
  </conditionalFormatting>
  <conditionalFormatting sqref="G384">
    <cfRule type="expression" dxfId="853" priority="1063" stopIfTrue="1">
      <formula>AND($G$384&gt;0, OR(energypath="Alternative Bronze", energypath="Performance Path"))</formula>
    </cfRule>
  </conditionalFormatting>
  <conditionalFormatting sqref="G387:G388">
    <cfRule type="expression" dxfId="852" priority="1062">
      <formula>OR($G$387="Not Met",$G$387=0)</formula>
    </cfRule>
  </conditionalFormatting>
  <conditionalFormatting sqref="G393 G391:H391 J395">
    <cfRule type="expression" dxfId="851" priority="1059" stopIfTrue="1">
      <formula>AND($G$393&gt;0, OR(energypath="Alternative Bronze", energypath="Performance Path"))</formula>
    </cfRule>
  </conditionalFormatting>
  <conditionalFormatting sqref="G392">
    <cfRule type="expression" dxfId="850" priority="1058" stopIfTrue="1">
      <formula>AND($G$392&gt;0, OR(energypath="Alternative Bronze", energypath="Performance Path"))</formula>
    </cfRule>
  </conditionalFormatting>
  <conditionalFormatting sqref="G398:H398">
    <cfRule type="expression" dxfId="849" priority="1056" stopIfTrue="1">
      <formula>AND($G$398&gt;0, OR(energypath="Alternative Bronze", energypath="Performance Path"))</formula>
    </cfRule>
  </conditionalFormatting>
  <conditionalFormatting sqref="G399">
    <cfRule type="expression" dxfId="848" priority="1055" stopIfTrue="1">
      <formula>AND($G$399&gt;0, OR(energypath="Alternative Bronze", energypath="Performance Path"))</formula>
    </cfRule>
  </conditionalFormatting>
  <conditionalFormatting sqref="G405">
    <cfRule type="expression" dxfId="847" priority="1054" stopIfTrue="1">
      <formula>AND($G$405&gt;0, OR(energypath="Alternative Bronze", energypath="Performance Path"))</formula>
    </cfRule>
  </conditionalFormatting>
  <conditionalFormatting sqref="G404:H404">
    <cfRule type="expression" dxfId="846" priority="1051" stopIfTrue="1">
      <formula>AND($G$404&gt;0, OR(energypath="Alternative Bronze", energypath="Performance Path"))</formula>
    </cfRule>
  </conditionalFormatting>
  <conditionalFormatting sqref="G407">
    <cfRule type="expression" dxfId="845" priority="1050" stopIfTrue="1">
      <formula>AND($G$407&gt;0, OR(energypath="Alternative Bronze", energypath="Performance Path"))</formula>
    </cfRule>
  </conditionalFormatting>
  <conditionalFormatting sqref="G421 G418:H418">
    <cfRule type="expression" dxfId="844" priority="1049" stopIfTrue="1">
      <formula>AND($G$421&gt;0, OR(energypath="Alternative Bronze", energypath="Performance Path"))</formula>
    </cfRule>
  </conditionalFormatting>
  <conditionalFormatting sqref="G411 J411">
    <cfRule type="expression" dxfId="843" priority="1048" stopIfTrue="1">
      <formula>AND($G$411&gt;0, OR(energypath="Alternative Bronze", energypath="Performance Path"))</formula>
    </cfRule>
  </conditionalFormatting>
  <conditionalFormatting sqref="G419">
    <cfRule type="expression" dxfId="842" priority="1047" stopIfTrue="1">
      <formula>AND($G$419&gt;0, OR(energypath="Alternative Bronze", energypath="Performance Path"))</formula>
    </cfRule>
  </conditionalFormatting>
  <conditionalFormatting sqref="G420 J420">
    <cfRule type="expression" dxfId="841" priority="1046" stopIfTrue="1">
      <formula>AND($G$420&gt;0, OR(energypath="Alternative Bronze", energypath="Performance Path"))</formula>
    </cfRule>
  </conditionalFormatting>
  <conditionalFormatting sqref="G412 G409:H409">
    <cfRule type="expression" dxfId="840" priority="1043" stopIfTrue="1">
      <formula>AND($G$412&gt;0, OR(energypath="Alternative Bronze", energypath="Performance Path"))</formula>
    </cfRule>
  </conditionalFormatting>
  <conditionalFormatting sqref="G413">
    <cfRule type="expression" dxfId="839" priority="1042" stopIfTrue="1">
      <formula>AND($G$413&gt;0, OR(energypath="Alternative Bronze", energypath="Performance Path"))</formula>
    </cfRule>
  </conditionalFormatting>
  <conditionalFormatting sqref="G422">
    <cfRule type="expression" dxfId="838" priority="1041" stopIfTrue="1">
      <formula>AND($G$422&gt;0, OR(energypath="Alternative Bronze", energypath="Performance Path"))</formula>
    </cfRule>
  </conditionalFormatting>
  <conditionalFormatting sqref="G410">
    <cfRule type="expression" dxfId="837" priority="1040" stopIfTrue="1">
      <formula>AND($G$410&gt;0, OR(energypath="Alternative Bronze", energypath="Performance Path"))</formula>
    </cfRule>
  </conditionalFormatting>
  <conditionalFormatting sqref="G423:J423">
    <cfRule type="expression" dxfId="836" priority="1035" stopIfTrue="1">
      <formula>AND($G$423&gt;0, OR(energypath="Alternative Bronze", energypath="Performance Path"))</formula>
    </cfRule>
  </conditionalFormatting>
  <conditionalFormatting sqref="G424:H424 J424">
    <cfRule type="expression" dxfId="835" priority="1033">
      <formula>AND($G$424&gt;0,$G$424&lt;&gt;$F$424)</formula>
    </cfRule>
    <cfRule type="expression" dxfId="834" priority="1034" stopIfTrue="1">
      <formula>AND($G$424&gt;0, OR(energypath="Alternative Bronze", energypath="Performance Path"))</formula>
    </cfRule>
  </conditionalFormatting>
  <conditionalFormatting sqref="G429 J429">
    <cfRule type="expression" dxfId="833" priority="1031">
      <formula>AND($G$429&gt;0,$G$429&lt;&gt;$F$429)</formula>
    </cfRule>
    <cfRule type="expression" dxfId="832" priority="1032" stopIfTrue="1">
      <formula>AND($G$429&gt;0, OR(energypath="Alternative Bronze", energypath="Performance Path"))</formula>
    </cfRule>
  </conditionalFormatting>
  <conditionalFormatting sqref="G430:J430">
    <cfRule type="expression" dxfId="831" priority="1026" stopIfTrue="1">
      <formula>OR(AND(G430=8,czone&gt;3), AND(G430=10,czone&gt;5), AND(G430=5,OR(czone&lt;4, czone&gt;5)), AND(OR(G430=6,G430=12),czone&lt;6))</formula>
    </cfRule>
    <cfRule type="expression" dxfId="830" priority="1027" stopIfTrue="1">
      <formula>AND($G$427&gt;0, OR(energypath="Alternative Bronze", energypath="Performance Path"))</formula>
    </cfRule>
  </conditionalFormatting>
  <conditionalFormatting sqref="G431:H431">
    <cfRule type="expression" dxfId="829" priority="1022">
      <formula>AND($G$431&gt;0,$G$431&lt;&gt;$F$431)</formula>
    </cfRule>
    <cfRule type="expression" dxfId="828" priority="1023">
      <formula>AND($G$431&gt;0,$G$428&gt;0,$G$427&gt;0)</formula>
    </cfRule>
    <cfRule type="expression" dxfId="827" priority="1024">
      <formula>AND($G$429&gt;0,$G$431&gt;0)</formula>
    </cfRule>
    <cfRule type="expression" dxfId="826" priority="1025" stopIfTrue="1">
      <formula>AND($G$431&gt;0, OR(energypath="Alternative Bronze", energypath="Performance Path"))</formula>
    </cfRule>
  </conditionalFormatting>
  <conditionalFormatting sqref="G432">
    <cfRule type="expression" dxfId="825" priority="1019">
      <formula>AND($G$432&gt;0,$G$432&lt;&gt;$F$432)</formula>
    </cfRule>
    <cfRule type="expression" dxfId="824" priority="1020">
      <formula>AND($G$432&gt;0,$G$428&gt;0,$G$427&gt;0)</formula>
    </cfRule>
    <cfRule type="expression" dxfId="823" priority="1021" stopIfTrue="1">
      <formula>AND($G$432&gt;0, OR(energypath="Alternative Bronze", energypath="Performance Path"))</formula>
    </cfRule>
  </conditionalFormatting>
  <conditionalFormatting sqref="G446:H446">
    <cfRule type="expression" dxfId="822" priority="1013" stopIfTrue="1">
      <formula>AND($G$446&gt;0,$G$437&gt;0)</formula>
    </cfRule>
    <cfRule type="expression" dxfId="821" priority="1014" stopIfTrue="1">
      <formula>AND($G$446&gt;0, OR(energypath="Alternative Bronze", energypath="Performance Path"))</formula>
    </cfRule>
  </conditionalFormatting>
  <conditionalFormatting sqref="G447">
    <cfRule type="expression" dxfId="820" priority="1011" stopIfTrue="1">
      <formula>AND($G$447&gt;0,$G$437&gt;0)</formula>
    </cfRule>
    <cfRule type="expression" dxfId="819" priority="1012" stopIfTrue="1">
      <formula>AND($G$447&gt;0, OR(energypath="Alternative Bronze", energypath="Performance Path"))</formula>
    </cfRule>
  </conditionalFormatting>
  <conditionalFormatting sqref="G448 J448">
    <cfRule type="expression" dxfId="818" priority="1009" stopIfTrue="1">
      <formula>AND($G$448&gt;0,$G$437&gt;0)</formula>
    </cfRule>
    <cfRule type="expression" dxfId="817" priority="1010" stopIfTrue="1">
      <formula>AND($G$448&gt;0, OR(energypath="Alternative Bronze", energypath="Performance Path"))</formula>
    </cfRule>
  </conditionalFormatting>
  <conditionalFormatting sqref="G449">
    <cfRule type="expression" dxfId="816" priority="1007" stopIfTrue="1">
      <formula>AND($G$449&gt;0,$G$437&gt;0)</formula>
    </cfRule>
    <cfRule type="expression" dxfId="815" priority="1008" stopIfTrue="1">
      <formula>AND($G$449&gt;0, OR(energypath="Alternative Bronze", energypath="Performance Path"))</formula>
    </cfRule>
  </conditionalFormatting>
  <conditionalFormatting sqref="G450">
    <cfRule type="expression" dxfId="814" priority="1005" stopIfTrue="1">
      <formula>AND($G$450&gt;0,$G$437&gt;0)</formula>
    </cfRule>
    <cfRule type="expression" dxfId="813" priority="1006" stopIfTrue="1">
      <formula>AND($G$450&gt;0, OR(energypath="Alternative Bronze", energypath="Performance Path"))</formula>
    </cfRule>
  </conditionalFormatting>
  <conditionalFormatting sqref="G437:H437">
    <cfRule type="expression" dxfId="812" priority="1004">
      <formula>AND($G$437&gt;0,SUM($G$446:$G$450)&gt;0)</formula>
    </cfRule>
  </conditionalFormatting>
  <conditionalFormatting sqref="G453:I453">
    <cfRule type="expression" dxfId="811" priority="1003" stopIfTrue="1">
      <formula>AND($G$453&gt;0, OR(energypath="Alternative Bronze", energypath="Performance Path"))</formula>
    </cfRule>
  </conditionalFormatting>
  <conditionalFormatting sqref="G455 J455">
    <cfRule type="expression" dxfId="810" priority="1002" stopIfTrue="1">
      <formula>AND($G$455&gt;0, OR(energypath="Alternative Bronze", energypath="Performance Path"))</formula>
    </cfRule>
  </conditionalFormatting>
  <conditionalFormatting sqref="G454">
    <cfRule type="expression" dxfId="809" priority="1001" stopIfTrue="1">
      <formula>AND($G$454&gt;0, OR(energypath="Alternative Bronze", energypath="Performance Path"))</formula>
    </cfRule>
  </conditionalFormatting>
  <conditionalFormatting sqref="G462:H462 J462">
    <cfRule type="expression" dxfId="808" priority="999">
      <formula>AND($G$462&gt;0,$G$462&lt;&gt;$F$462)</formula>
    </cfRule>
    <cfRule type="expression" dxfId="807" priority="1000">
      <formula>AND($G$462&gt;0, OR(energypath="Alternative Bronze", energypath="Performance Path"))</formula>
    </cfRule>
  </conditionalFormatting>
  <conditionalFormatting sqref="G471 J471">
    <cfRule type="expression" dxfId="806" priority="997">
      <formula>AND($G$471=1,$G$467&gt;0)</formula>
    </cfRule>
    <cfRule type="expression" dxfId="805" priority="998">
      <formula>AND($G$471&gt;0, OR(energypath="Alternative Bronze", energypath="Performance Path"))</formula>
    </cfRule>
  </conditionalFormatting>
  <conditionalFormatting sqref="G470:G475 J470:J475">
    <cfRule type="expression" dxfId="804" priority="996">
      <formula>AND(SUM($G$470:$G$475)&gt;0,OR(SUM($G$470:$G$475)&gt;4,SUM($G$470:$G$475)&lt;3))</formula>
    </cfRule>
  </conditionalFormatting>
  <conditionalFormatting sqref="H369">
    <cfRule type="expression" dxfId="803" priority="993">
      <formula>AND($H$369&gt;0,OR(ar701.1="Alternative Bronze",ar701.1="Performance Path"))</formula>
    </cfRule>
  </conditionalFormatting>
  <conditionalFormatting sqref="G372">
    <cfRule type="expression" dxfId="802" priority="992">
      <formula>AND($G$372&gt;0,OR(energypath="Alternative Bronze",energypath="Performance Path"))</formula>
    </cfRule>
  </conditionalFormatting>
  <conditionalFormatting sqref="G406 J406">
    <cfRule type="expression" dxfId="801" priority="991">
      <formula>AND($G$404&gt;0, OR(energypath="Alternative Bronze", energypath="Performance Path"))</formula>
    </cfRule>
  </conditionalFormatting>
  <conditionalFormatting sqref="G442 J442">
    <cfRule type="expression" dxfId="800" priority="989">
      <formula>AND($G$442&gt;0,$G$442&lt;&gt;$F$442)</formula>
    </cfRule>
    <cfRule type="expression" dxfId="799" priority="990">
      <formula>AND($G$442&gt;0, OR(energypath="Alternative Bronze", energypath="Performance Path"))</formula>
    </cfRule>
  </conditionalFormatting>
  <conditionalFormatting sqref="G464:H464 J464">
    <cfRule type="expression" dxfId="798" priority="988">
      <formula>AND($G$464&gt;0, OR(energypath="Alternative Bronze", energypath="Performance Path"))</formula>
    </cfRule>
  </conditionalFormatting>
  <conditionalFormatting sqref="G470 J470">
    <cfRule type="expression" dxfId="797" priority="987">
      <formula>AND($G$470&gt;0, OR(energypath="Alternative Bronze", energypath="Performance Path"))</formula>
    </cfRule>
  </conditionalFormatting>
  <conditionalFormatting sqref="G472 J472">
    <cfRule type="expression" dxfId="796" priority="986">
      <formula>AND($G$472&gt;0, OR(energypath="Alternative Bronze", energypath="Performance Path"))</formula>
    </cfRule>
  </conditionalFormatting>
  <conditionalFormatting sqref="G473 J473">
    <cfRule type="expression" dxfId="795" priority="985">
      <formula>AND($G$473&gt;0, OR(energypath="Alternative Bronze", energypath="Performance Path"))</formula>
    </cfRule>
  </conditionalFormatting>
  <conditionalFormatting sqref="G474 J474">
    <cfRule type="expression" dxfId="794" priority="984">
      <formula>AND($G$474&gt;0, OR(energypath="Alternative Bronze", energypath="Performance Path"))</formula>
    </cfRule>
  </conditionalFormatting>
  <conditionalFormatting sqref="G475 J475">
    <cfRule type="expression" dxfId="793" priority="983">
      <formula>AND($G$475&gt;0, OR(energypath="Alternative Bronze", energypath="Performance Path"))</formula>
    </cfRule>
  </conditionalFormatting>
  <conditionalFormatting sqref="H374">
    <cfRule type="expression" dxfId="792" priority="982">
      <formula>AND(H362&gt;0,H374&gt;0)</formula>
    </cfRule>
    <cfRule type="expression" dxfId="791" priority="1288" stopIfTrue="1">
      <formula>AND(H374&gt;0, OR(energypath="Alternative Bronze", energypath="Performance Path"))</formula>
    </cfRule>
  </conditionalFormatting>
  <conditionalFormatting sqref="G739 J427:J428 G427:G428 J739">
    <cfRule type="expression" dxfId="790" priority="980">
      <formula>AND($G$739&gt;0,$G$427&gt;0,$G$428&gt;0)</formula>
    </cfRule>
  </conditionalFormatting>
  <conditionalFormatting sqref="F8">
    <cfRule type="expression" dxfId="789" priority="977">
      <formula>$F$8=""</formula>
    </cfRule>
  </conditionalFormatting>
  <conditionalFormatting sqref="J32">
    <cfRule type="expression" dxfId="788" priority="974" stopIfTrue="1">
      <formula>AND($J$32="",$J$31&lt;&gt;"")</formula>
    </cfRule>
    <cfRule type="expression" dxfId="787" priority="975">
      <formula>$J$32&lt;&gt;""</formula>
    </cfRule>
  </conditionalFormatting>
  <conditionalFormatting sqref="J31">
    <cfRule type="expression" dxfId="786" priority="971">
      <formula>AND($I$31&gt;0,$J$32&lt;&gt;"")</formula>
    </cfRule>
  </conditionalFormatting>
  <conditionalFormatting sqref="I8">
    <cfRule type="expression" dxfId="785" priority="108">
      <formula>AND($I$8&lt;&gt;"Final",($I$824-$J$332)&gt;0)</formula>
    </cfRule>
    <cfRule type="expression" dxfId="784" priority="970">
      <formula>OR($I$8="",AND($I$8&lt;&gt;"Final",$I$824&gt;0))</formula>
    </cfRule>
  </conditionalFormatting>
  <conditionalFormatting sqref="J28">
    <cfRule type="expression" dxfId="783" priority="966">
      <formula>AND($J$27&lt;&gt;"",$J$28="")</formula>
    </cfRule>
  </conditionalFormatting>
  <conditionalFormatting sqref="H477:I477">
    <cfRule type="expression" dxfId="782" priority="964">
      <formula>AND(Vreport701.1="Prescriptive Path",H477&lt;30,ReportType="Final")</formula>
    </cfRule>
    <cfRule type="expression" dxfId="781" priority="965">
      <formula>AND(ReportType="Final",$H$477&gt;0, OR(Vreport701.1="Alternative Bronze", Vreport701.1="Performance Path"))</formula>
    </cfRule>
  </conditionalFormatting>
  <conditionalFormatting sqref="E477:G477">
    <cfRule type="expression" dxfId="780" priority="963">
      <formula>AND(ReportType="Final",Vreport701.1="Prescriptive Path",H477&lt;30)</formula>
    </cfRule>
  </conditionalFormatting>
  <conditionalFormatting sqref="H505:I505">
    <cfRule type="expression" dxfId="779" priority="962">
      <formula>AND(ReportType="Final",$H$505=" has not been met.")</formula>
    </cfRule>
  </conditionalFormatting>
  <conditionalFormatting sqref="J140">
    <cfRule type="expression" dxfId="778" priority="961">
      <formula>$J$140=""</formula>
    </cfRule>
  </conditionalFormatting>
  <conditionalFormatting sqref="L826:M826 K8:L8">
    <cfRule type="expression" dxfId="777" priority="960">
      <formula>$K$8="This Report is NOT ReadyTo Submit"</formula>
    </cfRule>
  </conditionalFormatting>
  <conditionalFormatting sqref="J252:J253">
    <cfRule type="expression" dxfId="776" priority="959">
      <formula>AND($J$251&lt;&gt;"",$J$252="")</formula>
    </cfRule>
  </conditionalFormatting>
  <conditionalFormatting sqref="J256:J257">
    <cfRule type="expression" dxfId="775" priority="958">
      <formula>AND($J$255&lt;&gt;"",$J$256="")</formula>
    </cfRule>
  </conditionalFormatting>
  <conditionalFormatting sqref="J16">
    <cfRule type="expression" dxfId="774" priority="957">
      <formula>AND($J$15&lt;&gt;"",$J$16="")</formula>
    </cfRule>
  </conditionalFormatting>
  <conditionalFormatting sqref="J64:J65">
    <cfRule type="expression" dxfId="773" priority="954">
      <formula>AND($J$63&lt;&gt;"",$J$64="")</formula>
    </cfRule>
  </conditionalFormatting>
  <conditionalFormatting sqref="J66">
    <cfRule type="expression" dxfId="772" priority="951">
      <formula>AND($J$65&lt;&gt;"",$J$66="")</formula>
    </cfRule>
  </conditionalFormatting>
  <conditionalFormatting sqref="J69:J72">
    <cfRule type="expression" dxfId="771" priority="949">
      <formula>AND($J$68&lt;&gt;"",$J$69="")</formula>
    </cfRule>
  </conditionalFormatting>
  <conditionalFormatting sqref="G598 J598">
    <cfRule type="expression" dxfId="770" priority="3757">
      <formula>AND($G$598=15,OR($G$592&lt;&gt;0,$G$593&lt;&gt;0,$G$595&lt;&gt;0,$G$597=8,#REF!=8))</formula>
    </cfRule>
    <cfRule type="expression" dxfId="769" priority="3758">
      <formula>AND($G$598=15,SUM($G$63:$G$65,$G$68:$G$73)=0)</formula>
    </cfRule>
  </conditionalFormatting>
  <conditionalFormatting sqref="J74">
    <cfRule type="expression" dxfId="768" priority="948">
      <formula>AND($J$73&lt;&gt;"",$J$74="")</formula>
    </cfRule>
  </conditionalFormatting>
  <conditionalFormatting sqref="J76">
    <cfRule type="expression" dxfId="767" priority="4377">
      <formula>AND($G$75&gt;0,$G$75&lt;&gt;$F$75)</formula>
    </cfRule>
  </conditionalFormatting>
  <conditionalFormatting sqref="H87:I87 H85:I85">
    <cfRule type="expression" dxfId="766" priority="5958">
      <formula>AND($G$81=3,SUM($G$83:$G$87)&lt;3)</formula>
    </cfRule>
  </conditionalFormatting>
  <conditionalFormatting sqref="J82">
    <cfRule type="expression" dxfId="765" priority="946">
      <formula>AND($J$81&lt;&gt;"",$J$82="")</formula>
    </cfRule>
  </conditionalFormatting>
  <conditionalFormatting sqref="J84">
    <cfRule type="expression" dxfId="764" priority="945">
      <formula>AND($J$83&lt;&gt;"",$J$84="")</formula>
    </cfRule>
  </conditionalFormatting>
  <conditionalFormatting sqref="J86">
    <cfRule type="expression" dxfId="763" priority="944">
      <formula>AND($J$85&lt;&gt;"",$J$86="")</formula>
    </cfRule>
  </conditionalFormatting>
  <conditionalFormatting sqref="J88">
    <cfRule type="expression" dxfId="762" priority="943">
      <formula>AND($J$87&lt;&gt;"",$J$88="")</formula>
    </cfRule>
  </conditionalFormatting>
  <conditionalFormatting sqref="J94">
    <cfRule type="expression" dxfId="761" priority="942">
      <formula>AND($J$93&lt;&gt;"",$J$94="")</formula>
    </cfRule>
  </conditionalFormatting>
  <conditionalFormatting sqref="J97">
    <cfRule type="expression" dxfId="760" priority="941">
      <formula>AND(J96&lt;&gt;"",J97="")</formula>
    </cfRule>
  </conditionalFormatting>
  <conditionalFormatting sqref="J99">
    <cfRule type="expression" dxfId="759" priority="940">
      <formula>AND(J98&lt;&gt;"",J99="")</formula>
    </cfRule>
  </conditionalFormatting>
  <conditionalFormatting sqref="J104">
    <cfRule type="expression" dxfId="758" priority="939">
      <formula>AND(J103&lt;&gt;"",J104="")</formula>
    </cfRule>
  </conditionalFormatting>
  <conditionalFormatting sqref="J106">
    <cfRule type="expression" dxfId="757" priority="938">
      <formula>AND(J105&lt;&gt;"",J106="")</formula>
    </cfRule>
  </conditionalFormatting>
  <conditionalFormatting sqref="J108">
    <cfRule type="expression" dxfId="756" priority="937">
      <formula>AND(J107&lt;&gt;"",J108="")</formula>
    </cfRule>
  </conditionalFormatting>
  <conditionalFormatting sqref="J110">
    <cfRule type="expression" dxfId="755" priority="936">
      <formula>AND(J109&lt;&gt;"",J110="")</formula>
    </cfRule>
  </conditionalFormatting>
  <conditionalFormatting sqref="J112">
    <cfRule type="expression" dxfId="754" priority="935">
      <formula>AND(J111&lt;&gt;"",J112="")</formula>
    </cfRule>
  </conditionalFormatting>
  <conditionalFormatting sqref="J126">
    <cfRule type="expression" dxfId="753" priority="934">
      <formula>AND(J125&lt;&gt;"",J126="")</formula>
    </cfRule>
  </conditionalFormatting>
  <conditionalFormatting sqref="J128">
    <cfRule type="expression" dxfId="752" priority="933">
      <formula>AND(J127&lt;&gt;"",J128="")</formula>
    </cfRule>
  </conditionalFormatting>
  <conditionalFormatting sqref="H15:H16">
    <cfRule type="expression" dxfId="751" priority="932">
      <formula>AND(H15&gt;0,I15&gt;0)</formula>
    </cfRule>
  </conditionalFormatting>
  <conditionalFormatting sqref="H22">
    <cfRule type="expression" dxfId="750" priority="930">
      <formula>AND(H22&gt;0,I22&gt;0)</formula>
    </cfRule>
  </conditionalFormatting>
  <conditionalFormatting sqref="I22 I187">
    <cfRule type="expression" dxfId="749" priority="929">
      <formula>AND(H22&gt;0,I22&gt;0)</formula>
    </cfRule>
  </conditionalFormatting>
  <conditionalFormatting sqref="H23">
    <cfRule type="expression" dxfId="748" priority="928">
      <formula>AND(H23&gt;0,I23&gt;0)</formula>
    </cfRule>
  </conditionalFormatting>
  <conditionalFormatting sqref="I23">
    <cfRule type="expression" dxfId="747" priority="927">
      <formula>AND(H23&gt;0,I23&gt;0)</formula>
    </cfRule>
  </conditionalFormatting>
  <conditionalFormatting sqref="H24:H25">
    <cfRule type="expression" dxfId="746" priority="926">
      <formula>AND(H24&gt;0,I24&gt;0)</formula>
    </cfRule>
  </conditionalFormatting>
  <conditionalFormatting sqref="I24:I25">
    <cfRule type="expression" dxfId="745" priority="925">
      <formula>AND(H24&gt;0,I24&gt;0)</formula>
    </cfRule>
  </conditionalFormatting>
  <conditionalFormatting sqref="H27:H28">
    <cfRule type="expression" dxfId="744" priority="924">
      <formula>AND(H27&gt;0,I27&gt;0)</formula>
    </cfRule>
  </conditionalFormatting>
  <conditionalFormatting sqref="I27:I28">
    <cfRule type="expression" dxfId="743" priority="923">
      <formula>AND(H27&gt;0,I27&gt;0)</formula>
    </cfRule>
  </conditionalFormatting>
  <conditionalFormatting sqref="H31:H32">
    <cfRule type="expression" dxfId="742" priority="922">
      <formula>AND(H31&gt;0,I31&gt;0)</formula>
    </cfRule>
  </conditionalFormatting>
  <conditionalFormatting sqref="I31:I32">
    <cfRule type="expression" dxfId="741" priority="921">
      <formula>AND(H31&gt;0,I31&gt;0)</formula>
    </cfRule>
  </conditionalFormatting>
  <conditionalFormatting sqref="H33">
    <cfRule type="expression" dxfId="740" priority="920">
      <formula>AND(H33&gt;0,I33&gt;0)</formula>
    </cfRule>
  </conditionalFormatting>
  <conditionalFormatting sqref="I33">
    <cfRule type="expression" dxfId="739" priority="919">
      <formula>AND(H33&gt;0,I33&gt;0)</formula>
    </cfRule>
  </conditionalFormatting>
  <conditionalFormatting sqref="H34:H38">
    <cfRule type="expression" dxfId="738" priority="918">
      <formula>AND(H34&gt;0,I34&gt;0)</formula>
    </cfRule>
  </conditionalFormatting>
  <conditionalFormatting sqref="I34:I38">
    <cfRule type="expression" dxfId="737" priority="917">
      <formula>AND(H34&gt;0,I34&gt;0)</formula>
    </cfRule>
  </conditionalFormatting>
  <conditionalFormatting sqref="H40:H41">
    <cfRule type="expression" dxfId="736" priority="916">
      <formula>AND(H40&gt;0,I40&gt;0)</formula>
    </cfRule>
  </conditionalFormatting>
  <conditionalFormatting sqref="I40:I41">
    <cfRule type="expression" dxfId="735" priority="915">
      <formula>AND(H40&gt;0,I40&gt;0)</formula>
    </cfRule>
  </conditionalFormatting>
  <conditionalFormatting sqref="H46:H47">
    <cfRule type="expression" dxfId="734" priority="914">
      <formula>AND(H46&gt;0,I46&gt;0)</formula>
    </cfRule>
  </conditionalFormatting>
  <conditionalFormatting sqref="H49:H51">
    <cfRule type="expression" dxfId="733" priority="913">
      <formula>AND(H49&gt;0,I49&gt;0)</formula>
    </cfRule>
  </conditionalFormatting>
  <conditionalFormatting sqref="I46:I47">
    <cfRule type="expression" dxfId="732" priority="912">
      <formula>AND(H46&gt;0,I46&gt;0)</formula>
    </cfRule>
  </conditionalFormatting>
  <conditionalFormatting sqref="H43:H45">
    <cfRule type="expression" dxfId="731" priority="911">
      <formula>AND(H43&gt;0,I43&gt;0)</formula>
    </cfRule>
  </conditionalFormatting>
  <conditionalFormatting sqref="I43:I45">
    <cfRule type="expression" dxfId="730" priority="910">
      <formula>AND(H43&gt;0,I43&gt;0)</formula>
    </cfRule>
  </conditionalFormatting>
  <conditionalFormatting sqref="I49:I51">
    <cfRule type="expression" dxfId="729" priority="909">
      <formula>AND(H49&gt;0,I49&gt;0)</formula>
    </cfRule>
  </conditionalFormatting>
  <conditionalFormatting sqref="H53:H54">
    <cfRule type="expression" dxfId="728" priority="908">
      <formula>AND(H53&gt;0,I53&gt;0)</formula>
    </cfRule>
  </conditionalFormatting>
  <conditionalFormatting sqref="I53:I54">
    <cfRule type="expression" dxfId="727" priority="907">
      <formula>AND(H53&gt;0,I53&gt;0)</formula>
    </cfRule>
  </conditionalFormatting>
  <conditionalFormatting sqref="H56:H58">
    <cfRule type="expression" dxfId="726" priority="906">
      <formula>AND(H56&gt;0,I56&gt;0)</formula>
    </cfRule>
  </conditionalFormatting>
  <conditionalFormatting sqref="I56:I58">
    <cfRule type="expression" dxfId="725" priority="905">
      <formula>AND(H56&gt;0,I56&gt;0)</formula>
    </cfRule>
  </conditionalFormatting>
  <conditionalFormatting sqref="H59:H61">
    <cfRule type="expression" dxfId="724" priority="904">
      <formula>AND(H59&gt;0,I59&gt;0)</formula>
    </cfRule>
  </conditionalFormatting>
  <conditionalFormatting sqref="I59:I61">
    <cfRule type="expression" dxfId="723" priority="903">
      <formula>AND(H59&gt;0,I59&gt;0)</formula>
    </cfRule>
  </conditionalFormatting>
  <conditionalFormatting sqref="H77:H79">
    <cfRule type="expression" dxfId="722" priority="902">
      <formula>AND(H77&gt;0,I77&gt;0)</formula>
    </cfRule>
  </conditionalFormatting>
  <conditionalFormatting sqref="I77:I79">
    <cfRule type="expression" dxfId="721" priority="901">
      <formula>AND(H77&gt;0,I77&gt;0)</formula>
    </cfRule>
  </conditionalFormatting>
  <conditionalFormatting sqref="J76">
    <cfRule type="expression" dxfId="720" priority="891">
      <formula>AND($J$75&lt;&gt;"",$J$76="")</formula>
    </cfRule>
  </conditionalFormatting>
  <conditionalFormatting sqref="H81:H82">
    <cfRule type="expression" dxfId="719" priority="887">
      <formula>AND(H81&gt;0,I81&gt;0)</formula>
    </cfRule>
  </conditionalFormatting>
  <conditionalFormatting sqref="I81:I82">
    <cfRule type="expression" dxfId="718" priority="850">
      <formula>AND(SUM($H$81:$I$88)&lt;6,SUM($H$81:$I$88)&lt;&gt;0)</formula>
    </cfRule>
    <cfRule type="expression" dxfId="717" priority="886">
      <formula>AND(H81&gt;0,I81&gt;0)</formula>
    </cfRule>
  </conditionalFormatting>
  <conditionalFormatting sqref="H83:H84">
    <cfRule type="expression" dxfId="716" priority="885">
      <formula>AND(H83&gt;0,I83&gt;0)</formula>
    </cfRule>
  </conditionalFormatting>
  <conditionalFormatting sqref="H85:H88">
    <cfRule type="expression" dxfId="715" priority="884">
      <formula>AND(H85&gt;0,I85&gt;0)</formula>
    </cfRule>
  </conditionalFormatting>
  <conditionalFormatting sqref="I85 I83 I87">
    <cfRule type="expression" dxfId="714" priority="883">
      <formula>AND(H83&gt;0,I83&gt;0)</formula>
    </cfRule>
  </conditionalFormatting>
  <conditionalFormatting sqref="H90:H91">
    <cfRule type="expression" dxfId="713" priority="882">
      <formula>AND(H90&gt;0,I90&gt;0)</formula>
    </cfRule>
  </conditionalFormatting>
  <conditionalFormatting sqref="I90:I91">
    <cfRule type="expression" dxfId="712" priority="881">
      <formula>AND(H90&gt;0,I90&gt;0)</formula>
    </cfRule>
  </conditionalFormatting>
  <conditionalFormatting sqref="H93:H94">
    <cfRule type="expression" dxfId="711" priority="880">
      <formula>AND(H93&gt;0,I93&gt;0)</formula>
    </cfRule>
  </conditionalFormatting>
  <conditionalFormatting sqref="I93:I94">
    <cfRule type="expression" dxfId="710" priority="879">
      <formula>AND(H93&gt;0,I93&gt;0)</formula>
    </cfRule>
  </conditionalFormatting>
  <conditionalFormatting sqref="H96:H97">
    <cfRule type="expression" dxfId="709" priority="878">
      <formula>AND(H96&gt;0,I96&gt;0)</formula>
    </cfRule>
  </conditionalFormatting>
  <conditionalFormatting sqref="I96:I97">
    <cfRule type="expression" dxfId="708" priority="877">
      <formula>AND(H96&gt;0,I96&gt;0)</formula>
    </cfRule>
  </conditionalFormatting>
  <conditionalFormatting sqref="H98:H99">
    <cfRule type="expression" dxfId="707" priority="876">
      <formula>AND(H98&gt;0,I98&gt;0)</formula>
    </cfRule>
  </conditionalFormatting>
  <conditionalFormatting sqref="I98:I99">
    <cfRule type="expression" dxfId="706" priority="875">
      <formula>AND(H98&gt;0,I98&gt;0)</formula>
    </cfRule>
  </conditionalFormatting>
  <conditionalFormatting sqref="H100">
    <cfRule type="expression" dxfId="705" priority="874">
      <formula>AND(H100&gt;0,I100&gt;0)</formula>
    </cfRule>
  </conditionalFormatting>
  <conditionalFormatting sqref="I100">
    <cfRule type="expression" dxfId="704" priority="873">
      <formula>AND(H100&gt;0,I100&gt;0)</formula>
    </cfRule>
  </conditionalFormatting>
  <conditionalFormatting sqref="H102">
    <cfRule type="expression" dxfId="703" priority="872">
      <formula>AND(H102&gt;0,I102&gt;0)</formula>
    </cfRule>
  </conditionalFormatting>
  <conditionalFormatting sqref="I102">
    <cfRule type="expression" dxfId="702" priority="871">
      <formula>AND(H102&gt;0,I102&gt;0)</formula>
    </cfRule>
  </conditionalFormatting>
  <conditionalFormatting sqref="H103:H112">
    <cfRule type="expression" dxfId="701" priority="870">
      <formula>AND(H103&gt;0,I103&gt;0)</formula>
    </cfRule>
  </conditionalFormatting>
  <conditionalFormatting sqref="I103:I112">
    <cfRule type="expression" dxfId="700" priority="869">
      <formula>AND(H103&gt;0,I103&gt;0)</formula>
    </cfRule>
  </conditionalFormatting>
  <conditionalFormatting sqref="H113:H115">
    <cfRule type="expression" dxfId="699" priority="868">
      <formula>AND(H113&gt;0,I113&gt;0)</formula>
    </cfRule>
  </conditionalFormatting>
  <conditionalFormatting sqref="I113:I115">
    <cfRule type="expression" dxfId="698" priority="867">
      <formula>AND(H113&gt;0,I113&gt;0)</formula>
    </cfRule>
  </conditionalFormatting>
  <conditionalFormatting sqref="H118:H119">
    <cfRule type="expression" dxfId="697" priority="866">
      <formula>AND(H118&gt;0,I118&gt;0)</formula>
    </cfRule>
  </conditionalFormatting>
  <conditionalFormatting sqref="I118:I119">
    <cfRule type="expression" dxfId="696" priority="865">
      <formula>AND(H118&gt;0,I118&gt;0)</formula>
    </cfRule>
  </conditionalFormatting>
  <conditionalFormatting sqref="H121:H123">
    <cfRule type="expression" dxfId="695" priority="864">
      <formula>AND(H121&gt;0,I121&gt;0)</formula>
    </cfRule>
  </conditionalFormatting>
  <conditionalFormatting sqref="I121:I123">
    <cfRule type="expression" dxfId="694" priority="863">
      <formula>AND(H121&gt;0,I121&gt;0)</formula>
    </cfRule>
  </conditionalFormatting>
  <conditionalFormatting sqref="H125:H128">
    <cfRule type="expression" dxfId="693" priority="862">
      <formula>AND(H125&gt;0,I125&gt;0)</formula>
    </cfRule>
  </conditionalFormatting>
  <conditionalFormatting sqref="I125:I128">
    <cfRule type="expression" dxfId="692" priority="861">
      <formula>AND(H125&gt;0,I125&gt;0)</formula>
    </cfRule>
  </conditionalFormatting>
  <conditionalFormatting sqref="H130:H132">
    <cfRule type="expression" dxfId="691" priority="860">
      <formula>AND(H130&gt;0,I130&gt;0)</formula>
    </cfRule>
  </conditionalFormatting>
  <conditionalFormatting sqref="I130:I132">
    <cfRule type="expression" dxfId="690" priority="859">
      <formula>AND(H130&gt;0,I130&gt;0)</formula>
    </cfRule>
  </conditionalFormatting>
  <conditionalFormatting sqref="H133:H134">
    <cfRule type="expression" dxfId="689" priority="858">
      <formula>AND(H133&gt;0,I133&gt;0)</formula>
    </cfRule>
  </conditionalFormatting>
  <conditionalFormatting sqref="I133:I134">
    <cfRule type="expression" dxfId="688" priority="857">
      <formula>AND(H133&gt;0,I133&gt;0)</formula>
    </cfRule>
  </conditionalFormatting>
  <conditionalFormatting sqref="H17">
    <cfRule type="expression" dxfId="687" priority="856">
      <formula>AND(H17&gt;0,I17&gt;0)</formula>
    </cfRule>
  </conditionalFormatting>
  <conditionalFormatting sqref="H18:H20">
    <cfRule type="expression" dxfId="686" priority="855">
      <formula>AND(H18&gt;0,I18&gt;0)</formula>
    </cfRule>
  </conditionalFormatting>
  <conditionalFormatting sqref="I17">
    <cfRule type="expression" dxfId="685" priority="854">
      <formula>AND(H17&gt;0,I17&gt;0)</formula>
    </cfRule>
  </conditionalFormatting>
  <conditionalFormatting sqref="I18:I20">
    <cfRule type="expression" dxfId="684" priority="853">
      <formula>AND(H18&gt;0,I18&gt;0)</formula>
    </cfRule>
  </conditionalFormatting>
  <conditionalFormatting sqref="I85 I83 I87">
    <cfRule type="expression" dxfId="683" priority="849">
      <formula>AND(H83&gt;0,I83&gt;0)</formula>
    </cfRule>
  </conditionalFormatting>
  <conditionalFormatting sqref="I83:I88">
    <cfRule type="expression" dxfId="682" priority="846">
      <formula>AND(SUM($H$81:$I$88)&lt;6,SUM($H$81:$I$88)&lt;&gt;0)</formula>
    </cfRule>
    <cfRule type="expression" dxfId="681" priority="847">
      <formula>AND(H83&gt;0,I83&gt;0)</formula>
    </cfRule>
  </conditionalFormatting>
  <conditionalFormatting sqref="I83:I88">
    <cfRule type="expression" dxfId="680" priority="844">
      <formula>AND(SUM($H$81:$I$88)&lt;6,SUM($H$81:$I$88)&lt;&gt;0)</formula>
    </cfRule>
    <cfRule type="expression" dxfId="679" priority="845">
      <formula>AND(H83&gt;0,I83&gt;0)</formula>
    </cfRule>
  </conditionalFormatting>
  <conditionalFormatting sqref="J131">
    <cfRule type="expression" dxfId="678" priority="191" stopIfTrue="1">
      <formula>AND($J$130&lt;&gt;"",$J$131="")</formula>
    </cfRule>
    <cfRule type="expression" dxfId="677" priority="843">
      <formula>OR(AND($I$130=5,$J$131&gt;43560/7),AND($I$130=8,$J$131&gt;43560/14),AND($I$130=11,$J$131&gt;43560/21))</formula>
    </cfRule>
  </conditionalFormatting>
  <conditionalFormatting sqref="J263:J265">
    <cfRule type="expression" dxfId="676" priority="842">
      <formula>AND($J$263="",$J$262&lt;&gt;"")</formula>
    </cfRule>
  </conditionalFormatting>
  <conditionalFormatting sqref="J268:J270">
    <cfRule type="expression" dxfId="675" priority="841">
      <formula>AND($J$268="",$J$267&lt;&gt;"")</formula>
    </cfRule>
  </conditionalFormatting>
  <conditionalFormatting sqref="J290">
    <cfRule type="expression" dxfId="674" priority="839">
      <formula>AND($J$290="",$J$289&lt;&gt;"")</formula>
    </cfRule>
  </conditionalFormatting>
  <conditionalFormatting sqref="H145:H146">
    <cfRule type="expression" dxfId="673" priority="838">
      <formula>AND(H145&gt;0,I145&gt;0)</formula>
    </cfRule>
  </conditionalFormatting>
  <conditionalFormatting sqref="H147:H150">
    <cfRule type="expression" dxfId="672" priority="837">
      <formula>AND(H147&gt;0,I147&gt;0)</formula>
    </cfRule>
  </conditionalFormatting>
  <conditionalFormatting sqref="I145:I146">
    <cfRule type="expression" dxfId="671" priority="836">
      <formula>AND(H145&gt;0,I145&gt;0)</formula>
    </cfRule>
  </conditionalFormatting>
  <conditionalFormatting sqref="I147:I150">
    <cfRule type="expression" dxfId="670" priority="835">
      <formula>AND(H147&gt;0,I147&gt;0)</formula>
    </cfRule>
  </conditionalFormatting>
  <conditionalFormatting sqref="H152">
    <cfRule type="expression" dxfId="669" priority="834">
      <formula>AND(H152&gt;0,I152&gt;0)</formula>
    </cfRule>
  </conditionalFormatting>
  <conditionalFormatting sqref="I152">
    <cfRule type="expression" dxfId="668" priority="833">
      <formula>AND(H152&gt;0,I152&gt;0)</formula>
    </cfRule>
  </conditionalFormatting>
  <conditionalFormatting sqref="H153:H156">
    <cfRule type="expression" dxfId="667" priority="832">
      <formula>AND(H153&gt;0,I153&gt;0)</formula>
    </cfRule>
  </conditionalFormatting>
  <conditionalFormatting sqref="I153:I156">
    <cfRule type="expression" priority="831">
      <formula>AND(H153&gt;0,I153&gt;0)</formula>
    </cfRule>
  </conditionalFormatting>
  <conditionalFormatting sqref="I153:I156">
    <cfRule type="expression" dxfId="666" priority="830">
      <formula>AND(H153&gt;0,I153&gt;0)</formula>
    </cfRule>
  </conditionalFormatting>
  <conditionalFormatting sqref="H157">
    <cfRule type="expression" dxfId="665" priority="829">
      <formula>AND(H157&gt;0,I157&gt;0)</formula>
    </cfRule>
  </conditionalFormatting>
  <conditionalFormatting sqref="I157">
    <cfRule type="expression" priority="828">
      <formula>AND(H157&gt;0,I157&gt;0)</formula>
    </cfRule>
  </conditionalFormatting>
  <conditionalFormatting sqref="I157">
    <cfRule type="expression" dxfId="664" priority="827">
      <formula>AND(H157&gt;0,I157&gt;0)</formula>
    </cfRule>
  </conditionalFormatting>
  <conditionalFormatting sqref="H159:H163">
    <cfRule type="expression" dxfId="663" priority="826">
      <formula>AND(H159&gt;0,I159&gt;0)</formula>
    </cfRule>
  </conditionalFormatting>
  <conditionalFormatting sqref="I159:I163">
    <cfRule type="expression" dxfId="662" priority="824">
      <formula>AND(H159&gt;0,I159&gt;0)</formula>
    </cfRule>
  </conditionalFormatting>
  <conditionalFormatting sqref="H159:I163 H172:I172">
    <cfRule type="expression" dxfId="661" priority="823">
      <formula>AND(H159&gt;0,SUM($H$159:$I$163)&gt;13)</formula>
    </cfRule>
  </conditionalFormatting>
  <conditionalFormatting sqref="J169:J171">
    <cfRule type="expression" dxfId="660" priority="819">
      <formula>AND(J168&lt;&gt;"",J169="")</formula>
    </cfRule>
  </conditionalFormatting>
  <conditionalFormatting sqref="H165:I167">
    <cfRule type="expression" dxfId="659" priority="818">
      <formula>AND($H$165&gt;0,$I$165&gt;0)</formula>
    </cfRule>
  </conditionalFormatting>
  <conditionalFormatting sqref="H168:I171">
    <cfRule type="expression" dxfId="658" priority="816">
      <formula>SUM($H$168,$I$168)&gt;12</formula>
    </cfRule>
  </conditionalFormatting>
  <conditionalFormatting sqref="H172">
    <cfRule type="expression" dxfId="657" priority="814">
      <formula>AND(H172&gt;0,I172&gt;0)</formula>
    </cfRule>
  </conditionalFormatting>
  <conditionalFormatting sqref="I172">
    <cfRule type="expression" dxfId="656" priority="812">
      <formula>AND(H172&gt;0,I172&gt;0)</formula>
    </cfRule>
  </conditionalFormatting>
  <conditionalFormatting sqref="H174:H175">
    <cfRule type="expression" dxfId="655" priority="810">
      <formula>AND(H174&gt;0,I174&gt;0)</formula>
    </cfRule>
  </conditionalFormatting>
  <conditionalFormatting sqref="I174:I175">
    <cfRule type="expression" dxfId="654" priority="809">
      <formula>AND(H174&gt;0,I174&gt;0)</formula>
    </cfRule>
  </conditionalFormatting>
  <conditionalFormatting sqref="J175">
    <cfRule type="expression" dxfId="653" priority="808">
      <formula>AND(J174&lt;&gt;"",J175="")</formula>
    </cfRule>
  </conditionalFormatting>
  <conditionalFormatting sqref="H179">
    <cfRule type="expression" dxfId="652" priority="807">
      <formula>AND(H179&gt;0,I179&gt;0)</formula>
    </cfRule>
  </conditionalFormatting>
  <conditionalFormatting sqref="I179">
    <cfRule type="expression" dxfId="651" priority="805">
      <formula>AND(H179&gt;0,I179&gt;0)</formula>
    </cfRule>
  </conditionalFormatting>
  <conditionalFormatting sqref="J181">
    <cfRule type="expression" dxfId="650" priority="803">
      <formula>AND(J180&lt;&gt;"",J181="")</formula>
    </cfRule>
  </conditionalFormatting>
  <conditionalFormatting sqref="H180:H181">
    <cfRule type="expression" dxfId="649" priority="802">
      <formula>AND(H180&gt;0,I180&gt;0)</formula>
    </cfRule>
  </conditionalFormatting>
  <conditionalFormatting sqref="I180:I181">
    <cfRule type="expression" dxfId="648" priority="801">
      <formula>AND(H180&gt;0,I180&gt;0)</formula>
    </cfRule>
  </conditionalFormatting>
  <conditionalFormatting sqref="H184">
    <cfRule type="expression" dxfId="647" priority="800">
      <formula>AND(H184&gt;0,I184&gt;0)</formula>
    </cfRule>
  </conditionalFormatting>
  <conditionalFormatting sqref="I184">
    <cfRule type="expression" dxfId="646" priority="799">
      <formula>AND(H184&gt;0,I184&gt;0)</formula>
    </cfRule>
  </conditionalFormatting>
  <conditionalFormatting sqref="H187">
    <cfRule type="expression" dxfId="645" priority="798">
      <formula>AND(H187&gt;0,I187&gt;0)</formula>
    </cfRule>
  </conditionalFormatting>
  <conditionalFormatting sqref="H191">
    <cfRule type="expression" dxfId="644" priority="257">
      <formula>AND($H$192="No conditioned crawl",$H$191&gt;0)</formula>
    </cfRule>
    <cfRule type="expression" dxfId="643" priority="796">
      <formula>AND(H191&gt;0,I191&gt;0)</formula>
    </cfRule>
  </conditionalFormatting>
  <conditionalFormatting sqref="I191">
    <cfRule type="expression" dxfId="642" priority="256">
      <formula>AND($H$192="No conditioned crawl",$I$191&gt;0)</formula>
    </cfRule>
    <cfRule type="expression" dxfId="641" priority="795">
      <formula>AND(H191&gt;0,I191&gt;0)</formula>
    </cfRule>
  </conditionalFormatting>
  <conditionalFormatting sqref="H193">
    <cfRule type="expression" dxfId="640" priority="794">
      <formula>AND(H193&gt;0,I193&gt;0)</formula>
    </cfRule>
  </conditionalFormatting>
  <conditionalFormatting sqref="I193">
    <cfRule type="expression" dxfId="639" priority="793">
      <formula>AND(H193&gt;0,I193&gt;0)</formula>
    </cfRule>
  </conditionalFormatting>
  <conditionalFormatting sqref="H195:H197">
    <cfRule type="expression" dxfId="638" priority="792">
      <formula>AND(H195&gt;0,I195&gt;0)</formula>
    </cfRule>
  </conditionalFormatting>
  <conditionalFormatting sqref="I195:I197">
    <cfRule type="expression" dxfId="637" priority="791">
      <formula>AND(H195&gt;0,I195&gt;0)</formula>
    </cfRule>
  </conditionalFormatting>
  <conditionalFormatting sqref="H199:H200">
    <cfRule type="expression" dxfId="636" priority="788">
      <formula>AND(H199&gt;0,I199&gt;0)</formula>
    </cfRule>
  </conditionalFormatting>
  <conditionalFormatting sqref="I199:I200">
    <cfRule type="expression" dxfId="635" priority="787">
      <formula>AND(H199&gt;0,I199&gt;0)</formula>
    </cfRule>
  </conditionalFormatting>
  <conditionalFormatting sqref="J200">
    <cfRule type="expression" dxfId="634" priority="786">
      <formula>AND(J199&lt;&gt;"",J200="")</formula>
    </cfRule>
  </conditionalFormatting>
  <conditionalFormatting sqref="J202">
    <cfRule type="expression" dxfId="633" priority="785">
      <formula>AND(J201&lt;&gt;"",J202="")</formula>
    </cfRule>
  </conditionalFormatting>
  <conditionalFormatting sqref="H201:H203">
    <cfRule type="expression" dxfId="632" priority="784">
      <formula>AND(H201&lt;&gt;"",I201&lt;&gt;"")</formula>
    </cfRule>
  </conditionalFormatting>
  <conditionalFormatting sqref="I201:I203">
    <cfRule type="expression" dxfId="631" priority="783">
      <formula>AND(H201&lt;&gt;"",I201&lt;&gt;"")</formula>
    </cfRule>
  </conditionalFormatting>
  <conditionalFormatting sqref="J204">
    <cfRule type="expression" dxfId="630" priority="779">
      <formula>AND(J203&lt;&gt;"",J204="")</formula>
    </cfRule>
  </conditionalFormatting>
  <conditionalFormatting sqref="H205">
    <cfRule type="expression" dxfId="629" priority="778">
      <formula>AND(H205&gt;0,I205&gt;0)</formula>
    </cfRule>
  </conditionalFormatting>
  <conditionalFormatting sqref="I205">
    <cfRule type="expression" dxfId="628" priority="777">
      <formula>AND(H205&gt;0,I205&gt;0)</formula>
    </cfRule>
  </conditionalFormatting>
  <conditionalFormatting sqref="J211">
    <cfRule type="expression" dxfId="627" priority="776">
      <formula>AND(J210&lt;&gt;"",J211="")</formula>
    </cfRule>
  </conditionalFormatting>
  <conditionalFormatting sqref="J213">
    <cfRule type="expression" dxfId="626" priority="775">
      <formula>AND(J212&lt;&gt;"",J213="")</formula>
    </cfRule>
  </conditionalFormatting>
  <conditionalFormatting sqref="J218">
    <cfRule type="expression" dxfId="625" priority="773">
      <formula>AND(J217&lt;&gt;"",J218="")</formula>
    </cfRule>
  </conditionalFormatting>
  <conditionalFormatting sqref="J221">
    <cfRule type="expression" dxfId="624" priority="772">
      <formula>AND(J220&lt;&gt;"",J221="")</formula>
    </cfRule>
  </conditionalFormatting>
  <conditionalFormatting sqref="H210:H211">
    <cfRule type="expression" dxfId="623" priority="771">
      <formula>AND(H210&gt;0,I210&gt;0)</formula>
    </cfRule>
  </conditionalFormatting>
  <conditionalFormatting sqref="I210:I211">
    <cfRule type="expression" dxfId="622" priority="768">
      <formula>AND(H210&gt;0,I210&gt;0)</formula>
    </cfRule>
  </conditionalFormatting>
  <conditionalFormatting sqref="I212:I214">
    <cfRule type="expression" dxfId="621" priority="767">
      <formula>AND(H212&gt;0,I212&gt;0)</formula>
    </cfRule>
  </conditionalFormatting>
  <conditionalFormatting sqref="I218:I221">
    <cfRule type="expression" dxfId="620" priority="766">
      <formula>AND(H218&gt;0,I218&gt;0)</formula>
    </cfRule>
  </conditionalFormatting>
  <conditionalFormatting sqref="H212:H214">
    <cfRule type="expression" dxfId="619" priority="765">
      <formula>AND(H212&gt;0,I212&gt;0)</formula>
    </cfRule>
  </conditionalFormatting>
  <conditionalFormatting sqref="H218:H221">
    <cfRule type="expression" dxfId="618" priority="764">
      <formula>AND(H218&gt;0,I218&gt;0)</formula>
    </cfRule>
  </conditionalFormatting>
  <conditionalFormatting sqref="J219">
    <cfRule type="expression" dxfId="617" priority="763">
      <formula>AND(J218&lt;&gt;"",J219="")</formula>
    </cfRule>
  </conditionalFormatting>
  <conditionalFormatting sqref="J216:J217">
    <cfRule type="expression" dxfId="616" priority="762">
      <formula>AND(J215&lt;&gt;"",J216="")</formula>
    </cfRule>
  </conditionalFormatting>
  <conditionalFormatting sqref="H216:H217">
    <cfRule type="expression" dxfId="615" priority="761">
      <formula>AND(H216&gt;0,I216&gt;0)</formula>
    </cfRule>
  </conditionalFormatting>
  <conditionalFormatting sqref="I216:I217">
    <cfRule type="expression" dxfId="614" priority="760">
      <formula>AND(H216&gt;0,I216&gt;0)</formula>
    </cfRule>
  </conditionalFormatting>
  <conditionalFormatting sqref="H223:H225">
    <cfRule type="expression" dxfId="613" priority="759">
      <formula>AND(H223&gt;0,I223&gt;0)</formula>
    </cfRule>
  </conditionalFormatting>
  <conditionalFormatting sqref="I223:I225">
    <cfRule type="expression" dxfId="612" priority="758">
      <formula>AND(H223&gt;0,I223&gt;0)</formula>
    </cfRule>
  </conditionalFormatting>
  <conditionalFormatting sqref="H231:H232">
    <cfRule type="expression" dxfId="611" priority="755">
      <formula>AND(H231&gt;0,I231&gt;0)</formula>
    </cfRule>
  </conditionalFormatting>
  <conditionalFormatting sqref="I231:I232">
    <cfRule type="expression" dxfId="610" priority="754">
      <formula>AND(H231&gt;0,I231&gt;0)</formula>
    </cfRule>
  </conditionalFormatting>
  <conditionalFormatting sqref="H236:H238">
    <cfRule type="expression" dxfId="609" priority="751">
      <formula>AND(H236&gt;0,I236&gt;0)</formula>
    </cfRule>
  </conditionalFormatting>
  <conditionalFormatting sqref="I236:I238">
    <cfRule type="expression" dxfId="608" priority="750">
      <formula>AND(H236&gt;0,I236&gt;0)</formula>
    </cfRule>
  </conditionalFormatting>
  <conditionalFormatting sqref="H239">
    <cfRule type="expression" dxfId="607" priority="749">
      <formula>AND(H239&gt;0,I239&gt;0)</formula>
    </cfRule>
  </conditionalFormatting>
  <conditionalFormatting sqref="H241:H242">
    <cfRule type="expression" dxfId="606" priority="748">
      <formula>AND(H241&gt;0,I241&gt;0)</formula>
    </cfRule>
  </conditionalFormatting>
  <conditionalFormatting sqref="I239">
    <cfRule type="expression" dxfId="605" priority="747">
      <formula>AND(H239&gt;0,I239&gt;0)</formula>
    </cfRule>
  </conditionalFormatting>
  <conditionalFormatting sqref="I241:I242">
    <cfRule type="expression" dxfId="604" priority="746">
      <formula>AND(H241&gt;0,I241&gt;0)</formula>
    </cfRule>
  </conditionalFormatting>
  <conditionalFormatting sqref="J215">
    <cfRule type="expression" dxfId="603" priority="744">
      <formula>J215&lt;&gt;"Explain points at final"</formula>
    </cfRule>
  </conditionalFormatting>
  <conditionalFormatting sqref="H244:I245">
    <cfRule type="expression" dxfId="602" priority="741">
      <formula>SUM($H$244:$I$245)&gt;12</formula>
    </cfRule>
  </conditionalFormatting>
  <conditionalFormatting sqref="J247">
    <cfRule type="expression" dxfId="601" priority="740">
      <formula>AND(J246&lt;&gt;"",J247="")</formula>
    </cfRule>
  </conditionalFormatting>
  <conditionalFormatting sqref="H246:I247">
    <cfRule type="expression" dxfId="600" priority="739">
      <formula>SUM($H$246:$I$247)&gt;9</formula>
    </cfRule>
  </conditionalFormatting>
  <conditionalFormatting sqref="H248">
    <cfRule type="expression" dxfId="599" priority="738">
      <formula>AND(H248&gt;0,I248&gt;0)</formula>
    </cfRule>
  </conditionalFormatting>
  <conditionalFormatting sqref="I248">
    <cfRule type="expression" dxfId="598" priority="737">
      <formula>AND(H248&gt;0,I248&gt;0)</formula>
    </cfRule>
  </conditionalFormatting>
  <conditionalFormatting sqref="H251:H253">
    <cfRule type="expression" dxfId="597" priority="734">
      <formula>AND(H251&gt;0,I251&gt;0)</formula>
    </cfRule>
  </conditionalFormatting>
  <conditionalFormatting sqref="I251:I253">
    <cfRule type="expression" dxfId="596" priority="733">
      <formula>AND(H251&gt;0,I251&gt;0)</formula>
    </cfRule>
  </conditionalFormatting>
  <conditionalFormatting sqref="H255:H257">
    <cfRule type="expression" dxfId="595" priority="732">
      <formula>AND(H255&gt;0,I255&gt;0)</formula>
    </cfRule>
  </conditionalFormatting>
  <conditionalFormatting sqref="I255:I257">
    <cfRule type="expression" dxfId="594" priority="731">
      <formula>AND(H255&gt;0,I255&gt;0)</formula>
    </cfRule>
  </conditionalFormatting>
  <conditionalFormatting sqref="H259:H260">
    <cfRule type="expression" dxfId="593" priority="730">
      <formula>AND(H259&gt;0,I259&gt;0)</formula>
    </cfRule>
  </conditionalFormatting>
  <conditionalFormatting sqref="I259:I260">
    <cfRule type="expression" dxfId="592" priority="729">
      <formula>AND(H259&gt;0,I259&gt;0)</formula>
    </cfRule>
  </conditionalFormatting>
  <conditionalFormatting sqref="H262:H265">
    <cfRule type="expression" dxfId="591" priority="728">
      <formula>AND(H262&gt;0,I262&gt;0)</formula>
    </cfRule>
  </conditionalFormatting>
  <conditionalFormatting sqref="I262:I265">
    <cfRule type="expression" dxfId="590" priority="727">
      <formula>AND(H262&gt;0,I262&gt;0)</formula>
    </cfRule>
  </conditionalFormatting>
  <conditionalFormatting sqref="H267:H270">
    <cfRule type="expression" dxfId="589" priority="726">
      <formula>AND(H267&gt;0,I267&gt;0)</formula>
    </cfRule>
  </conditionalFormatting>
  <conditionalFormatting sqref="I267:I270">
    <cfRule type="expression" dxfId="588" priority="725">
      <formula>AND(H267&gt;0,I267&gt;0)</formula>
    </cfRule>
  </conditionalFormatting>
  <conditionalFormatting sqref="H272:H275">
    <cfRule type="expression" dxfId="587" priority="724">
      <formula>AND(H272&gt;0,I272&gt;0)</formula>
    </cfRule>
  </conditionalFormatting>
  <conditionalFormatting sqref="I272:I275">
    <cfRule type="expression" dxfId="586" priority="723">
      <formula>AND(H272&gt;0,I272&gt;0)</formula>
    </cfRule>
  </conditionalFormatting>
  <conditionalFormatting sqref="J273">
    <cfRule type="expression" dxfId="585" priority="722">
      <formula>AND(J272&lt;&gt;"",J273="")</formula>
    </cfRule>
  </conditionalFormatting>
  <conditionalFormatting sqref="J275">
    <cfRule type="expression" dxfId="584" priority="721">
      <formula>AND(J274&lt;&gt;"",J275="")</formula>
    </cfRule>
  </conditionalFormatting>
  <conditionalFormatting sqref="H277:H279">
    <cfRule type="expression" dxfId="583" priority="720">
      <formula>AND(H277&gt;0,I277&gt;0)</formula>
    </cfRule>
  </conditionalFormatting>
  <conditionalFormatting sqref="I277:I279">
    <cfRule type="expression" dxfId="582" priority="719">
      <formula>AND(H277&gt;0,I277&gt;0)</formula>
    </cfRule>
  </conditionalFormatting>
  <conditionalFormatting sqref="J278:J279">
    <cfRule type="expression" dxfId="581" priority="718">
      <formula>AND(J277&lt;&gt;"",J278="")</formula>
    </cfRule>
  </conditionalFormatting>
  <conditionalFormatting sqref="H281:H283">
    <cfRule type="expression" dxfId="580" priority="717">
      <formula>AND(H281&gt;0,I281&gt;0)</formula>
    </cfRule>
  </conditionalFormatting>
  <conditionalFormatting sqref="I281:I283">
    <cfRule type="expression" dxfId="579" priority="716">
      <formula>AND(H281&gt;0,I281&gt;0)</formula>
    </cfRule>
  </conditionalFormatting>
  <conditionalFormatting sqref="J295">
    <cfRule type="expression" dxfId="578" priority="706">
      <formula>AND(J294&lt;&gt;"",J295="")</formula>
    </cfRule>
  </conditionalFormatting>
  <conditionalFormatting sqref="J293">
    <cfRule type="expression" dxfId="577" priority="704">
      <formula>AND(J292&lt;&gt;"",J293="")</formula>
    </cfRule>
  </conditionalFormatting>
  <conditionalFormatting sqref="J298:J300">
    <cfRule type="expression" dxfId="576" priority="703">
      <formula>AND(J297&lt;&gt;"",J298="")</formula>
    </cfRule>
  </conditionalFormatting>
  <conditionalFormatting sqref="J302">
    <cfRule type="expression" dxfId="575" priority="702">
      <formula>AND(J301&lt;&gt;"",J302="")</formula>
    </cfRule>
  </conditionalFormatting>
  <conditionalFormatting sqref="J308:J311">
    <cfRule type="expression" dxfId="574" priority="690">
      <formula>AND(J307&lt;&gt;"",J308="")</formula>
    </cfRule>
  </conditionalFormatting>
  <conditionalFormatting sqref="H307:H311">
    <cfRule type="expression" dxfId="573" priority="689">
      <formula>SUM(H307,I307)&gt;10</formula>
    </cfRule>
  </conditionalFormatting>
  <conditionalFormatting sqref="I307:I311">
    <cfRule type="expression" dxfId="572" priority="688">
      <formula>SUM(H307,I307)&gt;10</formula>
    </cfRule>
  </conditionalFormatting>
  <conditionalFormatting sqref="J312">
    <cfRule type="expression" dxfId="571" priority="687">
      <formula>AND(J311&lt;&gt;"",J312="")</formula>
    </cfRule>
  </conditionalFormatting>
  <conditionalFormatting sqref="H313:H314 H316 H318:H319 I313:I319">
    <cfRule type="expression" dxfId="570" priority="685">
      <formula>AND(H313&gt;0,SUM($H$313:$I$319)&gt;9)</formula>
    </cfRule>
  </conditionalFormatting>
  <conditionalFormatting sqref="H315 H317">
    <cfRule type="expression" dxfId="569" priority="678">
      <formula>AND(H315&gt;0,SUM($H$313:$I$319)&gt;9)</formula>
    </cfRule>
  </conditionalFormatting>
  <conditionalFormatting sqref="J325">
    <cfRule type="expression" dxfId="568" priority="675">
      <formula>AND(J324&lt;&gt;"",J325="")</formula>
    </cfRule>
  </conditionalFormatting>
  <conditionalFormatting sqref="H321">
    <cfRule type="expression" dxfId="567" priority="667">
      <formula>AND($H$321&gt;0,$I$321&gt;0)</formula>
    </cfRule>
    <cfRule type="expression" dxfId="566" priority="674">
      <formula>AND(H321&gt;0,SUM($H$321:$I$325)&gt;9)</formula>
    </cfRule>
  </conditionalFormatting>
  <conditionalFormatting sqref="H322:I323">
    <cfRule type="expression" dxfId="565" priority="673">
      <formula>AND(H322&gt;0,SUM($H$321:$I$325)&gt;10)</formula>
    </cfRule>
  </conditionalFormatting>
  <conditionalFormatting sqref="I321">
    <cfRule type="expression" dxfId="564" priority="665">
      <formula>AND(H321&gt;0,I321&gt;0)</formula>
    </cfRule>
    <cfRule type="expression" dxfId="563" priority="672">
      <formula>AND(I321&gt;0,SUM($H$321:$I$325)&gt;10)</formula>
    </cfRule>
  </conditionalFormatting>
  <conditionalFormatting sqref="H324:H325">
    <cfRule type="expression" dxfId="562" priority="661">
      <formula>AND(H324&gt;0,I324&gt;0)</formula>
    </cfRule>
    <cfRule type="expression" dxfId="561" priority="670">
      <formula>AND($H$324&gt;0,SUM($H$321:$I$325)&gt;10)</formula>
    </cfRule>
  </conditionalFormatting>
  <conditionalFormatting sqref="I324:I325">
    <cfRule type="expression" dxfId="560" priority="659">
      <formula>AND(H324&gt;0,I324&gt;0)</formula>
    </cfRule>
    <cfRule type="expression" dxfId="559" priority="668">
      <formula>AND($I$324&gt;0,SUM($H$321:$I$325)&gt;9)</formula>
    </cfRule>
  </conditionalFormatting>
  <conditionalFormatting sqref="H322">
    <cfRule type="expression" dxfId="558" priority="666">
      <formula>AND(H322&gt;0,I322&gt;0)</formula>
    </cfRule>
  </conditionalFormatting>
  <conditionalFormatting sqref="I322">
    <cfRule type="expression" dxfId="557" priority="664">
      <formula>AND(H322&gt;0,I322&gt;0)</formula>
    </cfRule>
  </conditionalFormatting>
  <conditionalFormatting sqref="H323">
    <cfRule type="expression" dxfId="556" priority="663">
      <formula>AND(H323&gt;0,I323&gt;0)</formula>
    </cfRule>
  </conditionalFormatting>
  <conditionalFormatting sqref="I323">
    <cfRule type="expression" dxfId="555" priority="662">
      <formula>AND(H323&gt;0,I323&gt;0)</formula>
    </cfRule>
  </conditionalFormatting>
  <conditionalFormatting sqref="J146">
    <cfRule type="expression" dxfId="554" priority="658">
      <formula>AND(J145&lt;&gt;"",J146="")</formula>
    </cfRule>
  </conditionalFormatting>
  <conditionalFormatting sqref="J148">
    <cfRule type="expression" dxfId="553" priority="657">
      <formula>AND(J147&lt;&gt;"",J148="")</formula>
    </cfRule>
  </conditionalFormatting>
  <conditionalFormatting sqref="J150">
    <cfRule type="expression" dxfId="552" priority="656">
      <formula>AND(J149&lt;&gt;"",J150="")</formula>
    </cfRule>
  </conditionalFormatting>
  <conditionalFormatting sqref="J178">
    <cfRule type="expression" dxfId="551" priority="655">
      <formula>AND(J177&lt;&gt;"",J178="")</formula>
    </cfRule>
  </conditionalFormatting>
  <conditionalFormatting sqref="J183">
    <cfRule type="expression" dxfId="550" priority="654">
      <formula>AND(J182&lt;&gt;"",J183="")</formula>
    </cfRule>
  </conditionalFormatting>
  <conditionalFormatting sqref="J189">
    <cfRule type="expression" dxfId="549" priority="653">
      <formula>IF(J188&lt;&gt;"",J189="")</formula>
    </cfRule>
  </conditionalFormatting>
  <conditionalFormatting sqref="H201:H202">
    <cfRule type="expression" dxfId="548" priority="652">
      <formula>$H$201=""</formula>
    </cfRule>
  </conditionalFormatting>
  <conditionalFormatting sqref="J207">
    <cfRule type="expression" dxfId="547" priority="651">
      <formula>AND(J206&lt;&gt;"",J207="")</formula>
    </cfRule>
  </conditionalFormatting>
  <conditionalFormatting sqref="J209">
    <cfRule type="expression" dxfId="546" priority="649">
      <formula>AND(J208&lt;&gt;"",J209="")</formula>
    </cfRule>
  </conditionalFormatting>
  <conditionalFormatting sqref="H226">
    <cfRule type="expression" dxfId="545" priority="647">
      <formula>AND(H226="",ReportType="Rough")</formula>
    </cfRule>
  </conditionalFormatting>
  <conditionalFormatting sqref="H228:H229">
    <cfRule type="expression" dxfId="544" priority="644">
      <formula>AND(H228="",I228="")</formula>
    </cfRule>
  </conditionalFormatting>
  <conditionalFormatting sqref="J229">
    <cfRule type="expression" dxfId="543" priority="642">
      <formula>AND(J228&lt;&gt;"",J229="")</formula>
    </cfRule>
  </conditionalFormatting>
  <conditionalFormatting sqref="I240">
    <cfRule type="expression" dxfId="542" priority="639">
      <formula>AND(ReportType="Final",$I$240="")</formula>
    </cfRule>
  </conditionalFormatting>
  <conditionalFormatting sqref="H227">
    <cfRule type="expression" dxfId="541" priority="156">
      <formula>AND($H$227&gt;0,SUM($H$165:$I$165)&gt;4)</formula>
    </cfRule>
    <cfRule type="expression" dxfId="540" priority="638">
      <formula>AND(H227&gt;0,I227&gt;0)</formula>
    </cfRule>
  </conditionalFormatting>
  <conditionalFormatting sqref="I227">
    <cfRule type="expression" dxfId="539" priority="155">
      <formula>AND($I$227&gt;0,SUM($H$165:$I$167)&gt;4)</formula>
    </cfRule>
    <cfRule type="expression" dxfId="538" priority="637">
      <formula>AND(H227&gt;0,I227&gt;0)</formula>
    </cfRule>
  </conditionalFormatting>
  <conditionalFormatting sqref="J337">
    <cfRule type="expression" dxfId="537" priority="632">
      <formula>AND(J336&lt;&gt;"",J337="")</formula>
    </cfRule>
  </conditionalFormatting>
  <conditionalFormatting sqref="E143:I143">
    <cfRule type="expression" dxfId="536" priority="630">
      <formula>E143=""</formula>
    </cfRule>
  </conditionalFormatting>
  <conditionalFormatting sqref="J286:J287">
    <cfRule type="expression" dxfId="535" priority="627">
      <formula>AND(J285&lt;&gt;"",J286="")</formula>
    </cfRule>
  </conditionalFormatting>
  <conditionalFormatting sqref="H285:H287">
    <cfRule type="expression" dxfId="534" priority="626">
      <formula>SUM(H285,I285)&gt;9</formula>
    </cfRule>
  </conditionalFormatting>
  <conditionalFormatting sqref="I285:I287">
    <cfRule type="expression" dxfId="533" priority="625">
      <formula>SUM(H285,I285)&gt;9</formula>
    </cfRule>
  </conditionalFormatting>
  <conditionalFormatting sqref="H289:H290">
    <cfRule type="expression" dxfId="532" priority="624">
      <formula>SUM(H289,I289)&gt;10</formula>
    </cfRule>
  </conditionalFormatting>
  <conditionalFormatting sqref="I289:I290">
    <cfRule type="expression" dxfId="531" priority="623">
      <formula>SUM(H289,I289)&gt;10</formula>
    </cfRule>
  </conditionalFormatting>
  <conditionalFormatting sqref="H354">
    <cfRule type="expression" dxfId="530" priority="617">
      <formula>AND(H331&lt;&gt;"Alternative Bronze",ReportType&lt;&gt;"Final",H354="")</formula>
    </cfRule>
  </conditionalFormatting>
  <conditionalFormatting sqref="J351">
    <cfRule type="expression" dxfId="529" priority="585">
      <formula>AND(J382&gt;0,J351&gt;0,J351&lt;&gt;J382)</formula>
    </cfRule>
    <cfRule type="expression" dxfId="528" priority="615">
      <formula>J351&gt;7.49</formula>
    </cfRule>
    <cfRule type="expression" dxfId="527" priority="616">
      <formula>AND(J350&lt;&gt;"",J351="")</formula>
    </cfRule>
  </conditionalFormatting>
  <conditionalFormatting sqref="I354">
    <cfRule type="expression" priority="106" stopIfTrue="1">
      <formula>OR(I354="",ReportType="Rough",$H$331="Alternative Bronze")</formula>
    </cfRule>
    <cfRule type="expression" dxfId="526" priority="612">
      <formula>AND(ReportType="Final",H354="",I354="")</formula>
    </cfRule>
  </conditionalFormatting>
  <conditionalFormatting sqref="I355">
    <cfRule type="expression" dxfId="525" priority="105" stopIfTrue="1">
      <formula>OR(H355&lt;&gt;"",ReportType="Rough",$H$331="Alternative Bronze")</formula>
    </cfRule>
    <cfRule type="expression" dxfId="524" priority="610">
      <formula>AND(ReportType="Final",H355="",I355="")</formula>
    </cfRule>
  </conditionalFormatting>
  <conditionalFormatting sqref="I356">
    <cfRule type="expression" dxfId="523" priority="104" stopIfTrue="1">
      <formula>OR(H356&lt;&gt;"",ReportType="Rough",$H$331="Alternative Bronze")</formula>
    </cfRule>
    <cfRule type="expression" dxfId="522" priority="609">
      <formula>AND(ReportType="Final",I356="")</formula>
    </cfRule>
  </conditionalFormatting>
  <conditionalFormatting sqref="I357">
    <cfRule type="expression" dxfId="521" priority="103" stopIfTrue="1">
      <formula>OR(H357&lt;&gt;"",ReportType="Rough",$H$331="Alternative Bronze")</formula>
    </cfRule>
    <cfRule type="expression" dxfId="520" priority="607">
      <formula>AND(ReportType="Final",H357="",I357="")</formula>
    </cfRule>
  </conditionalFormatting>
  <conditionalFormatting sqref="F360">
    <cfRule type="expression" dxfId="519" priority="606">
      <formula>$H$331="Performance Path"</formula>
    </cfRule>
  </conditionalFormatting>
  <conditionalFormatting sqref="J363">
    <cfRule type="expression" dxfId="518" priority="603">
      <formula>AND($J$363&lt;&gt;"",$J$363&lt;15)</formula>
    </cfRule>
    <cfRule type="expression" dxfId="517" priority="604">
      <formula>AND(ReportType="Final",$J$362&lt;&gt;"",$J$363="")</formula>
    </cfRule>
  </conditionalFormatting>
  <conditionalFormatting sqref="J370:J372">
    <cfRule type="expression" dxfId="516" priority="599">
      <formula>AND(J369&lt;&gt;"",J370="")</formula>
    </cfRule>
  </conditionalFormatting>
  <conditionalFormatting sqref="J375">
    <cfRule type="expression" dxfId="515" priority="597">
      <formula>AND(J374&lt;&gt;"",J375="")</formula>
    </cfRule>
  </conditionalFormatting>
  <conditionalFormatting sqref="J378">
    <cfRule type="expression" dxfId="514" priority="596">
      <formula>AND(J377&lt;&gt;"",J378="")</formula>
    </cfRule>
  </conditionalFormatting>
  <conditionalFormatting sqref="H377:H378">
    <cfRule type="expression" dxfId="513" priority="92">
      <formula>AND(H362&gt;0,H377&gt;0)</formula>
    </cfRule>
    <cfRule type="expression" dxfId="512" priority="595">
      <formula>AND(H377&gt;0,I377&gt;0)</formula>
    </cfRule>
  </conditionalFormatting>
  <conditionalFormatting sqref="I377:I378">
    <cfRule type="expression" dxfId="511" priority="594">
      <formula>AND(H377&gt;0,I377&gt;0)</formula>
    </cfRule>
  </conditionalFormatting>
  <conditionalFormatting sqref="H379">
    <cfRule type="expression" dxfId="510" priority="91">
      <formula>AND(H362&gt;0,H379&gt;0)</formula>
    </cfRule>
    <cfRule type="expression" dxfId="509" priority="593">
      <formula>AND(H379&gt;0,I379&gt;0)</formula>
    </cfRule>
  </conditionalFormatting>
  <conditionalFormatting sqref="I379">
    <cfRule type="expression" dxfId="508" priority="592">
      <formula>AND(H379&gt;0,I379&gt;0)</formula>
    </cfRule>
  </conditionalFormatting>
  <conditionalFormatting sqref="J382">
    <cfRule type="expression" dxfId="507" priority="85">
      <formula>AND($H$331="Prescriptive Path")</formula>
    </cfRule>
    <cfRule type="expression" dxfId="506" priority="586">
      <formula>J382&gt;7.49</formula>
    </cfRule>
    <cfRule type="expression" dxfId="505" priority="587">
      <formula>AND(J382&gt;0,J351&gt;0,J351&lt;&gt;J382)</formula>
    </cfRule>
  </conditionalFormatting>
  <conditionalFormatting sqref="I381:I385">
    <cfRule type="expression" dxfId="504" priority="90">
      <formula>AND(H362&gt;0,I381&gt;0)</formula>
    </cfRule>
    <cfRule type="expression" dxfId="503" priority="144">
      <formula>AND($I$332&gt;0,$I$381&gt;0)</formula>
    </cfRule>
    <cfRule type="expression" dxfId="502" priority="588">
      <formula>J382&gt;7.49</formula>
    </cfRule>
  </conditionalFormatting>
  <conditionalFormatting sqref="J387">
    <cfRule type="expression" dxfId="501" priority="575">
      <formula>AND(J387&lt;&gt;"",J388="")</formula>
    </cfRule>
  </conditionalFormatting>
  <conditionalFormatting sqref="J388">
    <cfRule type="expression" dxfId="500" priority="574">
      <formula>AND(J387&lt;&gt;"",J388="")</formula>
    </cfRule>
  </conditionalFormatting>
  <conditionalFormatting sqref="J389">
    <cfRule type="expression" dxfId="499" priority="573">
      <formula>AND(J389&lt;&gt;"",J390="")</formula>
    </cfRule>
  </conditionalFormatting>
  <conditionalFormatting sqref="J390">
    <cfRule type="expression" dxfId="498" priority="572">
      <formula>AND(J389&lt;&gt;"",J390="")</formula>
    </cfRule>
  </conditionalFormatting>
  <conditionalFormatting sqref="J391">
    <cfRule type="expression" dxfId="497" priority="569">
      <formula>AND(J391&lt;&gt;"",J392="")</formula>
    </cfRule>
  </conditionalFormatting>
  <conditionalFormatting sqref="J393">
    <cfRule type="expression" dxfId="496" priority="566">
      <formula>AND(J393&lt;&gt;"",J394="")</formula>
    </cfRule>
  </conditionalFormatting>
  <conditionalFormatting sqref="J392">
    <cfRule type="expression" dxfId="495" priority="563">
      <formula>AND(J391&lt;&gt;"",J392="")</formula>
    </cfRule>
  </conditionalFormatting>
  <conditionalFormatting sqref="J394">
    <cfRule type="expression" dxfId="494" priority="560">
      <formula>AND(J393&lt;&gt;"",J394="")</formula>
    </cfRule>
  </conditionalFormatting>
  <conditionalFormatting sqref="H387:I388">
    <cfRule type="expression" dxfId="493" priority="559">
      <formula>H387="Not Met"</formula>
    </cfRule>
  </conditionalFormatting>
  <conditionalFormatting sqref="H397">
    <cfRule type="expression" dxfId="492" priority="88">
      <formula>AND(H362&gt;0,H397&gt;0)</formula>
    </cfRule>
    <cfRule type="expression" dxfId="491" priority="558">
      <formula>AND(H397&gt;0,I397&gt;0)</formula>
    </cfRule>
  </conditionalFormatting>
  <conditionalFormatting sqref="I397">
    <cfRule type="expression" dxfId="490" priority="87">
      <formula>AND(H362&gt;0,I397&gt;0)</formula>
    </cfRule>
    <cfRule type="expression" dxfId="489" priority="132">
      <formula>AND($I$397&gt;0,$I$332&gt;0)</formula>
    </cfRule>
    <cfRule type="expression" dxfId="488" priority="557">
      <formula>AND(H397&gt;0,I397&gt;0)</formula>
    </cfRule>
  </conditionalFormatting>
  <conditionalFormatting sqref="H359:I359">
    <cfRule type="expression" dxfId="487" priority="551">
      <formula>$H$359&lt;&gt;""</formula>
    </cfRule>
  </conditionalFormatting>
  <conditionalFormatting sqref="I398:I402 I404:I407">
    <cfRule type="expression" dxfId="486" priority="550">
      <formula>AND($I$398&gt;0,$I$404&gt;0)</formula>
    </cfRule>
  </conditionalFormatting>
  <conditionalFormatting sqref="I398:I402">
    <cfRule type="expression" dxfId="485" priority="86">
      <formula>AND(H362&gt;0,I398&gt;0)</formula>
    </cfRule>
    <cfRule type="expression" dxfId="484" priority="143">
      <formula>AND(I332&gt;0,I398&gt;0)</formula>
    </cfRule>
    <cfRule type="expression" dxfId="483" priority="547">
      <formula>AND($I$398&gt;0,$I$414&gt;0)</formula>
    </cfRule>
    <cfRule type="expression" dxfId="482" priority="548">
      <formula>AND($I$398&gt;0,$I$414&gt;0)</formula>
    </cfRule>
  </conditionalFormatting>
  <conditionalFormatting sqref="I404:I407">
    <cfRule type="expression" dxfId="481" priority="82">
      <formula>AND(H362&gt;0,I404&gt;0)</formula>
    </cfRule>
    <cfRule type="expression" dxfId="480" priority="142">
      <formula>AND(I332&gt;0,I404&gt;0)</formula>
    </cfRule>
    <cfRule type="expression" dxfId="479" priority="545">
      <formula>AND($I$404&gt;0,$I$418&gt;0)</formula>
    </cfRule>
    <cfRule type="expression" dxfId="478" priority="546">
      <formula>AND($I$404&gt;0,$I$414&gt;0)</formula>
    </cfRule>
  </conditionalFormatting>
  <conditionalFormatting sqref="I409:I413">
    <cfRule type="expression" dxfId="477" priority="79">
      <formula>AND(H362&gt;0,I409&gt;0)</formula>
    </cfRule>
    <cfRule type="expression" dxfId="476" priority="141">
      <formula>AND(I332&gt;0,I409&gt;0)</formula>
    </cfRule>
    <cfRule type="expression" dxfId="475" priority="543">
      <formula>AND($I$409&gt;0,$I$418&gt;0)</formula>
    </cfRule>
    <cfRule type="expression" dxfId="474" priority="544">
      <formula>AND($I$409&gt;0,$I$414&gt;0)</formula>
    </cfRule>
  </conditionalFormatting>
  <conditionalFormatting sqref="I414:I416">
    <cfRule type="expression" dxfId="473" priority="77">
      <formula>AND(I414&gt;0,H362&gt;0)</formula>
    </cfRule>
    <cfRule type="expression" dxfId="472" priority="140">
      <formula>AND(I332&gt;0,I414&gt;0)</formula>
    </cfRule>
    <cfRule type="expression" dxfId="471" priority="539">
      <formula>AND($I$414&gt;0,$I$398&gt;0)</formula>
    </cfRule>
    <cfRule type="expression" dxfId="470" priority="540">
      <formula>AND($I$414&gt;0,$I$404&gt;0)</formula>
    </cfRule>
    <cfRule type="expression" dxfId="469" priority="541">
      <formula>AND($I$414&gt;0,$I$409&gt;0)</formula>
    </cfRule>
    <cfRule type="expression" dxfId="468" priority="542">
      <formula>AND($I$414&gt;0,$I$418&gt;0)</formula>
    </cfRule>
  </conditionalFormatting>
  <conditionalFormatting sqref="I418:I422">
    <cfRule type="expression" dxfId="467" priority="75">
      <formula>AND(I418&gt;0, H362&gt;0)</formula>
    </cfRule>
    <cfRule type="expression" dxfId="466" priority="139">
      <formula>AND(I332&gt;0,I418&gt;0)</formula>
    </cfRule>
    <cfRule type="expression" dxfId="465" priority="535">
      <formula>AND($I$418&gt;0,$I$398&gt;0)</formula>
    </cfRule>
    <cfRule type="expression" dxfId="464" priority="536">
      <formula>AND($I$418&gt;0,$I$404&gt;0)</formula>
    </cfRule>
    <cfRule type="expression" dxfId="463" priority="537">
      <formula>AND($I$418&gt;0,$I$409&gt;0)</formula>
    </cfRule>
    <cfRule type="expression" dxfId="462" priority="538">
      <formula>AND($I$418&gt;0,$I$414&gt;0)</formula>
    </cfRule>
  </conditionalFormatting>
  <conditionalFormatting sqref="I424">
    <cfRule type="expression" dxfId="461" priority="73">
      <formula>AND(I424&gt;0,H362&gt;0)</formula>
    </cfRule>
    <cfRule type="expression" dxfId="460" priority="130">
      <formula>AND(I424&gt;0,I332&gt;0)</formula>
    </cfRule>
    <cfRule type="expression" dxfId="459" priority="534">
      <formula>AND($I$424&gt;0,$I$424&lt;&gt;pts703.2.8)</formula>
    </cfRule>
  </conditionalFormatting>
  <conditionalFormatting sqref="I425">
    <cfRule type="expression" dxfId="458" priority="72">
      <formula>AND(I425&gt;0,H362&gt;0)</formula>
    </cfRule>
    <cfRule type="expression" dxfId="457" priority="129">
      <formula>AND(I425&gt;0,I332&gt;0)</formula>
    </cfRule>
    <cfRule type="expression" dxfId="456" priority="533">
      <formula>AND($I$425&gt;0,K3&lt;&gt;"Multi-Unit")</formula>
    </cfRule>
  </conditionalFormatting>
  <conditionalFormatting sqref="H427">
    <cfRule type="expression" dxfId="455" priority="70">
      <formula>AND(H427&gt;0,H362&gt;0)</formula>
    </cfRule>
    <cfRule type="expression" dxfId="454" priority="262">
      <formula>AND($H$427&gt;0,$H$428&gt;0,$H$429&gt;0)</formula>
    </cfRule>
    <cfRule type="expression" dxfId="453" priority="264">
      <formula>AND($H$427&gt;0,$H$428&gt;0,$H$343="Met",$H$345="Met")</formula>
    </cfRule>
    <cfRule type="expression" dxfId="452" priority="531">
      <formula>AND(H427&gt;0,I427&gt;0)</formula>
    </cfRule>
    <cfRule type="expression" dxfId="451" priority="532">
      <formula>AND($H$427&gt;0,$H$427&lt;&gt;pts703.3.1)</formula>
    </cfRule>
  </conditionalFormatting>
  <conditionalFormatting sqref="I427">
    <cfRule type="expression" dxfId="450" priority="71">
      <formula>AND(I427&gt;0,H362&gt;0)</formula>
    </cfRule>
    <cfRule type="expression" dxfId="449" priority="128">
      <formula>AND(I427&gt;0,I332&gt;0)</formula>
    </cfRule>
    <cfRule type="expression" dxfId="448" priority="259">
      <formula>AND($I$427&gt;0,$I$428&gt;0,$H$429&gt;0)</formula>
    </cfRule>
    <cfRule type="expression" dxfId="447" priority="529">
      <formula>AND(H427&gt;0,I427&gt;0)</formula>
    </cfRule>
    <cfRule type="expression" dxfId="446" priority="530">
      <formula>AND($I$427&gt;0,$I$427&lt;&gt;pts703.3.1)</formula>
    </cfRule>
  </conditionalFormatting>
  <conditionalFormatting sqref="H428">
    <cfRule type="expression" dxfId="445" priority="69">
      <formula>AND(H428&gt;0,H362&gt;0)</formula>
    </cfRule>
    <cfRule type="expression" dxfId="444" priority="260">
      <formula>AND($H$427&gt;0,$H$428&gt;0,$H$429&gt;0)</formula>
    </cfRule>
    <cfRule type="expression" dxfId="443" priority="263">
      <formula>AND($H$427&gt;0,$H$428&gt;0,$H$343="Met",$H$345="Met")</formula>
    </cfRule>
    <cfRule type="expression" dxfId="442" priority="525">
      <formula>AND(H428&gt;0,H428&lt;&gt;pts703.3.2)</formula>
    </cfRule>
    <cfRule type="expression" dxfId="441" priority="528">
      <formula>AND(H428&gt;0,I428&gt;0)</formula>
    </cfRule>
  </conditionalFormatting>
  <conditionalFormatting sqref="I428">
    <cfRule type="expression" dxfId="440" priority="68">
      <formula>AND(I428&gt;0,H362&gt;0)</formula>
    </cfRule>
    <cfRule type="expression" dxfId="439" priority="127">
      <formula>AND(I428&gt;0,I332&gt;0)</formula>
    </cfRule>
    <cfRule type="expression" dxfId="438" priority="258">
      <formula>AND($I$427&gt;0,$I$428&gt;0,$H$429&gt;0)</formula>
    </cfRule>
    <cfRule type="expression" dxfId="437" priority="464">
      <formula>AND(I428&gt;0,SUM(H489,I489)&gt;0)</formula>
    </cfRule>
    <cfRule type="expression" dxfId="436" priority="526">
      <formula>AND(I428&gt;0,I428&lt;&gt;pts703.3.2)</formula>
    </cfRule>
    <cfRule type="expression" dxfId="435" priority="527">
      <formula>AND(H428&gt;0,I428&gt;0)</formula>
    </cfRule>
  </conditionalFormatting>
  <conditionalFormatting sqref="H429">
    <cfRule type="expression" dxfId="434" priority="67">
      <formula>AND(H429&gt;0,H362&gt;0)</formula>
    </cfRule>
    <cfRule type="expression" dxfId="433" priority="261">
      <formula>AND($H$427&gt;0,$H$428&gt;0,$H$429&gt;0)</formula>
    </cfRule>
    <cfRule type="expression" dxfId="432" priority="523">
      <formula>AND(H429&gt;0,SUM(H427,I427)&gt;0,SUM(H428,I428)&gt;0)</formula>
    </cfRule>
    <cfRule type="expression" dxfId="431" priority="524">
      <formula>AND(H429&gt;0,H429&lt;&gt;pts703.3.3)</formula>
    </cfRule>
  </conditionalFormatting>
  <conditionalFormatting sqref="G427 J427">
    <cfRule type="expression" dxfId="430" priority="6845">
      <formula>AND($G$427&gt;0,$G$427&lt;&gt;$F$427)</formula>
    </cfRule>
    <cfRule type="expression" dxfId="429" priority="6846">
      <formula>AND($G$427&gt;0,$G$428&gt;0,SUM($G$431:$G$434)&gt;0)</formula>
    </cfRule>
    <cfRule type="expression" dxfId="428" priority="6847" stopIfTrue="1">
      <formula>AND($G$427&gt;0, OR(energypath="Alternative Bronze", energypath="Performance Path"))</formula>
    </cfRule>
  </conditionalFormatting>
  <conditionalFormatting sqref="G428 J428">
    <cfRule type="expression" dxfId="427" priority="7089">
      <formula>AND($G$428&gt;0,$G$428&lt;&gt;$F$428)</formula>
    </cfRule>
    <cfRule type="expression" dxfId="426" priority="7090">
      <formula>AND($G$427&gt;0,$G$428&gt;0,SUM($G$431:$G$434)&gt;0)</formula>
    </cfRule>
    <cfRule type="expression" dxfId="425" priority="7091" stopIfTrue="1">
      <formula>AND($G$428&gt;0, OR(energypath="Alternative Bronze", energypath="Performance Path"))</formula>
    </cfRule>
  </conditionalFormatting>
  <conditionalFormatting sqref="J440">
    <cfRule type="expression" dxfId="424" priority="62">
      <formula>H331="Prescriptive Path"</formula>
    </cfRule>
    <cfRule type="expression" dxfId="423" priority="522">
      <formula>AND($J$438&lt;&gt;"Heat Pump",$J$440&gt;1)</formula>
    </cfRule>
  </conditionalFormatting>
  <conditionalFormatting sqref="H442">
    <cfRule type="expression" dxfId="422" priority="60">
      <formula>AND(H362&gt;0,H442&gt;0)</formula>
    </cfRule>
    <cfRule type="expression" dxfId="421" priority="520">
      <formula>AND(H442&gt;0,H442&lt;&gt;pts703.4.2)</formula>
    </cfRule>
    <cfRule type="expression" dxfId="420" priority="521">
      <formula>AND(H442&gt;0,I442&gt;0)</formula>
    </cfRule>
  </conditionalFormatting>
  <conditionalFormatting sqref="I442">
    <cfRule type="expression" dxfId="419" priority="59">
      <formula>AND(H362&gt;0,I442&gt;0)</formula>
    </cfRule>
    <cfRule type="expression" dxfId="418" priority="126">
      <formula>AND(I442&gt;0,I332&gt;0)</formula>
    </cfRule>
    <cfRule type="expression" dxfId="417" priority="518">
      <formula>AND(H442&gt;0,I442&gt;0)</formula>
    </cfRule>
    <cfRule type="expression" dxfId="416" priority="519">
      <formula>AND(I442&gt;0,I442&lt;&gt;pts703.4.2)</formula>
    </cfRule>
  </conditionalFormatting>
  <conditionalFormatting sqref="H443">
    <cfRule type="expression" dxfId="415" priority="57">
      <formula>AND(H362&gt;0,H443&gt;0)</formula>
    </cfRule>
    <cfRule type="expression" dxfId="414" priority="189">
      <formula>AND($H$443&gt;0,BldgType&lt;&gt;"Multi-unit")</formula>
    </cfRule>
    <cfRule type="expression" dxfId="413" priority="517">
      <formula>AND(H443&gt;0,I443&gt;0)</formula>
    </cfRule>
  </conditionalFormatting>
  <conditionalFormatting sqref="I443">
    <cfRule type="expression" dxfId="412" priority="58">
      <formula>AND(H362&gt;0,I443&gt;0)</formula>
    </cfRule>
    <cfRule type="expression" dxfId="411" priority="125">
      <formula>AND(I443&gt;0,I332&gt;0)</formula>
    </cfRule>
    <cfRule type="expression" dxfId="410" priority="188">
      <formula>AND($I$443&gt;0,BldgType&lt;&gt;"Multi-unit")</formula>
    </cfRule>
    <cfRule type="expression" dxfId="409" priority="516">
      <formula>AND(H443&gt;0,I443&gt;0)</formula>
    </cfRule>
  </conditionalFormatting>
  <conditionalFormatting sqref="H444">
    <cfRule type="expression" dxfId="408" priority="56">
      <formula>AND(H362&gt;0,H444&gt;0)</formula>
    </cfRule>
    <cfRule type="expression" dxfId="407" priority="508">
      <formula>AND(AND(H444&gt;0,$J$399&lt;&gt;"Oil Boiler"),AND(H444&gt;0,$J$399&lt;&gt;"Gas Boiler"))</formula>
    </cfRule>
    <cfRule type="expression" dxfId="406" priority="513">
      <formula>AND(H444&gt;0,I444&gt;0)</formula>
    </cfRule>
  </conditionalFormatting>
  <conditionalFormatting sqref="I444">
    <cfRule type="expression" dxfId="405" priority="55">
      <formula>AND(H362&gt;0,I444&gt;0)</formula>
    </cfRule>
    <cfRule type="expression" dxfId="404" priority="124">
      <formula>AND(I444&gt;0,I332&gt;0)</formula>
    </cfRule>
    <cfRule type="expression" dxfId="403" priority="509">
      <formula>AND(AND(I444&gt;0,$J$399&lt;&gt;"Oil Boiler"),AND(I444&gt;0,$J$399&lt;&gt;"Gas Boiler"))</formula>
    </cfRule>
    <cfRule type="expression" dxfId="402" priority="512">
      <formula>AND(H444&gt;0,I444&gt;0)</formula>
    </cfRule>
  </conditionalFormatting>
  <conditionalFormatting sqref="I446:I450">
    <cfRule type="expression" dxfId="401" priority="53">
      <formula>AND(H362&gt;0,I446&gt;0)</formula>
    </cfRule>
    <cfRule type="expression" dxfId="400" priority="136">
      <formula>AND(I332&gt;0,I446&gt;0)</formula>
    </cfRule>
    <cfRule type="expression" dxfId="399" priority="507">
      <formula>AND(I446&gt;0,I437&gt;0)</formula>
    </cfRule>
  </conditionalFormatting>
  <conditionalFormatting sqref="I437:I441">
    <cfRule type="expression" dxfId="398" priority="61">
      <formula>AND(H362&gt;0,I437&gt;0)</formula>
    </cfRule>
    <cfRule type="expression" dxfId="397" priority="137">
      <formula>AND(I332&gt;0,I437&gt;0)</formula>
    </cfRule>
    <cfRule type="expression" dxfId="396" priority="505">
      <formula>AND(I437&gt;0,I446&gt;0)</formula>
    </cfRule>
  </conditionalFormatting>
  <conditionalFormatting sqref="I462">
    <cfRule type="expression" dxfId="395" priority="47">
      <formula>AND(H362&gt;0,I462&gt;0)</formula>
    </cfRule>
    <cfRule type="expression" dxfId="394" priority="123">
      <formula>AND(I462&gt;0,I332&gt;0)</formula>
    </cfRule>
    <cfRule type="expression" dxfId="393" priority="504">
      <formula>AND(I462&gt;0,I462&lt;&gt;pts703.5.3)</formula>
    </cfRule>
  </conditionalFormatting>
  <conditionalFormatting sqref="H467">
    <cfRule type="expression" dxfId="392" priority="42">
      <formula>AND(H362&gt;0,H467&gt;0)</formula>
    </cfRule>
    <cfRule type="expression" dxfId="391" priority="482">
      <formula>AND(H467&gt;0,SUM(H471,I471)&gt;0)</formula>
    </cfRule>
    <cfRule type="expression" dxfId="390" priority="501">
      <formula>AND(VCZ&lt;4,H467&gt;0)</formula>
    </cfRule>
    <cfRule type="expression" dxfId="389" priority="503">
      <formula>AND(H467&gt;0,I467&gt;0)</formula>
    </cfRule>
  </conditionalFormatting>
  <conditionalFormatting sqref="I467">
    <cfRule type="expression" dxfId="388" priority="43">
      <formula>AND(H362&gt;0,I467&gt;0)</formula>
    </cfRule>
    <cfRule type="expression" dxfId="387" priority="119">
      <formula>AND(I467&gt;0,I332&gt;0)</formula>
    </cfRule>
    <cfRule type="expression" dxfId="386" priority="481">
      <formula>AND(I467&gt;0,SUM(H471,I471)&gt;0)</formula>
    </cfRule>
    <cfRule type="expression" dxfId="385" priority="500">
      <formula>AND(VCZ&lt;4,I467&gt;0)</formula>
    </cfRule>
    <cfRule type="expression" dxfId="384" priority="502">
      <formula>AND(H467&gt;0,I467&gt;0)</formula>
    </cfRule>
  </conditionalFormatting>
  <conditionalFormatting sqref="H470">
    <cfRule type="expression" dxfId="383" priority="40">
      <formula>AND(H362&gt;0,H470&gt;0)</formula>
    </cfRule>
    <cfRule type="expression" dxfId="382" priority="489">
      <formula>AND(ReportType=Final,H470&gt;0,SUM($H$470:$I$475)&lt;3)</formula>
    </cfRule>
    <cfRule type="expression" dxfId="381" priority="490">
      <formula>AND(H470&gt;0,SUM($H$470:$I$475)&gt;4)</formula>
    </cfRule>
    <cfRule type="expression" dxfId="380" priority="499">
      <formula>AND(H470&gt;0,I470&gt;0)</formula>
    </cfRule>
  </conditionalFormatting>
  <conditionalFormatting sqref="H476">
    <cfRule type="expression" dxfId="379" priority="27">
      <formula>AND(H362&gt;0,H476&gt;0)</formula>
    </cfRule>
    <cfRule type="expression" dxfId="378" priority="479">
      <formula>AND(H476&gt;0,VCZ&gt;3,SUM($H$467:$I$467)=0)</formula>
    </cfRule>
    <cfRule type="expression" dxfId="377" priority="498">
      <formula>AND(H476&gt;0,I476&gt;0)</formula>
    </cfRule>
  </conditionalFormatting>
  <conditionalFormatting sqref="I470">
    <cfRule type="expression" dxfId="376" priority="38">
      <formula>AND(H362&gt;0,I470&gt;0)</formula>
    </cfRule>
    <cfRule type="expression" dxfId="375" priority="117">
      <formula>AND(I470&gt;0,I332&gt;0)</formula>
    </cfRule>
    <cfRule type="expression" dxfId="374" priority="494">
      <formula>AND(I470&gt;0,SUM($H$470:$I$475)&lt;3)</formula>
    </cfRule>
    <cfRule type="expression" dxfId="373" priority="495">
      <formula>AND(I470&gt;0,SUM($H$470:$I$475)&gt;4)</formula>
    </cfRule>
    <cfRule type="expression" dxfId="372" priority="496">
      <formula>AND(H470&gt;0,I470&gt;0)</formula>
    </cfRule>
  </conditionalFormatting>
  <conditionalFormatting sqref="I471:I475">
    <cfRule type="expression" dxfId="371" priority="491">
      <formula>AND(I471&gt;0,SUM($H$470:$I$475)&lt;3)</formula>
    </cfRule>
    <cfRule type="expression" dxfId="370" priority="492">
      <formula>AND(I471&gt;0,SUM($H$470:$I$475)&gt;4)</formula>
    </cfRule>
    <cfRule type="expression" dxfId="369" priority="493">
      <formula>AND(H471&gt;0,I471&gt;0)</formula>
    </cfRule>
  </conditionalFormatting>
  <conditionalFormatting sqref="H471:H475">
    <cfRule type="expression" dxfId="368" priority="486">
      <formula>AND(ReportType=Final,H471&gt;0,SUM($H$470:$I$475)&lt;3)</formula>
    </cfRule>
    <cfRule type="expression" dxfId="367" priority="487">
      <formula>AND(H471&gt;0,SUM($H$470:$I$475)&gt;4)</formula>
    </cfRule>
    <cfRule type="expression" dxfId="366" priority="488">
      <formula>AND(H471&gt;0,I471&gt;0)</formula>
    </cfRule>
  </conditionalFormatting>
  <conditionalFormatting sqref="H471">
    <cfRule type="expression" dxfId="365" priority="36">
      <formula>AND(H362&gt;0,H471&gt;0)</formula>
    </cfRule>
    <cfRule type="expression" dxfId="364" priority="484">
      <formula>AND(H471&gt;0,SUM($H$467:$I$467)&gt;0)</formula>
    </cfRule>
  </conditionalFormatting>
  <conditionalFormatting sqref="I471">
    <cfRule type="expression" dxfId="363" priority="37">
      <formula>AND(H362&gt;0,I471&gt;0)</formula>
    </cfRule>
    <cfRule type="expression" dxfId="362" priority="116">
      <formula>AND(I471&gt;0,I332&gt;0)</formula>
    </cfRule>
    <cfRule type="expression" dxfId="361" priority="483">
      <formula>AND(I471&gt;0,SUM(H467,I467)&gt;0)</formula>
    </cfRule>
  </conditionalFormatting>
  <conditionalFormatting sqref="I476">
    <cfRule type="expression" dxfId="360" priority="26">
      <formula>AND(H362&gt;0,I476&gt;0)</formula>
    </cfRule>
    <cfRule type="expression" dxfId="359" priority="97">
      <formula>AND($I476&gt;0,OR(ar701.1="Alternative Bronze",ar701.1="Performance Path"))</formula>
    </cfRule>
    <cfRule type="expression" dxfId="358" priority="111">
      <formula>AND(I476&gt;0,I332&gt;0)</formula>
    </cfRule>
    <cfRule type="expression" dxfId="357" priority="477">
      <formula>AND(I476&gt;0,VCZ&gt;3,SUM($H$467:$I$467)=0)</formula>
    </cfRule>
    <cfRule type="expression" dxfId="356" priority="480">
      <formula>AND(H476&gt;0,I476&gt;0)</formula>
    </cfRule>
  </conditionalFormatting>
  <conditionalFormatting sqref="H483">
    <cfRule type="expression" dxfId="355" priority="476">
      <formula>AND(H483&gt;0,I483&gt;0)</formula>
    </cfRule>
  </conditionalFormatting>
  <conditionalFormatting sqref="I483">
    <cfRule type="expression" dxfId="354" priority="475">
      <formula>AND(H483&gt;0,I483&gt;0)</formula>
    </cfRule>
  </conditionalFormatting>
  <conditionalFormatting sqref="H485">
    <cfRule type="expression" dxfId="353" priority="474">
      <formula>AND(H485&gt;0,I485&gt;0)</formula>
    </cfRule>
  </conditionalFormatting>
  <conditionalFormatting sqref="I485">
    <cfRule type="expression" dxfId="352" priority="473">
      <formula>AND(H485&gt;0,I485&gt;0)</formula>
    </cfRule>
  </conditionalFormatting>
  <conditionalFormatting sqref="H487:H489">
    <cfRule type="expression" dxfId="351" priority="472">
      <formula>AND(H487&gt;0,I487&gt;0)</formula>
    </cfRule>
  </conditionalFormatting>
  <conditionalFormatting sqref="I487:I489">
    <cfRule type="expression" dxfId="350" priority="471">
      <formula>AND(H487&gt;0,I487&gt;0)</formula>
    </cfRule>
  </conditionalFormatting>
  <conditionalFormatting sqref="H488">
    <cfRule type="expression" dxfId="349" priority="469">
      <formula>AND(H488&gt;0,SUM($H$427:$I$427)&gt;0)</formula>
    </cfRule>
  </conditionalFormatting>
  <conditionalFormatting sqref="H489">
    <cfRule type="expression" dxfId="348" priority="467">
      <formula>AND(H489&gt;0,SUM(H428,I428)&gt;0)</formula>
    </cfRule>
  </conditionalFormatting>
  <conditionalFormatting sqref="I489">
    <cfRule type="expression" dxfId="347" priority="466">
      <formula>AND(I489&gt;0,SUM(H428,I428)&gt;0)</formula>
    </cfRule>
  </conditionalFormatting>
  <conditionalFormatting sqref="J491">
    <cfRule type="expression" dxfId="346" priority="462">
      <formula>AND(J490&lt;&gt;"",J491="")</formula>
    </cfRule>
  </conditionalFormatting>
  <conditionalFormatting sqref="I491:I492">
    <cfRule type="expression" dxfId="345" priority="460">
      <formula>AND(I491&gt;0,AND(H374&lt;4,H369&lt;1),Vreport701.1="Prescriptive Path")</formula>
    </cfRule>
    <cfRule type="expression" dxfId="344" priority="461">
      <formula>AND(I491&gt;0,H491="")</formula>
    </cfRule>
  </conditionalFormatting>
  <conditionalFormatting sqref="J495">
    <cfRule type="expression" dxfId="343" priority="454">
      <formula>AND(J382&gt;0,J495&lt;&gt;J382)</formula>
    </cfRule>
    <cfRule type="expression" dxfId="342" priority="458">
      <formula>AND($J$494&lt;&gt;"",$J$495="")</formula>
    </cfRule>
  </conditionalFormatting>
  <conditionalFormatting sqref="J494">
    <cfRule type="expression" dxfId="341" priority="457">
      <formula>AND(J494&lt;&gt;"",J495="")</formula>
    </cfRule>
  </conditionalFormatting>
  <conditionalFormatting sqref="J499">
    <cfRule type="expression" dxfId="340" priority="456">
      <formula>AND(I499&lt;&gt;"",J500="")</formula>
    </cfRule>
  </conditionalFormatting>
  <conditionalFormatting sqref="J501">
    <cfRule type="expression" dxfId="339" priority="451">
      <formula>AND(I501&gt;0,J502="")</formula>
    </cfRule>
  </conditionalFormatting>
  <conditionalFormatting sqref="H512">
    <cfRule type="expression" dxfId="338" priority="450">
      <formula>AND(H512&gt;0,I512&gt;0)</formula>
    </cfRule>
  </conditionalFormatting>
  <conditionalFormatting sqref="I512">
    <cfRule type="expression" dxfId="337" priority="449">
      <formula>AND(H512&gt;0,I512&gt;0)</formula>
    </cfRule>
  </conditionalFormatting>
  <conditionalFormatting sqref="H529">
    <cfRule type="expression" dxfId="336" priority="448">
      <formula>AND(H529&gt;0,I529&gt;0)</formula>
    </cfRule>
  </conditionalFormatting>
  <conditionalFormatting sqref="I529">
    <cfRule type="expression" dxfId="335" priority="447">
      <formula>AND(H529&gt;0,I529&gt;0)</formula>
    </cfRule>
  </conditionalFormatting>
  <conditionalFormatting sqref="I535:I536">
    <cfRule type="expression" dxfId="334" priority="446">
      <formula>AND($I$535&gt;0,BldgType&lt;&gt;"Multi-unit")</formula>
    </cfRule>
  </conditionalFormatting>
  <conditionalFormatting sqref="I332">
    <cfRule type="expression" dxfId="333" priority="7196">
      <formula>AND(J335&gt;0,I332&lt;&gt;"Alternative Bronze")</formula>
    </cfRule>
  </conditionalFormatting>
  <conditionalFormatting sqref="J332">
    <cfRule type="expression" dxfId="332" priority="445">
      <formula>AND(J332&lt;&gt;"",J333="",ReportType="Final")</formula>
    </cfRule>
  </conditionalFormatting>
  <conditionalFormatting sqref="J333">
    <cfRule type="expression" dxfId="331" priority="444">
      <formula>AND(J333="",$H$331="Alternative Bronze",ReportType="Final")</formula>
    </cfRule>
  </conditionalFormatting>
  <conditionalFormatting sqref="H340 H344">
    <cfRule type="expression" dxfId="330" priority="438" stopIfTrue="1">
      <formula>$H$331="Alternative Bronze"</formula>
    </cfRule>
    <cfRule type="expression" dxfId="329" priority="443">
      <formula>H340=""</formula>
    </cfRule>
  </conditionalFormatting>
  <conditionalFormatting sqref="H350:H353">
    <cfRule type="expression" dxfId="328" priority="441">
      <formula>AND(H350="",H331&lt;&gt;"Alternative Bronze")</formula>
    </cfRule>
  </conditionalFormatting>
  <conditionalFormatting sqref="I350:I352">
    <cfRule type="expression" dxfId="327" priority="439" stopIfTrue="1">
      <formula>OR(H350="Visual Inspection - Insulation Better than Grade 3",ReportType="Rough",$H$331="Alternative Bronze")</formula>
    </cfRule>
    <cfRule type="expression" dxfId="326" priority="440">
      <formula>AND(ReportType="Final",I350="")</formula>
    </cfRule>
  </conditionalFormatting>
  <conditionalFormatting sqref="H336:H337 H341 H343 H345">
    <cfRule type="expression" dxfId="325" priority="437" stopIfTrue="1">
      <formula>$H$331="Alternative Bronze"</formula>
    </cfRule>
  </conditionalFormatting>
  <conditionalFormatting sqref="H355">
    <cfRule type="expression" dxfId="324" priority="432">
      <formula>AND(H331&lt;&gt;"Alternative Bronze",ReportType&lt;&gt;"Final",H355="")</formula>
    </cfRule>
  </conditionalFormatting>
  <conditionalFormatting sqref="H357">
    <cfRule type="expression" dxfId="323" priority="431">
      <formula>AND(H331&lt;&gt;"Alternative Bronze",ReportType&lt;&gt;"Final",H357="")</formula>
    </cfRule>
  </conditionalFormatting>
  <conditionalFormatting sqref="H542:H546">
    <cfRule type="expression" dxfId="322" priority="197">
      <formula>AND($H$542&gt;0,SUM($H$504:$I$504)&lt;=0)</formula>
    </cfRule>
    <cfRule type="expression" dxfId="321" priority="430">
      <formula>AND(H542&gt;0,I542&gt;0)</formula>
    </cfRule>
  </conditionalFormatting>
  <conditionalFormatting sqref="I542:I546">
    <cfRule type="expression" dxfId="320" priority="195">
      <formula>AND($I$542&gt;0,SUM($H$504:$I$504)&lt;=0)</formula>
    </cfRule>
    <cfRule type="expression" dxfId="319" priority="429">
      <formula>AND(H542&gt;0,I542&gt;0)</formula>
    </cfRule>
  </conditionalFormatting>
  <conditionalFormatting sqref="H547">
    <cfRule type="expression" dxfId="318" priority="425">
      <formula>AND(H547&gt;0,BldgType&lt;&gt;"Multi-Unit")</formula>
    </cfRule>
    <cfRule type="expression" dxfId="317" priority="428">
      <formula>AND(H547&gt;0,I547&gt;0)</formula>
    </cfRule>
  </conditionalFormatting>
  <conditionalFormatting sqref="I547">
    <cfRule type="expression" dxfId="316" priority="426">
      <formula>AND(I547&gt;0,BldgType&lt;&gt;"Multi-Unit")</formula>
    </cfRule>
    <cfRule type="expression" dxfId="315" priority="427">
      <formula>AND(H547&gt;0,I547&gt;0)</formula>
    </cfRule>
  </conditionalFormatting>
  <conditionalFormatting sqref="H548">
    <cfRule type="expression" dxfId="314" priority="424">
      <formula>AND(H548&gt;0,I548&gt;0)</formula>
    </cfRule>
  </conditionalFormatting>
  <conditionalFormatting sqref="I548">
    <cfRule type="expression" dxfId="313" priority="423">
      <formula>AND(H548&gt;0,I548&gt;0)</formula>
    </cfRule>
  </conditionalFormatting>
  <conditionalFormatting sqref="I560:I561">
    <cfRule type="expression" dxfId="312" priority="422">
      <formula>AND(I560&gt;0,I555&lt;4)</formula>
    </cfRule>
  </conditionalFormatting>
  <conditionalFormatting sqref="I572">
    <cfRule type="expression" dxfId="311" priority="421">
      <formula>AND(I572&gt;0,I569="")</formula>
    </cfRule>
  </conditionalFormatting>
  <conditionalFormatting sqref="I578">
    <cfRule type="expression" dxfId="310" priority="419" stopIfTrue="1">
      <formula>AND(I578&lt;&gt;"Not Seeking Gold or Emerald",I580="",I578&lt;&gt;"")</formula>
    </cfRule>
    <cfRule type="expression" dxfId="309" priority="420">
      <formula>AND(ReportType="Final",I578="")</formula>
    </cfRule>
  </conditionalFormatting>
  <conditionalFormatting sqref="I598">
    <cfRule type="expression" dxfId="308" priority="133">
      <formula>AND(I598&gt;0,H62&lt;&gt;"Full Landscape Plan")</formula>
    </cfRule>
    <cfRule type="expression" dxfId="307" priority="221">
      <formula>AND($I$598&gt;0,SUM($I$591:$I$597)&gt;0)</formula>
    </cfRule>
    <cfRule type="expression" dxfId="306" priority="417">
      <formula>AND(I598&gt;0,SUM(I63,I65,I68,I73)&lt;5)</formula>
    </cfRule>
  </conditionalFormatting>
  <conditionalFormatting sqref="I620">
    <cfRule type="expression" dxfId="305" priority="416">
      <formula>AND(I620&gt;0,I621&gt;0)</formula>
    </cfRule>
  </conditionalFormatting>
  <conditionalFormatting sqref="I621">
    <cfRule type="expression" dxfId="304" priority="415">
      <formula>AND(I620&gt;0,I621&gt;0)</formula>
    </cfRule>
  </conditionalFormatting>
  <conditionalFormatting sqref="H631">
    <cfRule type="expression" dxfId="303" priority="413">
      <formula>AND(H631&gt;0,I631&gt;0)</formula>
    </cfRule>
  </conditionalFormatting>
  <conditionalFormatting sqref="I631">
    <cfRule type="expression" dxfId="302" priority="412">
      <formula>AND(H631&gt;0,I631&gt;0)</formula>
    </cfRule>
  </conditionalFormatting>
  <conditionalFormatting sqref="I637">
    <cfRule type="expression" dxfId="301" priority="407">
      <formula>AND(ReportType="Final",H637="",I637="")</formula>
    </cfRule>
  </conditionalFormatting>
  <conditionalFormatting sqref="H641:H642">
    <cfRule type="expression" dxfId="300" priority="293">
      <formula>AND(H641&gt;0,$I$398&gt;0)</formula>
    </cfRule>
    <cfRule type="expression" dxfId="299" priority="400">
      <formula>AND(H641&gt;0,I641&gt;0)</formula>
    </cfRule>
  </conditionalFormatting>
  <conditionalFormatting sqref="I641:I642">
    <cfRule type="expression" dxfId="298" priority="292">
      <formula>AND(I641&gt;0,$I$398&gt;0)</formula>
    </cfRule>
    <cfRule type="expression" dxfId="297" priority="399">
      <formula>AND(H641&gt;0,I641&gt;0)</formula>
    </cfRule>
  </conditionalFormatting>
  <conditionalFormatting sqref="I655">
    <cfRule type="expression" dxfId="296" priority="379">
      <formula>AND(I655&gt;0,SUM(I645:I653)&gt;0)</formula>
    </cfRule>
    <cfRule type="expression" dxfId="295" priority="381">
      <formula>AND(H655&gt;0,I655&gt;0)</formula>
    </cfRule>
  </conditionalFormatting>
  <conditionalFormatting sqref="I657">
    <cfRule type="expression" dxfId="294" priority="146">
      <formula>AND($I$657="met",$I$659="No attached garage")</formula>
    </cfRule>
    <cfRule type="expression" dxfId="293" priority="364">
      <formula>AND(I658&gt;0,I662&gt;0)</formula>
    </cfRule>
    <cfRule type="expression" dxfId="292" priority="368">
      <formula>AND(ReportType="Final",I657="")</formula>
    </cfRule>
  </conditionalFormatting>
  <conditionalFormatting sqref="I659">
    <cfRule type="expression" dxfId="291" priority="145">
      <formula>AND($I$659="met",$I$657="No attached garage")</formula>
    </cfRule>
    <cfRule type="expression" dxfId="290" priority="365">
      <formula>AND(I660&gt;0,I662&gt;0)</formula>
    </cfRule>
    <cfRule type="expression" dxfId="289" priority="367">
      <formula>AND(ReportType="Final",I659="",H659="")</formula>
    </cfRule>
  </conditionalFormatting>
  <conditionalFormatting sqref="I662">
    <cfRule type="expression" dxfId="288" priority="366">
      <formula>AND(I662&gt;0,SUM(I658,I660)&gt;0)</formula>
    </cfRule>
  </conditionalFormatting>
  <conditionalFormatting sqref="I645">
    <cfRule type="expression" dxfId="287" priority="359">
      <formula>AND(I646&lt;&gt;"",$I$655&gt;0)</formula>
    </cfRule>
    <cfRule type="expression" dxfId="286" priority="363">
      <formula>AND(I645="",ReportType="Final")</formula>
    </cfRule>
  </conditionalFormatting>
  <conditionalFormatting sqref="I647">
    <cfRule type="expression" dxfId="285" priority="357">
      <formula>AND(I648&lt;&gt;"",$I$655&gt;0)</formula>
    </cfRule>
    <cfRule type="expression" dxfId="284" priority="358">
      <formula>AND(I647="",ReportType="Final")</formula>
    </cfRule>
  </conditionalFormatting>
  <conditionalFormatting sqref="I649">
    <cfRule type="expression" dxfId="283" priority="355">
      <formula>AND(I650&lt;&gt;"",$I$655&gt;0)</formula>
    </cfRule>
    <cfRule type="expression" dxfId="282" priority="356">
      <formula>AND(I649="",ReportType="Final")</formula>
    </cfRule>
  </conditionalFormatting>
  <conditionalFormatting sqref="I651">
    <cfRule type="expression" dxfId="281" priority="353">
      <formula>AND(I652&lt;&gt;"",$I$655&gt;0)</formula>
    </cfRule>
    <cfRule type="expression" dxfId="280" priority="354">
      <formula>AND(I651="", ReportType="Final")</formula>
    </cfRule>
  </conditionalFormatting>
  <conditionalFormatting sqref="I653">
    <cfRule type="expression" dxfId="279" priority="351">
      <formula>AND(I654&lt;&gt;"",$I$655&gt;0)</formula>
    </cfRule>
    <cfRule type="expression" dxfId="278" priority="352">
      <formula>AND(I653="",ReportType="Final")</formula>
    </cfRule>
  </conditionalFormatting>
  <conditionalFormatting sqref="I666 I671">
    <cfRule type="expression" dxfId="277" priority="349">
      <formula>AND(I666&gt;0,SUM($I$666,$I$671,$I$676,$I$681,$I$686)&gt;2)</formula>
    </cfRule>
  </conditionalFormatting>
  <conditionalFormatting sqref="I667">
    <cfRule type="expression" dxfId="276" priority="348">
      <formula>AND(I687&gt;0,SUM($I$667,$I$672,$I$677,$I$682,$I$687)&gt;2)</formula>
    </cfRule>
  </conditionalFormatting>
  <conditionalFormatting sqref="I668 I673">
    <cfRule type="expression" dxfId="275" priority="347">
      <formula>AND(I668&gt;0,SUM($I$668,$I$673,$I$678,$I$683,$I$688)&gt;2)</formula>
    </cfRule>
  </conditionalFormatting>
  <conditionalFormatting sqref="I669 I674">
    <cfRule type="expression" dxfId="274" priority="346">
      <formula>AND(I669&gt;0,SUM($I$669,$I$674,$I$679,$I$684,$I$689)&gt;2)</formula>
    </cfRule>
  </conditionalFormatting>
  <conditionalFormatting sqref="I701">
    <cfRule type="expression" dxfId="273" priority="327">
      <formula>AND(I701&gt;0,AND(I700&lt;&gt;5,I702&lt;&gt;8))</formula>
    </cfRule>
  </conditionalFormatting>
  <conditionalFormatting sqref="I714 I793">
    <cfRule type="expression" dxfId="272" priority="326">
      <formula>AND(I714&gt;0,BldgType&lt;&gt;"Multi-Unit")</formula>
    </cfRule>
  </conditionalFormatting>
  <conditionalFormatting sqref="I734:I737">
    <cfRule type="expression" dxfId="271" priority="323">
      <formula>AND(I734="",OR(AND(J495&lt;&gt;"",$J$495&lt;5),AND(J382&lt;&gt;"",$J$382&lt;5),AND(J351&lt;&gt;"",$J$351&lt;5)))</formula>
    </cfRule>
  </conditionalFormatting>
  <conditionalFormatting sqref="J741">
    <cfRule type="expression" dxfId="270" priority="322">
      <formula>$J$741=""</formula>
    </cfRule>
  </conditionalFormatting>
  <conditionalFormatting sqref="H742">
    <cfRule type="expression" dxfId="269" priority="161">
      <formula>AND($H$742&gt;0,$I$743&gt;0)</formula>
    </cfRule>
    <cfRule type="expression" dxfId="268" priority="187">
      <formula>AND($J$741=1,$H$742&lt;&gt;7,$I$743&lt;&gt;10,$I$8="Rough",$G$742=7)</formula>
    </cfRule>
    <cfRule type="expression" dxfId="267" priority="315">
      <formula>AND(H742&gt;0,J741&lt;&gt;1)</formula>
    </cfRule>
    <cfRule type="expression" dxfId="266" priority="321">
      <formula>AND(H742&gt;0,I742&gt;0)</formula>
    </cfRule>
  </conditionalFormatting>
  <conditionalFormatting sqref="I742">
    <cfRule type="expression" dxfId="265" priority="314">
      <formula>AND(I742&gt;0,J741&lt;&gt;1)</formula>
    </cfRule>
    <cfRule type="expression" dxfId="264" priority="320">
      <formula>AND(H742&gt;0,I742&gt;0)</formula>
    </cfRule>
  </conditionalFormatting>
  <conditionalFormatting sqref="H743">
    <cfRule type="expression" dxfId="263" priority="313">
      <formula>AND(H743&gt;0,J741&lt;&gt;1)</formula>
    </cfRule>
    <cfRule type="expression" dxfId="262" priority="319">
      <formula>AND(H743&gt;0,I743&gt;0)</formula>
    </cfRule>
  </conditionalFormatting>
  <conditionalFormatting sqref="I743">
    <cfRule type="expression" dxfId="261" priority="160">
      <formula>AND($I$743&gt;0,$H$742&gt;0)</formula>
    </cfRule>
    <cfRule type="expression" dxfId="260" priority="186">
      <formula>AND($J$741=1,$H$742&lt;&gt;7,$I$743&lt;&gt;10,$I$8="Final")</formula>
    </cfRule>
    <cfRule type="expression" dxfId="259" priority="312">
      <formula>AND(I743&gt;0,J741&lt;&gt;1)</formula>
    </cfRule>
    <cfRule type="expression" dxfId="258" priority="318">
      <formula>AND(H743&gt;0,I743&gt;0)</formula>
    </cfRule>
  </conditionalFormatting>
  <conditionalFormatting sqref="H745">
    <cfRule type="expression" dxfId="257" priority="308">
      <formula>AND(H745&gt;0,J741="")</formula>
    </cfRule>
    <cfRule type="expression" dxfId="256" priority="311">
      <formula>AND(H745&gt;0,J741=1)</formula>
    </cfRule>
    <cfRule type="expression" dxfId="255" priority="317">
      <formula>AND(H745&gt;0,I745&gt;0)</formula>
    </cfRule>
  </conditionalFormatting>
  <conditionalFormatting sqref="I745">
    <cfRule type="expression" dxfId="254" priority="309">
      <formula>AND(I745&gt;0,J741="")</formula>
    </cfRule>
    <cfRule type="expression" dxfId="253" priority="310">
      <formula>AND(I745&gt;0,J741=1)</formula>
    </cfRule>
    <cfRule type="expression" dxfId="252" priority="316">
      <formula>AND(H745&gt;0,I745&gt;0)</formula>
    </cfRule>
  </conditionalFormatting>
  <conditionalFormatting sqref="H749">
    <cfRule type="expression" dxfId="251" priority="307">
      <formula>AND(H749&gt;0,I749&gt;0)</formula>
    </cfRule>
  </conditionalFormatting>
  <conditionalFormatting sqref="I749">
    <cfRule type="expression" dxfId="250" priority="306">
      <formula>AND(H749&gt;0,I749&gt;0)</formula>
    </cfRule>
  </conditionalFormatting>
  <conditionalFormatting sqref="H753:H754">
    <cfRule type="expression" dxfId="249" priority="304">
      <formula>AND(H753&gt;0,I753&gt;0)</formula>
    </cfRule>
  </conditionalFormatting>
  <conditionalFormatting sqref="I753:I754">
    <cfRule type="expression" dxfId="248" priority="303">
      <formula>AND(H753&gt;0,I753&gt;0)</formula>
    </cfRule>
  </conditionalFormatting>
  <conditionalFormatting sqref="H756">
    <cfRule type="expression" dxfId="247" priority="302">
      <formula>AND(H756&gt;0,I756&gt;0)</formula>
    </cfRule>
  </conditionalFormatting>
  <conditionalFormatting sqref="I756">
    <cfRule type="expression" dxfId="246" priority="301">
      <formula>AND(H756&gt;0,I756&gt;0)</formula>
    </cfRule>
  </conditionalFormatting>
  <conditionalFormatting sqref="I759:I760">
    <cfRule type="expression" dxfId="245" priority="299">
      <formula>AND(I759&gt;0,AF759&lt;&gt;1)</formula>
    </cfRule>
  </conditionalFormatting>
  <conditionalFormatting sqref="H756:H757">
    <cfRule type="expression" dxfId="244" priority="291">
      <formula>AND(H756&gt;0,AND(SUM(H427,I427)&gt;0,SUM(H428,I428)&gt;0))</formula>
    </cfRule>
  </conditionalFormatting>
  <conditionalFormatting sqref="I767">
    <cfRule type="expression" dxfId="243" priority="284">
      <formula>AND(I767&gt;0,BldgType&lt;&gt;"Single-Family")</formula>
    </cfRule>
  </conditionalFormatting>
  <conditionalFormatting sqref="I768:I770">
    <cfRule type="expression" dxfId="242" priority="248">
      <formula>AND(BldgType="Single-Family", ReportType="Final",I768="")</formula>
    </cfRule>
    <cfRule type="expression" dxfId="241" priority="282">
      <formula>AND(I768&lt;&gt;"",BldgType="Multi-Unit")</formula>
    </cfRule>
  </conditionalFormatting>
  <conditionalFormatting sqref="I769:I788">
    <cfRule type="expression" dxfId="240" priority="281">
      <formula>AND(I769&lt;&gt;"",BldgType="Multi-Unit")</formula>
    </cfRule>
  </conditionalFormatting>
  <conditionalFormatting sqref="I794:I796">
    <cfRule type="expression" dxfId="239" priority="276">
      <formula>AND(I794="",BldgType="Multi-Unit",ReportType="Final")</formula>
    </cfRule>
    <cfRule type="expression" dxfId="238" priority="279">
      <formula>AND(I794&lt;&gt;"",BldgType="Single-Family")</formula>
    </cfRule>
  </conditionalFormatting>
  <conditionalFormatting sqref="I797:I801 I806:I812 I815:I822">
    <cfRule type="expression" dxfId="237" priority="278">
      <formula>AND(I797&lt;&gt;"",BldgType="Single-Family")</formula>
    </cfRule>
  </conditionalFormatting>
  <conditionalFormatting sqref="I803:I805 I814">
    <cfRule type="expression" dxfId="236" priority="272">
      <formula>AND(I803&lt;&gt;"",bdgtype&lt;&gt;"Multi-Unit")</formula>
    </cfRule>
  </conditionalFormatting>
  <conditionalFormatting sqref="I63:I64">
    <cfRule type="expression" dxfId="235" priority="240">
      <formula>AND($H$62&lt;&gt;"Full Landscape Plan",$I$63&lt;&gt;3,I63&gt;0)</formula>
    </cfRule>
    <cfRule type="expression" dxfId="234" priority="244">
      <formula>AND(H63&gt;0,I63&gt;0)</formula>
    </cfRule>
  </conditionalFormatting>
  <conditionalFormatting sqref="H63:H64">
    <cfRule type="expression" dxfId="233" priority="238">
      <formula>AND($H$62&lt;&gt;"Full Landscape Plan",$H$63&lt;&gt;3,H63&gt;0)</formula>
    </cfRule>
    <cfRule type="expression" dxfId="232" priority="243">
      <formula>AND(H63&gt;0,I63&gt;0)</formula>
    </cfRule>
  </conditionalFormatting>
  <conditionalFormatting sqref="H65:H66">
    <cfRule type="expression" dxfId="231" priority="237">
      <formula>AND($H$62&lt;&gt;"Full Landscape Plan",$H$65&lt;&gt;2,H65&gt;0)</formula>
    </cfRule>
    <cfRule type="expression" dxfId="230" priority="242">
      <formula>AND(H65&gt;0,I65&gt;0)</formula>
    </cfRule>
  </conditionalFormatting>
  <conditionalFormatting sqref="I65:I66">
    <cfRule type="expression" dxfId="229" priority="236">
      <formula>AND($H$62&lt;&gt;"Full Landscape Plan",$I$65&lt;&gt;2,I65&gt;0)</formula>
    </cfRule>
    <cfRule type="expression" dxfId="228" priority="241">
      <formula>AND(H65&gt;0,I65&gt;0)</formula>
    </cfRule>
  </conditionalFormatting>
  <conditionalFormatting sqref="H62:I62">
    <cfRule type="expression" dxfId="227" priority="239">
      <formula>AND(H62="",SUM(H63:I66,H68:I75)&gt;0)</formula>
    </cfRule>
  </conditionalFormatting>
  <conditionalFormatting sqref="H68:H72">
    <cfRule type="expression" dxfId="226" priority="235">
      <formula>AND(H68&gt;0,I68&gt;0)</formula>
    </cfRule>
  </conditionalFormatting>
  <conditionalFormatting sqref="I68:I72">
    <cfRule type="expression" dxfId="225" priority="234">
      <formula>AND(H68&gt;0,I68&gt;0)</formula>
    </cfRule>
  </conditionalFormatting>
  <conditionalFormatting sqref="H73:H74">
    <cfRule type="expression" dxfId="224" priority="232">
      <formula>AND($H$62&lt;&gt;"Full Landscape Plan",$H$73&lt;&gt;2,H73&gt;0)</formula>
    </cfRule>
    <cfRule type="expression" dxfId="223" priority="233">
      <formula>AND(H73&gt;0,I73&gt;0)</formula>
    </cfRule>
  </conditionalFormatting>
  <conditionalFormatting sqref="I73:I74">
    <cfRule type="expression" dxfId="222" priority="230">
      <formula>AND($H$62&lt;&gt;"Full Landscape Plan",$I$73&lt;2,I73&gt;0)</formula>
    </cfRule>
    <cfRule type="expression" dxfId="221" priority="231">
      <formula>AND(H73&gt;0,I73&gt;0)</formula>
    </cfRule>
  </conditionalFormatting>
  <conditionalFormatting sqref="H75:H76">
    <cfRule type="expression" dxfId="220" priority="228">
      <formula>AND($H$62&lt;&gt;"Full Landscape Plan",$H$75&lt;&gt;2,H75&gt;0)</formula>
    </cfRule>
    <cfRule type="expression" dxfId="219" priority="229">
      <formula>AND(H75&gt;0,I75&gt;0)</formula>
    </cfRule>
  </conditionalFormatting>
  <conditionalFormatting sqref="I75:I76">
    <cfRule type="expression" dxfId="218" priority="226">
      <formula>AND($H$62&lt;&gt;"Full Landscape Plan",$I$75&lt;&gt;2,I75&gt;0)</formula>
    </cfRule>
    <cfRule type="expression" dxfId="217" priority="227">
      <formula>AND(H75&gt;0,I75&gt;0)</formula>
    </cfRule>
  </conditionalFormatting>
  <conditionalFormatting sqref="H77:H79">
    <cfRule type="expression" dxfId="216" priority="225">
      <formula>AND(H77&gt;0,I77&gt;0)</formula>
    </cfRule>
  </conditionalFormatting>
  <conditionalFormatting sqref="I77:I79">
    <cfRule type="expression" dxfId="215" priority="224">
      <formula>AND(H77&gt;0,I77&gt;0)</formula>
    </cfRule>
  </conditionalFormatting>
  <conditionalFormatting sqref="H188:H189">
    <cfRule type="expression" dxfId="214" priority="223">
      <formula>$H$188=""</formula>
    </cfRule>
  </conditionalFormatting>
  <conditionalFormatting sqref="I592:I595 I597">
    <cfRule type="expression" dxfId="213" priority="220">
      <formula>AND(I592&gt;0,$I$598&gt;0)</formula>
    </cfRule>
  </conditionalFormatting>
  <conditionalFormatting sqref="I672">
    <cfRule type="expression" dxfId="212" priority="216">
      <formula>AND(I692&gt;0,SUM($I$667,$I$672,$I$677,$I$682,$I$687)&gt;2)</formula>
    </cfRule>
  </conditionalFormatting>
  <conditionalFormatting sqref="I676">
    <cfRule type="expression" dxfId="211" priority="213">
      <formula>AND(I676&gt;0,SUM($I$666,$I$671,$I$676,$I$681,$I$686)&gt;3)</formula>
    </cfRule>
  </conditionalFormatting>
  <conditionalFormatting sqref="I677">
    <cfRule type="expression" dxfId="210" priority="212">
      <formula>AND(I677&gt;0,SUM($I$667,$I$672,$I$677,$I$682,$I$687)&gt;3)</formula>
    </cfRule>
  </conditionalFormatting>
  <conditionalFormatting sqref="I678">
    <cfRule type="expression" dxfId="209" priority="211">
      <formula>AND(I678&gt;0,SUM($I$668,$I$673,$I$678,$I$683,$I$688)&gt;3)</formula>
    </cfRule>
  </conditionalFormatting>
  <conditionalFormatting sqref="I679">
    <cfRule type="expression" dxfId="208" priority="210">
      <formula>AND(I679&gt;0,SUM($I$669,$I$674,$I$679,$I$684,$I$689)&gt;3)</formula>
    </cfRule>
  </conditionalFormatting>
  <conditionalFormatting sqref="I681 I686">
    <cfRule type="expression" dxfId="207" priority="209">
      <formula>AND(I681&gt;0,SUM($I$666,$I$671,$I$676,$I$681,$I$686)&gt;4)</formula>
    </cfRule>
  </conditionalFormatting>
  <conditionalFormatting sqref="I682">
    <cfRule type="expression" dxfId="206" priority="208">
      <formula>AND(I702&gt;0,SUM($I$667,$I$672,$I$677,$I$682,$I$687)&gt;4)</formula>
    </cfRule>
  </conditionalFormatting>
  <conditionalFormatting sqref="I683 I688">
    <cfRule type="expression" dxfId="205" priority="207">
      <formula>AND(I683&gt;0,SUM($I$668,$I$673,$I$678,$I$683,$I$688)&gt;4)</formula>
    </cfRule>
  </conditionalFormatting>
  <conditionalFormatting sqref="I684 I689">
    <cfRule type="expression" dxfId="204" priority="206">
      <formula>AND(I684&gt;0,SUM($I$669,$I$674,$I$679,$I$684,$I$689)&gt;4)</formula>
    </cfRule>
  </conditionalFormatting>
  <conditionalFormatting sqref="I687">
    <cfRule type="expression" dxfId="203" priority="204">
      <formula>AND(I707&gt;0,SUM($I$667,$I$672,$I$677,$I$682,$I$687)&gt;4)</formula>
    </cfRule>
  </conditionalFormatting>
  <conditionalFormatting sqref="H747">
    <cfRule type="expression" dxfId="202" priority="201">
      <formula>AND($H$747&gt;0,$I$748&gt;0)</formula>
    </cfRule>
  </conditionalFormatting>
  <conditionalFormatting sqref="I748">
    <cfRule type="expression" dxfId="201" priority="200">
      <formula>AND($I$748&gt;0,$H$747&gt;0)</formula>
    </cfRule>
  </conditionalFormatting>
  <conditionalFormatting sqref="I638:I639">
    <cfRule type="expression" dxfId="200" priority="199">
      <formula>AND($I$638&gt;0,$I$637="No gas fireplace or heating equipment")</formula>
    </cfRule>
  </conditionalFormatting>
  <conditionalFormatting sqref="H360:I360">
    <cfRule type="expression" dxfId="199" priority="198">
      <formula>AND($H$360="",$H$331="Performance Path",ReportType="Final")</formula>
    </cfRule>
  </conditionalFormatting>
  <conditionalFormatting sqref="H504">
    <cfRule type="expression" dxfId="198" priority="11">
      <formula>AND(H504&gt;0,I504&gt;0)</formula>
    </cfRule>
    <cfRule type="expression" dxfId="197" priority="194">
      <formula>AND(SUM($H$504:I504)&lt;&gt;1,SUM($H$542:$I$546)&gt;0)</formula>
    </cfRule>
  </conditionalFormatting>
  <conditionalFormatting sqref="I504">
    <cfRule type="expression" dxfId="196" priority="10">
      <formula>AND(H504&gt;0,I504&gt;0)</formula>
    </cfRule>
    <cfRule type="expression" dxfId="195" priority="193">
      <formula>AND(SUM(H$504:$I504)&lt;&gt;1,SUM($H$542:$I$546)&gt;0)</formula>
    </cfRule>
  </conditionalFormatting>
  <conditionalFormatting sqref="K4:L4">
    <cfRule type="expression" dxfId="194" priority="192">
      <formula>AND($K$3="Multi-Unit",$K$4=0)</formula>
    </cfRule>
  </conditionalFormatting>
  <conditionalFormatting sqref="G597">
    <cfRule type="expression" dxfId="193" priority="7326" stopIfTrue="1">
      <formula>AND($G$597&gt;0,SUM($G$598:$G$598)&gt;0)</formula>
    </cfRule>
  </conditionalFormatting>
  <conditionalFormatting sqref="G592 J592">
    <cfRule type="expression" dxfId="192" priority="7384">
      <formula>OR(AND($G$592&lt;&gt;4,$G$595=10),AND($G$598=15,$G$592=4))</formula>
    </cfRule>
  </conditionalFormatting>
  <conditionalFormatting sqref="G591 J591">
    <cfRule type="expression" dxfId="191" priority="7386">
      <formula>AND($G$591&gt;0,$G$598&gt;0)</formula>
    </cfRule>
  </conditionalFormatting>
  <conditionalFormatting sqref="G595 J595">
    <cfRule type="expression" dxfId="190" priority="7388">
      <formula>OR(AND($G$595=10,$G$592&lt;&gt;4),AND($G$595=10,$G$598=15))</formula>
    </cfRule>
  </conditionalFormatting>
  <conditionalFormatting sqref="G593 J593">
    <cfRule type="expression" dxfId="189" priority="7390">
      <formula>AND($G$598=15,$G$593=4)</formula>
    </cfRule>
  </conditionalFormatting>
  <conditionalFormatting sqref="H635:H636">
    <cfRule type="expression" dxfId="188" priority="7415">
      <formula>AND($H$629=5,$H$635&gt;0,(AND(SUM($H$633:$I$634)&gt;0,SUM($H$635:$I$636)&gt;0)))</formula>
    </cfRule>
    <cfRule type="expression" dxfId="187" priority="7416">
      <formula>AND(H635&gt;0,OR($J$438="Electric",$J$438="Heat Pump"))</formula>
    </cfRule>
    <cfRule type="expression" dxfId="186" priority="7417">
      <formula>AND(H635&gt;0,I635&gt;0)</formula>
    </cfRule>
  </conditionalFormatting>
  <conditionalFormatting sqref="I635:I636">
    <cfRule type="expression" dxfId="185" priority="7418">
      <formula>AND($H$629=5,$I$635&gt;0,(AND(SUM($H$633:$I$634)&gt;0,SUM($H$635:$I$636)&gt;0)))</formula>
    </cfRule>
    <cfRule type="expression" dxfId="184" priority="7419">
      <formula>AND(I635&gt;0,OR($J$438="Electric",$J$438="Heat Pump"))</formula>
    </cfRule>
    <cfRule type="expression" dxfId="183" priority="7420">
      <formula>AND(H635&gt;0,I635&gt;0)</formula>
    </cfRule>
  </conditionalFormatting>
  <conditionalFormatting sqref="I803">
    <cfRule type="expression" dxfId="182" priority="185">
      <formula>AND(ReportType="Final",BldgType="Multi-unit",$I$803="")</formula>
    </cfRule>
  </conditionalFormatting>
  <conditionalFormatting sqref="I804">
    <cfRule type="expression" dxfId="181" priority="184">
      <formula>AND(ReportType="Final",BldgType="Multi-unit",$I$804="")</formula>
    </cfRule>
  </conditionalFormatting>
  <conditionalFormatting sqref="I814">
    <cfRule type="expression" dxfId="180" priority="183">
      <formula>AND(ReportType="Final",BldgType="Multi-unit",$I$814="")</formula>
    </cfRule>
  </conditionalFormatting>
  <conditionalFormatting sqref="H206:H207">
    <cfRule type="expression" dxfId="179" priority="182">
      <formula>$H$206=""</formula>
    </cfRule>
  </conditionalFormatting>
  <conditionalFormatting sqref="I206:I207">
    <cfRule type="expression" dxfId="178" priority="178">
      <formula>AND(ReportType="Final",AND(OR($H$206="Not yet installed - will verify at Final",$H$206=""),$I$206=""))</formula>
    </cfRule>
  </conditionalFormatting>
  <conditionalFormatting sqref="H209">
    <cfRule type="expression" dxfId="177" priority="177">
      <formula>$H$209=""</formula>
    </cfRule>
  </conditionalFormatting>
  <conditionalFormatting sqref="I226">
    <cfRule type="expression" dxfId="176" priority="176">
      <formula>AND(ReportType="Final", $I$226="",OR($H$226="",H226="Not yet - will verify at Final"))</formula>
    </cfRule>
  </conditionalFormatting>
  <conditionalFormatting sqref="H233:H234">
    <cfRule type="expression" dxfId="175" priority="174" stopIfTrue="1">
      <formula>OR(AND($H$233=1,$I$233="NA"),AND($I$233=1,$H$233="NA"))</formula>
    </cfRule>
    <cfRule type="expression" dxfId="174" priority="175" stopIfTrue="1">
      <formula>SUM($H$233,$I$233)&gt;1</formula>
    </cfRule>
  </conditionalFormatting>
  <conditionalFormatting sqref="I233:I234">
    <cfRule type="expression" dxfId="173" priority="172">
      <formula>OR(AND($H$233=1,$I$233="NA"),AND($I$233=1,$H$233="NA"))</formula>
    </cfRule>
    <cfRule type="expression" dxfId="172" priority="173">
      <formula>AND($H$233="",I233="",ReportType="Final")</formula>
    </cfRule>
  </conditionalFormatting>
  <conditionalFormatting sqref="H347">
    <cfRule type="expression" dxfId="171" priority="171">
      <formula>H347=""</formula>
    </cfRule>
  </conditionalFormatting>
  <conditionalFormatting sqref="H347">
    <cfRule type="expression" dxfId="170" priority="170" stopIfTrue="1">
      <formula>$H$331="Alternative Bronze"</formula>
    </cfRule>
  </conditionalFormatting>
  <conditionalFormatting sqref="H348">
    <cfRule type="expression" dxfId="169" priority="169">
      <formula>H348=""</formula>
    </cfRule>
  </conditionalFormatting>
  <conditionalFormatting sqref="H348">
    <cfRule type="expression" dxfId="168" priority="168" stopIfTrue="1">
      <formula>$H$331="Alternative Bronze"</formula>
    </cfRule>
  </conditionalFormatting>
  <conditionalFormatting sqref="I694">
    <cfRule type="expression" dxfId="167" priority="167">
      <formula>AND($I$694="",ReportType="Final")</formula>
    </cfRule>
  </conditionalFormatting>
  <conditionalFormatting sqref="I719">
    <cfRule type="expression" dxfId="166" priority="166">
      <formula>AND($I$719="",ReportType="Final")</formula>
    </cfRule>
  </conditionalFormatting>
  <conditionalFormatting sqref="I721">
    <cfRule type="expression" dxfId="165" priority="165">
      <formula>AND($I$721="",ReportType="Final")</formula>
    </cfRule>
  </conditionalFormatting>
  <conditionalFormatting sqref="G740:I740">
    <cfRule type="expression" dxfId="164" priority="164">
      <formula>AND($G$740&lt;&gt;"",$H$742="",$I$743="",ReportType="Final")</formula>
    </cfRule>
  </conditionalFormatting>
  <conditionalFormatting sqref="I661">
    <cfRule type="expression" dxfId="163" priority="158">
      <formula>AND($I$661&gt;0,SUM($I$658,$I$660)=0)</formula>
    </cfRule>
    <cfRule type="expression" dxfId="162" priority="159">
      <formula>AND($I$661&gt;0,$K$3="Multi-unit")</formula>
    </cfRule>
  </conditionalFormatting>
  <conditionalFormatting sqref="X15:AE826">
    <cfRule type="expression" dxfId="161" priority="154">
      <formula>X15=1</formula>
    </cfRule>
  </conditionalFormatting>
  <conditionalFormatting sqref="M15">
    <cfRule type="expression" dxfId="160" priority="153">
      <formula>M15&lt;&gt;""</formula>
    </cfRule>
  </conditionalFormatting>
  <conditionalFormatting sqref="M16:M822">
    <cfRule type="expression" dxfId="159" priority="152">
      <formula>M16&lt;&gt;""</formula>
    </cfRule>
  </conditionalFormatting>
  <conditionalFormatting sqref="F4:I4">
    <cfRule type="expression" dxfId="158" priority="149">
      <formula>AND(ReportType="Final",$F$4="")</formula>
    </cfRule>
  </conditionalFormatting>
  <conditionalFormatting sqref="H431:I435">
    <cfRule type="expression" dxfId="157" priority="66">
      <formula>AND(H431&gt;0,H362&gt;0)</formula>
    </cfRule>
    <cfRule type="expression" dxfId="156" priority="138">
      <formula>AND(I332&gt;0,H431&gt;0)</formula>
    </cfRule>
  </conditionalFormatting>
  <conditionalFormatting sqref="I453:I455">
    <cfRule type="expression" dxfId="155" priority="51">
      <formula>AND(H362&gt;0,I453&gt;0)</formula>
    </cfRule>
    <cfRule type="expression" dxfId="154" priority="135">
      <formula>AND(I332&gt;0,I453&gt;0)</formula>
    </cfRule>
  </conditionalFormatting>
  <conditionalFormatting sqref="I456:I460">
    <cfRule type="expression" dxfId="153" priority="48">
      <formula>AND(H362&gt;0,I456&gt;0)</formula>
    </cfRule>
    <cfRule type="expression" dxfId="152" priority="134">
      <formula>AND(I332&gt;0,I456&gt;0)</formula>
    </cfRule>
  </conditionalFormatting>
  <conditionalFormatting sqref="I423">
    <cfRule type="expression" dxfId="151" priority="74">
      <formula>AND(I423&gt;0,H362&gt;0)</formula>
    </cfRule>
    <cfRule type="expression" dxfId="150" priority="131">
      <formula>AND(I423&gt;0,I332&gt;0)</formula>
    </cfRule>
  </conditionalFormatting>
  <conditionalFormatting sqref="I463">
    <cfRule type="expression" dxfId="149" priority="46">
      <formula>AND(H362&gt;0,I463&gt;0)</formula>
    </cfRule>
    <cfRule type="expression" dxfId="148" priority="122">
      <formula>AND(I463&gt;0,I332&gt;0)</formula>
    </cfRule>
  </conditionalFormatting>
  <conditionalFormatting sqref="I464">
    <cfRule type="expression" dxfId="147" priority="45">
      <formula>AND(H362&gt;0,I464&gt;0)</formula>
    </cfRule>
    <cfRule type="expression" dxfId="146" priority="121">
      <formula>AND(I464&gt;0,I332&gt;0)</formula>
    </cfRule>
  </conditionalFormatting>
  <conditionalFormatting sqref="I465">
    <cfRule type="expression" dxfId="145" priority="44">
      <formula>AND(H362&gt;0,I465&gt;0)</formula>
    </cfRule>
    <cfRule type="expression" dxfId="144" priority="120">
      <formula>AND(I465&gt;0,I332&gt;0)</formula>
    </cfRule>
  </conditionalFormatting>
  <conditionalFormatting sqref="I468">
    <cfRule type="expression" dxfId="143" priority="41">
      <formula>AND(H362&gt;0,I468&gt;0)</formula>
    </cfRule>
    <cfRule type="expression" dxfId="142" priority="118">
      <formula>AND(I468&gt;0,I332&gt;0)</formula>
    </cfRule>
  </conditionalFormatting>
  <conditionalFormatting sqref="I472">
    <cfRule type="expression" dxfId="141" priority="35">
      <formula>AND(H362&gt;0,I472&gt;0)</formula>
    </cfRule>
    <cfRule type="expression" dxfId="140" priority="115">
      <formula>AND(I472&gt;0,I332&gt;0)</formula>
    </cfRule>
  </conditionalFormatting>
  <conditionalFormatting sqref="I473">
    <cfRule type="expression" dxfId="139" priority="33">
      <formula>AND(H362&gt;0,I473&gt;0)</formula>
    </cfRule>
    <cfRule type="expression" dxfId="138" priority="114">
      <formula>AND(I473&gt;0,I332&gt;0)</formula>
    </cfRule>
  </conditionalFormatting>
  <conditionalFormatting sqref="I474">
    <cfRule type="expression" dxfId="137" priority="30">
      <formula>AND(H362&gt;0,I474&gt;0)</formula>
    </cfRule>
    <cfRule type="expression" dxfId="136" priority="95">
      <formula>AND(I474&gt;0,OR(ar701.1="Alternative Bronze",ar701.1="Performance Path"))</formula>
    </cfRule>
    <cfRule type="expression" dxfId="135" priority="113">
      <formula>AND(I474&gt;0,I332&gt;0)</formula>
    </cfRule>
  </conditionalFormatting>
  <conditionalFormatting sqref="I475">
    <cfRule type="expression" dxfId="134" priority="29">
      <formula>AND(H362&gt;0,I475&gt;0)</formula>
    </cfRule>
    <cfRule type="expression" dxfId="133" priority="96">
      <formula>AND(I475&gt;0,OR(ar701.1="Alternative Bronze",ar701.1="Performance Path"))</formula>
    </cfRule>
    <cfRule type="expression" dxfId="132" priority="112">
      <formula>AND(I475&gt;0,I332&gt;0)</formula>
    </cfRule>
  </conditionalFormatting>
  <conditionalFormatting sqref="H362:I365">
    <cfRule type="expression" dxfId="131" priority="94">
      <formula>AND(H362&gt;0,H477&gt;0)</formula>
    </cfRule>
    <cfRule type="expression" dxfId="130" priority="110">
      <formula>AND($H$362&gt;0,I332&gt;0)</formula>
    </cfRule>
  </conditionalFormatting>
  <conditionalFormatting sqref="I15">
    <cfRule type="expression" dxfId="129" priority="107">
      <formula>AND(H15&gt;0,I15&gt;0)</formula>
    </cfRule>
  </conditionalFormatting>
  <conditionalFormatting sqref="I580:I583">
    <cfRule type="expression" dxfId="128" priority="101">
      <formula>AND(I578&lt;&gt;"",I578&lt;&gt;"Not Seeking Gold or Emerald",I580&lt;&gt;11,ReportType="Final")</formula>
    </cfRule>
  </conditionalFormatting>
  <conditionalFormatting sqref="E375">
    <cfRule type="expression" dxfId="127" priority="100">
      <formula>$H$374=4</formula>
    </cfRule>
  </conditionalFormatting>
  <conditionalFormatting sqref="K8:L8">
    <cfRule type="expression" dxfId="126" priority="99">
      <formula>$H$826="Nothing"</formula>
    </cfRule>
  </conditionalFormatting>
  <conditionalFormatting sqref="J173">
    <cfRule type="expression" dxfId="125" priority="98">
      <formula>AND($J$172&lt;&gt;"",$J$173="")</formula>
    </cfRule>
  </conditionalFormatting>
  <conditionalFormatting sqref="H369:H372">
    <cfRule type="expression" dxfId="124" priority="93">
      <formula>AND(H362&gt;0,H369&gt;0)</formula>
    </cfRule>
  </conditionalFormatting>
  <conditionalFormatting sqref="H391:I395">
    <cfRule type="expression" dxfId="123" priority="89">
      <formula>AND(H362&gt;0,H391&gt;0)</formula>
    </cfRule>
  </conditionalFormatting>
  <conditionalFormatting sqref="J399">
    <cfRule type="expression" dxfId="122" priority="84">
      <formula>H331="Prescriptive Path"</formula>
    </cfRule>
  </conditionalFormatting>
  <conditionalFormatting sqref="J401">
    <cfRule type="expression" dxfId="121" priority="83">
      <formula>H331="Prescriptive Path"</formula>
    </cfRule>
  </conditionalFormatting>
  <conditionalFormatting sqref="J405">
    <cfRule type="expression" dxfId="120" priority="81">
      <formula>H331="Prescriptive Path"</formula>
    </cfRule>
  </conditionalFormatting>
  <conditionalFormatting sqref="J410">
    <cfRule type="expression" dxfId="119" priority="80">
      <formula>H331="Prescriptive Path"</formula>
    </cfRule>
  </conditionalFormatting>
  <conditionalFormatting sqref="J415">
    <cfRule type="expression" dxfId="118" priority="78">
      <formula>H331="Prescriptive Path"</formula>
    </cfRule>
  </conditionalFormatting>
  <conditionalFormatting sqref="J419">
    <cfRule type="expression" dxfId="117" priority="76">
      <formula>H331="Prescriptive Path"</formula>
    </cfRule>
  </conditionalFormatting>
  <conditionalFormatting sqref="J432">
    <cfRule type="expression" dxfId="116" priority="65">
      <formula>H331="Prescriptive Path"</formula>
    </cfRule>
  </conditionalFormatting>
  <conditionalFormatting sqref="J434">
    <cfRule type="expression" dxfId="115" priority="64">
      <formula>H331="Prescriptive Path"</formula>
    </cfRule>
  </conditionalFormatting>
  <conditionalFormatting sqref="J438">
    <cfRule type="expression" dxfId="114" priority="63">
      <formula>H331="Prescriptive Path"</formula>
    </cfRule>
  </conditionalFormatting>
  <conditionalFormatting sqref="J447">
    <cfRule type="expression" dxfId="113" priority="54">
      <formula>H331="Prescriptive Path"</formula>
    </cfRule>
  </conditionalFormatting>
  <conditionalFormatting sqref="J454">
    <cfRule type="expression" dxfId="112" priority="52">
      <formula>H331="Prescriptive Path"</formula>
    </cfRule>
  </conditionalFormatting>
  <conditionalFormatting sqref="J457">
    <cfRule type="expression" dxfId="111" priority="50">
      <formula>H331="Prescriptive Path"</formula>
    </cfRule>
  </conditionalFormatting>
  <conditionalFormatting sqref="J459">
    <cfRule type="expression" dxfId="110" priority="49">
      <formula>H331="Prescriptive Path"</formula>
    </cfRule>
  </conditionalFormatting>
  <conditionalFormatting sqref="H472">
    <cfRule type="expression" dxfId="109" priority="34">
      <formula>AND(H362&gt;0,H472&gt;0)</formula>
    </cfRule>
  </conditionalFormatting>
  <conditionalFormatting sqref="H473">
    <cfRule type="expression" dxfId="108" priority="32">
      <formula>AND(H362&gt;0,H473&gt;0)</formula>
    </cfRule>
  </conditionalFormatting>
  <conditionalFormatting sqref="H474">
    <cfRule type="expression" dxfId="107" priority="31">
      <formula>AND(H362&gt;0,H474&gt;0)</formula>
    </cfRule>
  </conditionalFormatting>
  <conditionalFormatting sqref="H475">
    <cfRule type="expression" dxfId="106" priority="28">
      <formula>AND(H362&gt;0,H475&gt;0)</formula>
    </cfRule>
  </conditionalFormatting>
  <conditionalFormatting sqref="I702">
    <cfRule type="expression" dxfId="105" priority="24">
      <formula>AND($I$700&gt;0, $I$702&gt;0)</formula>
    </cfRule>
  </conditionalFormatting>
  <conditionalFormatting sqref="I700">
    <cfRule type="expression" dxfId="104" priority="23">
      <formula>AND($I$700&gt;0, $I$702&gt;0)</formula>
    </cfRule>
  </conditionalFormatting>
  <conditionalFormatting sqref="G1:H1">
    <cfRule type="expression" dxfId="103" priority="25">
      <formula>TODAY()-#REF!&gt;90</formula>
    </cfRule>
  </conditionalFormatting>
  <conditionalFormatting sqref="K839:K859">
    <cfRule type="expression" dxfId="102" priority="22">
      <formula>AND(OR(E839&lt;&gt;"",F839&lt;&gt;""),$K839="")</formula>
    </cfRule>
  </conditionalFormatting>
  <conditionalFormatting sqref="G859:J859 G839 J839">
    <cfRule type="expression" dxfId="101" priority="21">
      <formula>AND(OR($E839&lt;&gt;"",$F839&lt;&gt;""),G839="")</formula>
    </cfRule>
  </conditionalFormatting>
  <conditionalFormatting sqref="F6:G6">
    <cfRule type="cellIs" dxfId="100" priority="15" operator="equal">
      <formula>0</formula>
    </cfRule>
    <cfRule type="expression" dxfId="99" priority="19">
      <formula>AND(ReportType="Final",$F$4="")</formula>
    </cfRule>
  </conditionalFormatting>
  <conditionalFormatting sqref="K5:L5">
    <cfRule type="expression" dxfId="98" priority="18">
      <formula>$K$5=""</formula>
    </cfRule>
  </conditionalFormatting>
  <conditionalFormatting sqref="F7:G7">
    <cfRule type="expression" dxfId="97" priority="16">
      <formula>AND(ReportType="Final",$F$7="")</formula>
    </cfRule>
  </conditionalFormatting>
  <conditionalFormatting sqref="K7:L7">
    <cfRule type="expression" dxfId="96" priority="9">
      <formula>(HERS="Missing Info on Start Here! tab")</formula>
    </cfRule>
  </conditionalFormatting>
  <conditionalFormatting sqref="I839">
    <cfRule type="expression" dxfId="95" priority="4">
      <formula>AND(OR($E839&lt;&gt;"",$F839&lt;&gt;""),I839="")</formula>
    </cfRule>
  </conditionalFormatting>
  <conditionalFormatting sqref="I839">
    <cfRule type="expression" dxfId="94" priority="1">
      <formula xml:space="preserve"> BatchProcessingQuestion = "No"</formula>
    </cfRule>
    <cfRule type="expression" dxfId="93" priority="2">
      <formula xml:space="preserve"> BatchProcessingQuestion = "No"</formula>
    </cfRule>
    <cfRule type="expression" dxfId="92" priority="3">
      <formula xml:space="preserve"> BatchProcessingQuestion = "No"</formula>
    </cfRule>
  </conditionalFormatting>
  <conditionalFormatting sqref="C835:L874">
    <cfRule type="expression" dxfId="91" priority="12">
      <formula xml:space="preserve"> BatchProcessingQuestion = "No"</formula>
    </cfRule>
    <cfRule type="expression" dxfId="90" priority="13">
      <formula xml:space="preserve"> BatchProcessingQuestion = "No"</formula>
    </cfRule>
    <cfRule type="expression" dxfId="89" priority="14">
      <formula xml:space="preserve"> BatchProcessingQuestion = "No"</formula>
    </cfRule>
  </conditionalFormatting>
  <conditionalFormatting sqref="H633:H634">
    <cfRule type="expression" dxfId="88" priority="7533">
      <formula>AND($H$629=5,$H$633&gt;0,(AND(SUM($H$633:$I$634)&gt;0,SUM($H$635:$I$636)&gt;0)))</formula>
    </cfRule>
    <cfRule type="expression" dxfId="87" priority="7534">
      <formula>AND(H633&gt;0,OR(I404&gt;0,I414&gt;0,I418&gt;0))</formula>
    </cfRule>
    <cfRule type="expression" dxfId="86" priority="7535">
      <formula>AND(H633&gt;0,I633&gt;0)</formula>
    </cfRule>
  </conditionalFormatting>
  <conditionalFormatting sqref="I633:I634">
    <cfRule type="expression" dxfId="85" priority="7536">
      <formula>AND($H$629=5,$I$633&gt;0,(AND(SUM($H$633:$I$634)&gt;0,SUM($H$635:$I$636)&gt;0)))</formula>
    </cfRule>
    <cfRule type="expression" dxfId="84" priority="7537">
      <formula>AND(I633&gt;0,OR(I404&gt;0,I414&gt;0,I418&gt;0))</formula>
    </cfRule>
    <cfRule type="expression" dxfId="83" priority="7538">
      <formula>AND(H633&gt;0,I633&gt;0)</formula>
    </cfRule>
  </conditionalFormatting>
  <conditionalFormatting sqref="I756:I757">
    <cfRule type="expression" dxfId="82" priority="7539">
      <formula>AND(H756&gt;0,AND(SUM(H427,I427)&gt;0,SUM(H428,I428)&gt;0))</formula>
    </cfRule>
  </conditionalFormatting>
  <dataValidations count="122">
    <dataValidation type="list" allowBlank="1" showInputMessage="1" showErrorMessage="1" sqref="H61:I61 I759:I760 H742:I742 H655:I655 H18:I18 H260:I260 I638:I639 H54:I54 H745:I745" xr:uid="{00000000-0002-0000-0900-000000000000}">
      <formula1>"0,7"</formula1>
    </dataValidation>
    <dataValidation type="list" allowBlank="1" showInputMessage="1" showErrorMessage="1" sqref="H491" xr:uid="{00000000-0002-0000-0900-000001000000}">
      <formula1>"OK at Rough"</formula1>
    </dataValidation>
    <dataValidation type="decimal" allowBlank="1" showInputMessage="1" showErrorMessage="1" error="Enter the AFUE % as number greater than or equal to 85.  Do not include the % sign." sqref="J401" xr:uid="{00000000-0002-0000-0900-000002000000}">
      <formula1>84.99</formula1>
      <formula2>100</formula2>
    </dataValidation>
    <dataValidation type="list" allowBlank="1" showInputMessage="1" showErrorMessage="1" sqref="H285:I285" xr:uid="{00000000-0002-0000-0900-000003000000}">
      <formula1>"0,3,6,9"</formula1>
    </dataValidation>
    <dataValidation type="list" allowBlank="1" showInputMessage="1" showErrorMessage="1" sqref="H188:I188" xr:uid="{00000000-0002-0000-0900-000004000000}">
      <formula1>"Met, No crawl, No below grade crawl"</formula1>
    </dataValidation>
    <dataValidation type="list" allowBlank="1" showInputMessage="1" showErrorMessage="1" sqref="H331:I331" xr:uid="{00000000-0002-0000-0900-000005000000}">
      <formula1>dd701.1</formula1>
    </dataValidation>
    <dataValidation type="list" allowBlank="1" showInputMessage="1" showErrorMessage="1" sqref="H313:I319 I528 H749:I749 I748 H747 I739 I708 H321:I323 H78:I78 H96:I97 H81 H83 H115:I115 H111:I113 H36:I36 H134:I134 H85:I85 I81:I83 H145:I150 H152:I155 I676:I679 H179:I179 H87:I87 H236:I238 H272:I273 H281:I282 H212:I214 H488:I488 H172:I172" xr:uid="{00000000-0002-0000-0900-000006000000}">
      <formula1>"0,3"</formula1>
    </dataValidation>
    <dataValidation type="list" allowBlank="1" showInputMessage="1" showErrorMessage="1" sqref="H156:I156 H529:I529 I710:I714 I701 I623 I611 H504:I504 H324 I324:I325 H241:I242 H283:I283 I423 I425 H444:I444 H512:I512 I468 H470:I475 I484 H487:I487 I527 I463 I465" xr:uid="{00000000-0002-0000-0900-000007000000}">
      <formula1>"0,1"</formula1>
    </dataValidation>
    <dataValidation type="whole" operator="greaterThan" allowBlank="1" showInputMessage="1" showErrorMessage="1" error="Please enter a positive integer." sqref="J140" xr:uid="{00000000-0002-0000-0900-000008000000}">
      <formula1>0</formula1>
    </dataValidation>
    <dataValidation type="list" allowBlank="1" showInputMessage="1" showErrorMessage="1" sqref="H79:I79 H707:I707 I698 I686:I689 I592:I593 H548:I548 H109:I110 H100:I100 H93:I94 H90:I91 H22:I22 H24:I24 H34:I35 H37:I37 H41:I41 H157:I157 H159:I161 H274:I275 H180:I181 H184:I184 H193:I193 H174 H203:I204 I174:I175 H239:I239 H248:I248 H397:I397 H476:I476 H489:I489 I681:I684 I738 H227:I227 I464" xr:uid="{00000000-0002-0000-0900-000009000000}">
      <formula1>"0,4"</formula1>
    </dataValidation>
    <dataValidation type="list" allowBlank="1" showInputMessage="1" showErrorMessage="1" sqref="H63:I64" xr:uid="{00000000-0002-0000-0900-00000A000000}">
      <formula1>"0,3,6"</formula1>
    </dataValidation>
    <dataValidation type="list" allowBlank="1" showInputMessage="1" showErrorMessage="1" sqref="H68:I72" xr:uid="{00000000-0002-0000-0900-00000B000000}">
      <formula1>"0,1,2,3,4,5"</formula1>
    </dataValidation>
    <dataValidation type="list" allowBlank="1" showInputMessage="1" showErrorMessage="1" sqref="H641:I642 H73:I73 H75:I75" xr:uid="{00000000-0002-0000-0900-00000C000000}">
      <formula1>"0,2,5"</formula1>
    </dataValidation>
    <dataValidation type="list" allowBlank="1" showInputMessage="1" showErrorMessage="1" sqref="H77:I77 H65:I66 H216:I217" xr:uid="{00000000-0002-0000-0900-00000D000000}">
      <formula1>"0,2,4"</formula1>
    </dataValidation>
    <dataValidation type="list" allowBlank="1" showInputMessage="1" showErrorMessage="1" sqref="I8" xr:uid="{00000000-0002-0000-0900-00000E000000}">
      <formula1>"Rough, Final"</formula1>
    </dataValidation>
    <dataValidation type="list" allowBlank="1" showInputMessage="1" showErrorMessage="1" sqref="H53:I53 I697 I695 I591 I589 I572 H187:I187 H60:I60 H259:I259 H33:I33 H15:H16 I15" xr:uid="{00000000-0002-0000-0900-00000F000000}">
      <formula1>"0,6"</formula1>
    </dataValidation>
    <dataValidation type="list" allowBlank="1" showInputMessage="1" showErrorMessage="1" sqref="H133:I133 I661 I728 I722 I702 I790 I588 H191:I191 H17:I17 I501:I503 I597" xr:uid="{00000000-0002-0000-0900-000010000000}">
      <formula1>"0,8"</formula1>
    </dataValidation>
    <dataValidation type="list" allowBlank="1" showInputMessage="1" showErrorMessage="1" sqref="H25:I25 H754:I754 I700 H631:I631 I594 I495 H23:I23 H118:I119 H114:I114 H102:I108 H125:I128 H38:I38 H40:I40 H46:I46 H49:I51 H59:I59 H31:I32 H467:I467 H485:I485 I491:I492 H98:I99 I499:I500" xr:uid="{00000000-0002-0000-0900-000011000000}">
      <formula1>"0,5"</formula1>
    </dataValidation>
    <dataValidation type="list" allowBlank="1" showInputMessage="1" showErrorMessage="1" sqref="H43:I43" xr:uid="{00000000-0002-0000-0900-000012000000}">
      <formula1>"0,3,4,6"</formula1>
    </dataValidation>
    <dataValidation type="list" allowBlank="1" showInputMessage="1" showErrorMessage="1" sqref="H56:I58 H277:I279 H195:I197 H223:I225 H255:I257" xr:uid="{00000000-0002-0000-0900-000013000000}">
      <formula1>"0,2,4,6"</formula1>
    </dataValidation>
    <dataValidation type="list" allowBlank="1" showInputMessage="1" showErrorMessage="1" sqref="H62" xr:uid="{00000000-0002-0000-0900-000014000000}">
      <formula1>ddLandscapeTypes</formula1>
    </dataValidation>
    <dataValidation type="list" allowBlank="1" showInputMessage="1" showErrorMessage="1" sqref="H121:I123" xr:uid="{00000000-0002-0000-0900-000015000000}">
      <formula1>"0,4,5,6"</formula1>
    </dataValidation>
    <dataValidation type="list" allowBlank="1" showInputMessage="1" showErrorMessage="1" sqref="H130:I132" xr:uid="{00000000-0002-0000-0900-000016000000}">
      <formula1>"0,5,8,11"</formula1>
    </dataValidation>
    <dataValidation type="list" allowBlank="1" showInputMessage="1" showErrorMessage="1" sqref="H19:I20 H547:I547" xr:uid="{00000000-0002-0000-0900-000017000000}">
      <formula1>"0,9"</formula1>
    </dataValidation>
    <dataValidation type="list" allowBlank="1" showInputMessage="1" showErrorMessage="1" sqref="H162:I163" xr:uid="{00000000-0002-0000-0900-000018000000}">
      <formula1>"0,13"</formula1>
    </dataValidation>
    <dataValidation type="list" allowBlank="1" showInputMessage="1" showErrorMessage="1" sqref="H165:I167" xr:uid="{00000000-0002-0000-0900-000019000000}">
      <formula1>"0,4,6,8"</formula1>
    </dataValidation>
    <dataValidation type="whole" allowBlank="1" showInputMessage="1" showErrorMessage="1" sqref="H244:I245 H168:I171" xr:uid="{00000000-0002-0000-0900-00001A000000}">
      <formula1>0</formula1>
      <formula2>12</formula2>
    </dataValidation>
    <dataValidation type="list" allowBlank="1" showInputMessage="1" showErrorMessage="1" sqref="H199 I762:I763 H753:I753 I696 H443:I443 H205:I205 I671:I674 I666:I669 I620:I621 I550 I535:I536 H220:I220 H210:H211 H231:I232 H218:I218 H483:I483" xr:uid="{00000000-0002-0000-0900-00001B000000}">
      <formula1>"0,2"</formula1>
    </dataValidation>
    <dataValidation type="whole" allowBlank="1" showInputMessage="1" showErrorMessage="1" sqref="H246:I247" xr:uid="{00000000-0002-0000-0900-00001C000000}">
      <formula1>0</formula1>
      <formula2>9</formula2>
    </dataValidation>
    <dataValidation type="list" allowBlank="1" showInputMessage="1" showErrorMessage="1" sqref="H251:I253 I585:I587 I574:I576 I569:I571 I563:I565 I462" xr:uid="{00000000-0002-0000-0900-00001D000000}">
      <formula1>"0,1,2,3"</formula1>
    </dataValidation>
    <dataValidation type="list" allowBlank="1" showInputMessage="1" showErrorMessage="1" sqref="H262:I265" xr:uid="{00000000-0002-0000-0900-00001E000000}">
      <formula1>"0,3,4,5,6"</formula1>
    </dataValidation>
    <dataValidation type="list" allowBlank="1" showInputMessage="1" showErrorMessage="1" sqref="H267:I270" xr:uid="{00000000-0002-0000-0900-00001F000000}">
      <formula1>"0,3,4,5,6,7,8"</formula1>
    </dataValidation>
    <dataValidation type="list" allowBlank="1" showInputMessage="1" showErrorMessage="1" sqref="H201:I202" xr:uid="{00000000-0002-0000-0900-000020000000}">
      <formula1>"NA,2"</formula1>
    </dataValidation>
    <dataValidation type="list" allowBlank="1" showInputMessage="1" showErrorMessage="1" sqref="H233:I234" xr:uid="{00000000-0002-0000-0900-000021000000}">
      <formula1>"NA,1"</formula1>
    </dataValidation>
    <dataValidation type="list" allowBlank="1" showInputMessage="1" showErrorMessage="1" sqref="H294:I295 I598" xr:uid="{00000000-0002-0000-0900-000022000000}">
      <formula1>"0,15"</formula1>
    </dataValidation>
    <dataValidation type="list" allowBlank="1" showInputMessage="1" showErrorMessage="1" sqref="H302:I305" xr:uid="{00000000-0002-0000-0900-000023000000}">
      <formula1>"0,4,5"</formula1>
    </dataValidation>
    <dataValidation type="whole" allowBlank="1" showInputMessage="1" showErrorMessage="1" sqref="H299:I300" xr:uid="{00000000-0002-0000-0900-000024000000}">
      <formula1>0</formula1>
      <formula2>20</formula2>
    </dataValidation>
    <dataValidation type="list" allowBlank="1" showInputMessage="1" showErrorMessage="1" sqref="H178:I178" xr:uid="{00000000-0002-0000-0900-000025000000}">
      <formula1>"Met, No Slabs, NA"</formula1>
    </dataValidation>
    <dataValidation type="list" allowBlank="1" showInputMessage="1" showErrorMessage="1" sqref="H183" xr:uid="{00000000-0002-0000-0900-000026000000}">
      <formula1>"Met, No below grade space, NA"</formula1>
    </dataValidation>
    <dataValidation type="list" allowBlank="1" showInputMessage="1" showErrorMessage="1" sqref="I183" xr:uid="{00000000-0002-0000-0900-000027000000}">
      <formula1>"Met,No below grade space, NA"</formula1>
    </dataValidation>
    <dataValidation type="list" allowBlank="1" showInputMessage="1" showErrorMessage="1" sqref="H192" xr:uid="{00000000-0002-0000-0900-000028000000}">
      <formula1>"Met, No conditioned crawl"</formula1>
    </dataValidation>
    <dataValidation type="list" allowBlank="1" showInputMessage="1" showErrorMessage="1" sqref="H357:I357 I206:I207" xr:uid="{00000000-0002-0000-0900-000029000000}">
      <formula1>"Met,NA"</formula1>
    </dataValidation>
    <dataValidation type="list" allowBlank="1" showInputMessage="1" showErrorMessage="1" sqref="H209:I209 H750 H347:H348 I694 I350:I352 I356 H354:I354 H344:I344 H340 H336:H337 I240 H360:I360" xr:uid="{00000000-0002-0000-0900-00002A000000}">
      <formula1>"Met"</formula1>
    </dataValidation>
    <dataValidation type="list" allowBlank="1" showInputMessage="1" showErrorMessage="1" sqref="I226" xr:uid="{00000000-0002-0000-0900-00002B000000}">
      <formula1>"Met, No tile in wet area"</formula1>
    </dataValidation>
    <dataValidation type="list" allowBlank="1" showInputMessage="1" showErrorMessage="1" sqref="H228:I229" xr:uid="{00000000-0002-0000-0900-00002C000000}">
      <formula1>"Met, No history"</formula1>
    </dataValidation>
    <dataValidation type="list" allowBlank="1" showInputMessage="1" showErrorMessage="1" sqref="H289:I290" xr:uid="{00000000-0002-0000-0900-00002D000000}">
      <formula1>"0,2,4,6,8,10"</formula1>
    </dataValidation>
    <dataValidation type="list" allowBlank="1" showInputMessage="1" showErrorMessage="1" sqref="H341" xr:uid="{00000000-0002-0000-0900-00002E000000}">
      <formula1>"Met, Not primary, Not installed"</formula1>
    </dataValidation>
    <dataValidation type="list" allowBlank="1" showInputMessage="1" showErrorMessage="1" sqref="H343" xr:uid="{00000000-0002-0000-0900-00002F000000}">
      <formula1>"Met, No ducts"</formula1>
    </dataValidation>
    <dataValidation type="list" allowBlank="1" showInputMessage="1" showErrorMessage="1" sqref="H345" xr:uid="{00000000-0002-0000-0900-000030000000}">
      <formula1>"Met,No ducts"</formula1>
    </dataValidation>
    <dataValidation type="decimal" allowBlank="1" showInputMessage="1" showErrorMessage="1" error="Please enter the ACH50 value as a number less than 20." sqref="J351" xr:uid="{00000000-0002-0000-0900-000031000000}">
      <formula1>0</formula1>
      <formula2>20</formula2>
    </dataValidation>
    <dataValidation type="list" allowBlank="1" showInputMessage="1" showErrorMessage="1" sqref="H355" xr:uid="{00000000-0002-0000-0900-000032000000}">
      <formula1>"Met,No Recessed lights, No lights in envelop"</formula1>
    </dataValidation>
    <dataValidation type="list" allowBlank="1" showInputMessage="1" showErrorMessage="1" sqref="I355" xr:uid="{00000000-0002-0000-0900-000033000000}">
      <formula1>"Met,No Recessed Lights,No lights in envelop"</formula1>
    </dataValidation>
    <dataValidation type="decimal" allowBlank="1" showInputMessage="1" showErrorMessage="1" error="Enter percent improvement as a number between 0 &amp; 100.  Do not include the percent sign." sqref="J363" xr:uid="{00000000-0002-0000-0900-000034000000}">
      <formula1>0</formula1>
      <formula2>100</formula2>
    </dataValidation>
    <dataValidation type="list" allowBlank="1" showInputMessage="1" showErrorMessage="1" sqref="H369:H372" xr:uid="{00000000-0002-0000-0900-000035000000}">
      <formula1>INDIRECT(VCZword)</formula1>
    </dataValidation>
    <dataValidation type="list" allowBlank="1" showInputMessage="1" showErrorMessage="1" sqref="H374:H375" xr:uid="{00000000-0002-0000-0900-000036000000}">
      <formula1>"0,4,7"</formula1>
    </dataValidation>
    <dataValidation type="list" allowBlank="1" showInputMessage="1" showErrorMessage="1" sqref="H377:I378" xr:uid="{00000000-0002-0000-0900-000037000000}">
      <formula1>INDIRECT(VCZmass)</formula1>
    </dataValidation>
    <dataValidation type="list" allowBlank="1" showInputMessage="1" showErrorMessage="1" sqref="H379:I379" xr:uid="{00000000-0002-0000-0900-000038000000}">
      <formula1>INDIRECT(VCZradiant)</formula1>
    </dataValidation>
    <dataValidation type="decimal" allowBlank="1" showInputMessage="1" showErrorMessage="1" sqref="J382" xr:uid="{00000000-0002-0000-0900-000039000000}">
      <formula1>0</formula1>
      <formula2>20</formula2>
    </dataValidation>
    <dataValidation type="decimal" allowBlank="1" showInputMessage="1" showErrorMessage="1" sqref="J388" xr:uid="{00000000-0002-0000-0900-00003A000000}">
      <formula1>0</formula1>
      <formula2>1</formula2>
    </dataValidation>
    <dataValidation type="list" allowBlank="1" showInputMessage="1" showErrorMessage="1" sqref="J399" xr:uid="{00000000-0002-0000-0900-00003B000000}">
      <formula1>HVAC</formula1>
    </dataValidation>
    <dataValidation type="decimal" operator="greaterThan" allowBlank="1" showInputMessage="1" showErrorMessage="1" error="Enter an HSPF value greater than or equal to 8.2." sqref="J405" xr:uid="{00000000-0002-0000-0900-00003C000000}">
      <formula1>8.19</formula1>
    </dataValidation>
    <dataValidation type="decimal" operator="greaterThan" allowBlank="1" showInputMessage="1" showErrorMessage="1" error="Enter a SEER Value greater than or equal to 14." sqref="J410" xr:uid="{00000000-0002-0000-0900-00003D000000}">
      <formula1>13.99</formula1>
    </dataValidation>
    <dataValidation type="decimal" operator="greaterThan" allowBlank="1" showInputMessage="1" showErrorMessage="1" error="Enter an EER rating greater than or equal to 15." sqref="J415" xr:uid="{00000000-0002-0000-0900-00003E000000}">
      <formula1>14.99</formula1>
    </dataValidation>
    <dataValidation type="decimal" operator="greaterThan" allowBlank="1" showInputMessage="1" showErrorMessage="1" error="Please enter an EER value greater than or equal to 14.1" sqref="J419" xr:uid="{00000000-0002-0000-0900-00003F000000}">
      <formula1>14.09</formula1>
    </dataValidation>
    <dataValidation type="list" allowBlank="1" showInputMessage="1" showErrorMessage="1" sqref="I424 I691:I692 H633:I636" xr:uid="{00000000-0002-0000-0900-000040000000}">
      <formula1>"0,3,5"</formula1>
    </dataValidation>
    <dataValidation type="list" allowBlank="1" showInputMessage="1" showErrorMessage="1" sqref="H427:I427" xr:uid="{00000000-0002-0000-0900-000041000000}">
      <formula1>"0,2,4,6,7"</formula1>
    </dataValidation>
    <dataValidation type="list" allowBlank="1" showInputMessage="1" showErrorMessage="1" sqref="H428:I428" xr:uid="{00000000-0002-0000-0900-000042000000}">
      <formula1>"0,1,3,7,10"</formula1>
    </dataValidation>
    <dataValidation type="list" allowBlank="1" showInputMessage="1" showErrorMessage="1" sqref="H429" xr:uid="{00000000-0002-0000-0900-000043000000}">
      <formula1>"0,3,4,8,11"</formula1>
    </dataValidation>
    <dataValidation type="list" allowBlank="1" showInputMessage="1" showErrorMessage="1" sqref="J432" xr:uid="{00000000-0002-0000-0900-000044000000}">
      <formula1>"Entirely outside,Entirely inside, Both inside &amp; outside"</formula1>
    </dataValidation>
    <dataValidation type="decimal" allowBlank="1" showInputMessage="1" showErrorMessage="1" error="Please enter the leakage rate percent of design flow.  Do not include the % sign." sqref="J434" xr:uid="{00000000-0002-0000-0900-000045000000}">
      <formula1>0</formula1>
      <formula2>6.49</formula2>
    </dataValidation>
    <dataValidation type="list" allowBlank="1" showInputMessage="1" showErrorMessage="1" sqref="J438" xr:uid="{00000000-0002-0000-0900-000046000000}">
      <formula1>"Gas, Gas &gt;75K BTU/Hr or instaneous, Oil, Heat Pump,Electric"</formula1>
    </dataValidation>
    <dataValidation type="decimal" allowBlank="1" showInputMessage="1" showErrorMessage="1" prompt="Enter the energy factor as a decimal number between 0.67 and .99 for all heaters except heat pumps.  For heat pumps enter a value greater than or equal to 1.5" sqref="J440" xr:uid="{00000000-0002-0000-0900-000047000000}">
      <formula1>0</formula1>
      <formula2>5</formula2>
    </dataValidation>
    <dataValidation type="list" allowBlank="1" showInputMessage="1" showErrorMessage="1" sqref="H442:I442" xr:uid="{00000000-0002-0000-0900-000048000000}">
      <formula1>"0,4,8,17"</formula1>
    </dataValidation>
    <dataValidation type="decimal" allowBlank="1" showInputMessage="1" showErrorMessage="1" error="SEF must be greater than or equal to 1.3 for points in this practice." sqref="J447" xr:uid="{00000000-0002-0000-0900-000049000000}">
      <formula1>1.3</formula1>
      <formula2>10</formula2>
    </dataValidation>
    <dataValidation type="list" allowBlank="1" showInputMessage="1" showErrorMessage="1" sqref="J454" xr:uid="{00000000-0002-0000-0900-00004A000000}">
      <formula1>"75,95,(2) Exterior Choice"</formula1>
    </dataValidation>
    <dataValidation type="whole" operator="greaterThanOrEqual" allowBlank="1" showInputMessage="1" showErrorMessage="1" sqref="J457 J459" xr:uid="{00000000-0002-0000-0900-00004B000000}">
      <formula1>0</formula1>
    </dataValidation>
    <dataValidation type="list" allowBlank="1" showInputMessage="1" showErrorMessage="1" sqref="I481:I482" xr:uid="{00000000-0002-0000-0900-00004C000000}">
      <formula1>"0,1,2"</formula1>
    </dataValidation>
    <dataValidation type="decimal" allowBlank="1" showInputMessage="1" showErrorMessage="1" sqref="J495" xr:uid="{00000000-0002-0000-0900-00004E000000}">
      <formula1>0</formula1>
      <formula2>10</formula2>
    </dataValidation>
    <dataValidation type="whole" allowBlank="1" showInputMessage="1" showErrorMessage="1" sqref="I507:I510" xr:uid="{00000000-0002-0000-0900-00004F000000}">
      <formula1>0</formula1>
      <formula2>7</formula2>
    </dataValidation>
    <dataValidation type="list" allowBlank="1" showInputMessage="1" showErrorMessage="1" sqref="I514:I515" xr:uid="{00000000-0002-0000-0900-000050000000}">
      <formula1>"0,1,5"</formula1>
    </dataValidation>
    <dataValidation type="list" allowBlank="1" showInputMessage="1" showErrorMessage="1" sqref="I517:I524" xr:uid="{00000000-0002-0000-0900-000051000000}">
      <formula1>"Installed"</formula1>
    </dataValidation>
    <dataValidation type="whole" allowBlank="1" showInputMessage="1" showErrorMessage="1" sqref="J531" xr:uid="{00000000-0002-0000-0900-000052000000}">
      <formula1>0</formula1>
      <formula2>20000</formula2>
    </dataValidation>
    <dataValidation type="list" allowBlank="1" showInputMessage="1" showErrorMessage="1" sqref="H350:H353" xr:uid="{00000000-0002-0000-0900-000053000000}">
      <formula1>"Visual Inspection - Insulation Better than Grade 3,Testing Option at Final"</formula1>
    </dataValidation>
    <dataValidation type="list" allowBlank="1" showInputMessage="1" showErrorMessage="1" sqref="H542:H546" xr:uid="{00000000-0002-0000-0900-000054000000}">
      <formula1>"0,11,17,29,35,39,"</formula1>
    </dataValidation>
    <dataValidation type="list" allowBlank="1" showInputMessage="1" showErrorMessage="1" sqref="I542:I546" xr:uid="{00000000-0002-0000-0900-000055000000}">
      <formula1>"0,11,17,29,35,39"</formula1>
    </dataValidation>
    <dataValidation type="list" allowBlank="1" showInputMessage="1" showErrorMessage="1" sqref="I551:I552" xr:uid="{00000000-0002-0000-0900-000056000000}">
      <formula1>"0,13,24"</formula1>
    </dataValidation>
    <dataValidation type="list" allowBlank="1" showInputMessage="1" showErrorMessage="1" sqref="I555:I558" xr:uid="{00000000-0002-0000-0900-000057000000}">
      <formula1>"0,4,5,6,7"</formula1>
    </dataValidation>
    <dataValidation type="list" allowBlank="1" showInputMessage="1" showErrorMessage="1" sqref="I560:I561" xr:uid="{00000000-0002-0000-0900-000058000000}">
      <formula1>"0,11,14"</formula1>
    </dataValidation>
    <dataValidation type="list" allowBlank="1" showInputMessage="1" showErrorMessage="1" sqref="I578" xr:uid="{00000000-0002-0000-0900-000059000000}">
      <formula1>"Not Seeking Gold or Emerald,Met -Seeking Emerald, Met- Seeking Gold"</formula1>
    </dataValidation>
    <dataValidation type="list" allowBlank="1" showInputMessage="1" showErrorMessage="1" sqref="I595 H743:I743 I662" xr:uid="{00000000-0002-0000-0900-00005A000000}">
      <formula1>"0,10"</formula1>
    </dataValidation>
    <dataValidation type="list" allowBlank="1" showInputMessage="1" showErrorMessage="1" sqref="I600:I605" xr:uid="{00000000-0002-0000-0900-00005B000000}">
      <formula1>"0,5,10,15,25"</formula1>
    </dataValidation>
    <dataValidation type="list" allowBlank="1" showInputMessage="1" showErrorMessage="1" sqref="I607:I610" xr:uid="{00000000-0002-0000-0900-00005C000000}">
      <formula1>"5,10,15,25"</formula1>
    </dataValidation>
    <dataValidation type="list" allowBlank="1" showInputMessage="1" showErrorMessage="1" sqref="I614:I618" xr:uid="{00000000-0002-0000-0900-00005D000000}">
      <formula1>"0,5,10,15,20,25"</formula1>
    </dataValidation>
    <dataValidation type="list" allowBlank="1" showInputMessage="1" showErrorMessage="1" sqref="I622 I624" xr:uid="{00000000-0002-0000-0900-00005E000000}">
      <formula1>"0,20"</formula1>
    </dataValidation>
    <dataValidation type="whole" allowBlank="1" showInputMessage="1" showErrorMessage="1" sqref="H629:I630" xr:uid="{00000000-0002-0000-0900-00005F000000}">
      <formula1>5</formula1>
      <formula2>5</formula2>
    </dataValidation>
    <dataValidation type="list" allowBlank="1" showInputMessage="1" showErrorMessage="1" sqref="H637:H638 I637" xr:uid="{00000000-0002-0000-0900-000060000000}">
      <formula1>"Met,No gas fireplace or heating equipment"</formula1>
    </dataValidation>
    <dataValidation type="list" allowBlank="1" showInputMessage="1" showErrorMessage="1" sqref="H645:H646" xr:uid="{00000000-0002-0000-0900-000061000000}">
      <formula1>"Site built fireplace present,No site built fireplace"</formula1>
    </dataValidation>
    <dataValidation type="list" allowBlank="1" showInputMessage="1" showErrorMessage="1" sqref="H647:H648" xr:uid="{00000000-0002-0000-0900-000062000000}">
      <formula1>"No factory-built wood-buring fireplace,Factory-built wood-burning fireplace present"</formula1>
    </dataValidation>
    <dataValidation type="list" allowBlank="1" showInputMessage="1" showErrorMessage="1" sqref="H649:H650" xr:uid="{00000000-0002-0000-0900-000063000000}">
      <formula1>"No wood stove or insert, Wood stove or insert present"</formula1>
    </dataValidation>
    <dataValidation type="list" allowBlank="1" showInputMessage="1" showErrorMessage="1" sqref="H651:H652" xr:uid="{00000000-0002-0000-0900-000064000000}">
      <formula1>"No pellet stove or furnace, Pellet stove or furnace present"</formula1>
    </dataValidation>
    <dataValidation type="list" allowBlank="1" showInputMessage="1" showErrorMessage="1" sqref="H653:H654" xr:uid="{00000000-0002-0000-0900-000065000000}">
      <formula1>"No masonry heater, Masonry heater present"</formula1>
    </dataValidation>
    <dataValidation type="list" allowBlank="1" showInputMessage="1" showErrorMessage="1" sqref="I657 H659:I659" xr:uid="{00000000-0002-0000-0900-000066000000}">
      <formula1>"Met,No attached garage"</formula1>
    </dataValidation>
    <dataValidation type="list" allowBlank="1" showInputMessage="1" showErrorMessage="1" sqref="I645" xr:uid="{00000000-0002-0000-0900-000067000000}">
      <formula1>"Met,No site built fireplace"</formula1>
    </dataValidation>
    <dataValidation type="list" allowBlank="1" showInputMessage="1" showErrorMessage="1" sqref="I647" xr:uid="{00000000-0002-0000-0900-000068000000}">
      <formula1>"Met,No factory-built wood-burning fireplace"</formula1>
    </dataValidation>
    <dataValidation type="list" allowBlank="1" showInputMessage="1" showErrorMessage="1" sqref="I649" xr:uid="{00000000-0002-0000-0900-000069000000}">
      <formula1>"Met,No wood stove or insert"</formula1>
    </dataValidation>
    <dataValidation type="list" allowBlank="1" showInputMessage="1" showErrorMessage="1" sqref="I651" xr:uid="{00000000-0002-0000-0900-00006A000000}">
      <formula1>"Met,No pellet stove or furnace"</formula1>
    </dataValidation>
    <dataValidation type="list" allowBlank="1" showInputMessage="1" showErrorMessage="1" sqref="I653" xr:uid="{00000000-0002-0000-0900-00006B000000}">
      <formula1>"Met,No masonry heater"</formula1>
    </dataValidation>
    <dataValidation type="list" allowBlank="1" showInputMessage="1" showErrorMessage="1" sqref="H663" xr:uid="{00000000-0002-0000-0900-00006C000000}">
      <formula1>"Met, No structural wood panels used"</formula1>
    </dataValidation>
    <dataValidation type="list" allowBlank="1" showInputMessage="1" showErrorMessage="1" sqref="I704:I706" xr:uid="{00000000-0002-0000-0900-00006D000000}">
      <formula1>"0,5,8"</formula1>
    </dataValidation>
    <dataValidation type="list" allowBlank="1" showInputMessage="1" showErrorMessage="1" sqref="I719" xr:uid="{00000000-0002-0000-0900-00006E000000}">
      <formula1>"Met,Met plus window"</formula1>
    </dataValidation>
    <dataValidation type="list" allowBlank="1" showInputMessage="1" showErrorMessage="1" sqref="I721" xr:uid="{00000000-0002-0000-0900-00006F000000}">
      <formula1>"Met,No clothes dryer"</formula1>
    </dataValidation>
    <dataValidation type="list" allowBlank="1" showInputMessage="1" showErrorMessage="1" sqref="I724:I727" xr:uid="{00000000-0002-0000-0900-000070000000}">
      <formula1>"0,5,7,9,11"</formula1>
    </dataValidation>
    <dataValidation type="list" allowBlank="1" showInputMessage="1" showErrorMessage="1" sqref="I734:I737" xr:uid="{00000000-0002-0000-0900-000071000000}">
      <formula1>"0,3,6,7,8"</formula1>
    </dataValidation>
    <dataValidation type="list" allowBlank="1" showInputMessage="1" showErrorMessage="1" sqref="J741" xr:uid="{00000000-0002-0000-0900-000072000000}">
      <formula1>"1,2,3"</formula1>
    </dataValidation>
    <dataValidation type="list" allowBlank="1" showInputMessage="1" showErrorMessage="1" sqref="H756:I757" xr:uid="{00000000-0002-0000-0900-000074000000}">
      <formula1>"0,1,3"</formula1>
    </dataValidation>
    <dataValidation type="list" allowBlank="1" showInputMessage="1" showErrorMessage="1" sqref="I768:I788 I794:I801 I803:I812 I814:I822" xr:uid="{00000000-0002-0000-0900-000075000000}">
      <formula1>"Included"</formula1>
    </dataValidation>
    <dataValidation type="whole" operator="greaterThan" allowBlank="1" showInputMessage="1" showErrorMessage="1" sqref="J131" xr:uid="{00000000-0002-0000-0900-000076000000}">
      <formula1>0</formula1>
    </dataValidation>
    <dataValidation type="list" allowBlank="1" showInputMessage="1" showErrorMessage="1" sqref="H206:H207" xr:uid="{00000000-0002-0000-0900-000077000000}">
      <formula1>"Met,NA,Not yet installed - will verify at Final"</formula1>
    </dataValidation>
    <dataValidation type="list" allowBlank="1" showInputMessage="1" showErrorMessage="1" sqref="H226" xr:uid="{00000000-0002-0000-0900-000078000000}">
      <formula1>"Met, No tile in wet area, Not yet - will verify at Final"</formula1>
    </dataValidation>
    <dataValidation type="list" allowBlank="1" showInputMessage="1" showErrorMessage="1" sqref="I580:I583" xr:uid="{00000000-0002-0000-0900-000079000000}">
      <formula1>"0,2,4,6,11"</formula1>
    </dataValidation>
    <dataValidation type="list" allowBlank="1" showInputMessage="1" showErrorMessage="1" sqref="F833:F835" xr:uid="{00000000-0002-0000-0900-00007A000000}">
      <formula1>ddBatchProcessing</formula1>
    </dataValidation>
    <dataValidation type="list" allowBlank="1" showInputMessage="1" showErrorMessage="1" sqref="K5:L5" xr:uid="{00000000-0002-0000-0900-00007B000000}">
      <formula1>CertificationLevel</formula1>
    </dataValidation>
  </dataValidations>
  <hyperlinks>
    <hyperlink ref="L840" location="'Verification Rpt'!H15" display="CLICK HERE TO GO BACK TO TOP" xr:uid="{00000000-0004-0000-0900-000000000000}"/>
    <hyperlink ref="E5" location="'Verification Rpt'!F832" display="See Batch List Below                                                                   Community/Lot #:" xr:uid="{00000000-0004-0000-0900-000001000000}"/>
  </hyperlinks>
  <pageMargins left="0.25" right="0.25" top="0.5" bottom="0.5" header="0.3" footer="0.3"/>
  <pageSetup scale="63" fitToHeight="31" orientation="landscape" r:id="rId1"/>
  <headerFooter>
    <oddFooter>&amp;C&amp;8© 2013 Home Innovation Research Labs.  Practices of ICC700-2012 © 2013 National Association of Home Builders- used by permission.   Home Innovation authorizes use by those persons participating in the Home Innovation’s Green Building Certification.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CC340"/>
  <sheetViews>
    <sheetView topLeftCell="BA154" zoomScaleNormal="100" workbookViewId="0">
      <selection activeCell="A154" sqref="A1:AZ1048576"/>
    </sheetView>
  </sheetViews>
  <sheetFormatPr baseColWidth="10" defaultColWidth="9" defaultRowHeight="14"/>
  <cols>
    <col min="1" max="52" width="0.5" style="115" hidden="1" customWidth="1"/>
    <col min="53" max="56" width="3.5" style="115" customWidth="1"/>
    <col min="57" max="57" width="3" style="115" customWidth="1"/>
    <col min="58" max="58" width="7.1640625" style="115" customWidth="1"/>
    <col min="59" max="59" width="9" style="115" customWidth="1"/>
    <col min="60" max="60" width="9.1640625" style="115" customWidth="1"/>
    <col min="61" max="61" width="2.5" style="115" customWidth="1"/>
    <col min="62" max="62" width="3.5" style="115" customWidth="1"/>
    <col min="63" max="63" width="15.6640625" style="115" customWidth="1"/>
    <col min="64" max="68" width="3.5" style="115" customWidth="1"/>
    <col min="69" max="69" width="6" style="115" customWidth="1"/>
    <col min="70" max="70" width="9" style="115" customWidth="1"/>
    <col min="71" max="71" width="8.5" style="115" customWidth="1"/>
    <col min="72" max="73" width="2.5" style="115" customWidth="1"/>
    <col min="74" max="74" width="15.6640625" style="115" customWidth="1"/>
    <col min="75" max="75" width="2.5" style="115" customWidth="1"/>
    <col min="76" max="79" width="3" style="115" customWidth="1"/>
    <col min="80" max="80" width="6" style="115" customWidth="1"/>
    <col min="81" max="81" width="12.33203125" style="115" customWidth="1"/>
    <col min="82" max="107" width="9" style="115" customWidth="1"/>
    <col min="108" max="16384" width="9" style="115"/>
  </cols>
  <sheetData>
    <row r="1" spans="1:28" s="1811" customFormat="1">
      <c r="A1" s="838" t="s">
        <v>2599</v>
      </c>
      <c r="B1" s="1875">
        <f ca="1">TODAY()-startRevisionDate</f>
        <v>384</v>
      </c>
      <c r="C1" s="1811" t="s">
        <v>2600</v>
      </c>
    </row>
    <row r="2" spans="1:28" s="1811" customFormat="1"/>
    <row r="3" spans="1:28">
      <c r="A3" s="5473" t="s">
        <v>167</v>
      </c>
      <c r="B3" s="5473"/>
      <c r="C3" s="5473"/>
      <c r="P3" s="1811" t="s">
        <v>2698</v>
      </c>
      <c r="Q3" s="115">
        <v>1</v>
      </c>
      <c r="R3" s="115">
        <v>2</v>
      </c>
      <c r="S3" s="115">
        <v>3</v>
      </c>
      <c r="T3" s="115">
        <v>4</v>
      </c>
      <c r="U3" s="115">
        <v>5</v>
      </c>
      <c r="V3" s="115">
        <v>6</v>
      </c>
      <c r="W3" s="115">
        <v>7</v>
      </c>
      <c r="X3" s="115">
        <v>8</v>
      </c>
    </row>
    <row r="4" spans="1:28" s="710" customFormat="1">
      <c r="A4" s="710" t="s">
        <v>211</v>
      </c>
      <c r="B4" s="710" t="s">
        <v>214</v>
      </c>
      <c r="C4" s="710" t="s">
        <v>127</v>
      </c>
      <c r="D4" s="710" t="s">
        <v>128</v>
      </c>
      <c r="E4" s="710" t="s">
        <v>129</v>
      </c>
      <c r="F4" s="710" t="s">
        <v>130</v>
      </c>
      <c r="G4" s="710" t="s">
        <v>131</v>
      </c>
      <c r="H4" s="710" t="s">
        <v>132</v>
      </c>
      <c r="I4" s="710" t="s">
        <v>133</v>
      </c>
      <c r="J4" s="710" t="s">
        <v>134</v>
      </c>
      <c r="K4" s="710" t="s">
        <v>135</v>
      </c>
      <c r="L4" s="710" t="s">
        <v>136</v>
      </c>
      <c r="M4" s="710" t="s">
        <v>137</v>
      </c>
      <c r="N4" s="710" t="s">
        <v>138</v>
      </c>
      <c r="O4" s="710" t="s">
        <v>139</v>
      </c>
      <c r="P4" s="710" t="s">
        <v>214</v>
      </c>
      <c r="Q4" s="710" t="s">
        <v>2087</v>
      </c>
      <c r="R4" s="710" t="s">
        <v>2088</v>
      </c>
      <c r="S4" s="710" t="s">
        <v>2089</v>
      </c>
      <c r="T4" s="710" t="s">
        <v>2090</v>
      </c>
      <c r="U4" s="710" t="s">
        <v>2091</v>
      </c>
      <c r="V4" s="710" t="s">
        <v>2092</v>
      </c>
      <c r="W4" s="710" t="s">
        <v>2093</v>
      </c>
      <c r="X4" s="710" t="s">
        <v>2094</v>
      </c>
      <c r="Y4" s="710" t="s">
        <v>2535</v>
      </c>
      <c r="Z4" s="710" t="s">
        <v>2540</v>
      </c>
      <c r="AA4" s="710" t="s">
        <v>3085</v>
      </c>
      <c r="AB4" s="710" t="s">
        <v>3096</v>
      </c>
    </row>
    <row r="5" spans="1:28" ht="90">
      <c r="A5" s="115" t="s">
        <v>212</v>
      </c>
      <c r="B5" s="115">
        <v>1</v>
      </c>
      <c r="C5" s="115" t="s">
        <v>140</v>
      </c>
      <c r="D5" s="1728" t="s">
        <v>141</v>
      </c>
      <c r="E5" s="115" t="s">
        <v>142</v>
      </c>
      <c r="F5" s="1750" t="s">
        <v>144</v>
      </c>
      <c r="G5" s="1750" t="s">
        <v>2556</v>
      </c>
      <c r="H5" s="115" t="s">
        <v>144</v>
      </c>
      <c r="I5" s="115" t="s">
        <v>145</v>
      </c>
      <c r="J5" s="115" t="s">
        <v>146</v>
      </c>
      <c r="K5" s="115" t="s">
        <v>146</v>
      </c>
      <c r="L5" s="115" t="s">
        <v>146</v>
      </c>
      <c r="M5" s="115" t="s">
        <v>146</v>
      </c>
      <c r="N5" s="115" t="s">
        <v>146</v>
      </c>
      <c r="O5" s="115" t="s">
        <v>146</v>
      </c>
      <c r="P5" s="710" t="s">
        <v>2082</v>
      </c>
      <c r="Q5" s="115" t="s">
        <v>2083</v>
      </c>
      <c r="R5" s="115" t="s">
        <v>2083</v>
      </c>
      <c r="S5" s="115" t="s">
        <v>2083</v>
      </c>
      <c r="T5" s="115" t="s">
        <v>2085</v>
      </c>
      <c r="U5" s="115" t="s">
        <v>2085</v>
      </c>
      <c r="V5" s="115" t="s">
        <v>2085</v>
      </c>
      <c r="W5" s="115" t="s">
        <v>2085</v>
      </c>
      <c r="X5" s="1403" t="s">
        <v>2095</v>
      </c>
      <c r="Y5" s="115" t="s">
        <v>2536</v>
      </c>
      <c r="Z5" s="115" t="s">
        <v>2541</v>
      </c>
      <c r="AA5" s="115" t="s">
        <v>146</v>
      </c>
      <c r="AB5" s="2780" t="s">
        <v>4</v>
      </c>
    </row>
    <row r="6" spans="1:28" ht="90">
      <c r="A6" s="115" t="s">
        <v>213</v>
      </c>
      <c r="B6" s="115">
        <v>2</v>
      </c>
      <c r="C6" s="115" t="s">
        <v>1095</v>
      </c>
      <c r="D6" s="115" t="s">
        <v>147</v>
      </c>
      <c r="E6" s="115" t="s">
        <v>148</v>
      </c>
      <c r="F6" s="115" t="s">
        <v>143</v>
      </c>
      <c r="G6" s="115" t="s">
        <v>150</v>
      </c>
      <c r="H6" s="115" t="s">
        <v>151</v>
      </c>
      <c r="I6" s="115" t="s">
        <v>152</v>
      </c>
      <c r="J6" s="115" t="s">
        <v>153</v>
      </c>
      <c r="K6" s="115" t="s">
        <v>153</v>
      </c>
      <c r="L6" s="115" t="s">
        <v>153</v>
      </c>
      <c r="M6" s="115" t="s">
        <v>153</v>
      </c>
      <c r="N6" s="115" t="s">
        <v>153</v>
      </c>
      <c r="O6" s="115" t="s">
        <v>153</v>
      </c>
      <c r="R6" s="115" t="s">
        <v>2084</v>
      </c>
      <c r="S6" s="115" t="s">
        <v>2085</v>
      </c>
      <c r="T6" s="115" t="s">
        <v>2084</v>
      </c>
      <c r="U6" s="115" t="s">
        <v>2084</v>
      </c>
      <c r="V6" s="115" t="s">
        <v>2084</v>
      </c>
      <c r="W6" s="115" t="s">
        <v>2084</v>
      </c>
      <c r="Y6" s="115" t="s">
        <v>2537</v>
      </c>
      <c r="Z6" s="115" t="s">
        <v>2542</v>
      </c>
      <c r="AA6" s="115" t="s">
        <v>153</v>
      </c>
      <c r="AB6" s="2780" t="s">
        <v>5</v>
      </c>
    </row>
    <row r="7" spans="1:28" ht="60">
      <c r="B7" s="115">
        <v>3</v>
      </c>
      <c r="C7" s="115" t="s">
        <v>1096</v>
      </c>
      <c r="D7" s="115" t="s">
        <v>154</v>
      </c>
      <c r="E7" s="115" t="s">
        <v>155</v>
      </c>
      <c r="F7" s="115" t="s">
        <v>149</v>
      </c>
      <c r="G7" s="115" t="s">
        <v>157</v>
      </c>
      <c r="H7" s="115" t="s">
        <v>158</v>
      </c>
      <c r="I7" s="115" t="s">
        <v>159</v>
      </c>
      <c r="S7" s="115" t="s">
        <v>2084</v>
      </c>
      <c r="T7" s="115" t="s">
        <v>2086</v>
      </c>
      <c r="Y7" s="115" t="s">
        <v>2538</v>
      </c>
      <c r="Z7" s="115" t="s">
        <v>2543</v>
      </c>
      <c r="AB7" s="2780" t="s">
        <v>6</v>
      </c>
    </row>
    <row r="8" spans="1:28" ht="105">
      <c r="B8" s="115">
        <v>4</v>
      </c>
      <c r="C8" s="115" t="s">
        <v>1082</v>
      </c>
      <c r="D8" s="1744" t="s">
        <v>160</v>
      </c>
      <c r="E8" s="1743" t="s">
        <v>2552</v>
      </c>
      <c r="F8" s="115" t="s">
        <v>156</v>
      </c>
      <c r="G8" s="115" t="s">
        <v>162</v>
      </c>
      <c r="H8" s="115" t="s">
        <v>165</v>
      </c>
      <c r="I8" s="115" t="s">
        <v>163</v>
      </c>
      <c r="S8" s="115" t="s">
        <v>2086</v>
      </c>
      <c r="Y8" s="115" t="s">
        <v>2539</v>
      </c>
      <c r="Z8" s="115" t="s">
        <v>2544</v>
      </c>
      <c r="AB8" s="2780" t="s">
        <v>7</v>
      </c>
    </row>
    <row r="9" spans="1:28">
      <c r="B9" s="115">
        <v>5</v>
      </c>
      <c r="C9" s="115" t="s">
        <v>1097</v>
      </c>
      <c r="D9" s="1728" t="s">
        <v>164</v>
      </c>
      <c r="E9" s="1743" t="s">
        <v>166</v>
      </c>
      <c r="F9" s="115" t="s">
        <v>161</v>
      </c>
      <c r="G9" s="1811" t="s">
        <v>2585</v>
      </c>
      <c r="I9" s="115" t="s">
        <v>165</v>
      </c>
      <c r="P9" s="1811" t="s">
        <v>2699</v>
      </c>
      <c r="Q9" s="115" t="str">
        <f>IF(startClimateZone=1,"One",IF(startClimateZone=2,"Two",IF(startClimateZone=3,"Three",IF(startClimateZone=4,"Four",IF(startClimateZone=5,"Five",IF(startClimateZone=6,"Six",IF(startClimateZone=7,"Seven",IF(startClimateZone=8,"Eight",""))))))))</f>
        <v/>
      </c>
      <c r="Y9" s="1811" t="s">
        <v>3112</v>
      </c>
      <c r="Z9" s="115" t="s">
        <v>2545</v>
      </c>
    </row>
    <row r="10" spans="1:28">
      <c r="B10" s="115">
        <v>6</v>
      </c>
      <c r="C10" s="1728" t="s">
        <v>1098</v>
      </c>
      <c r="D10" s="1728" t="s">
        <v>165</v>
      </c>
      <c r="E10" s="1743" t="s">
        <v>165</v>
      </c>
      <c r="F10" s="115" t="s">
        <v>165</v>
      </c>
      <c r="G10" s="1750" t="s">
        <v>2557</v>
      </c>
      <c r="Y10" s="1811" t="s">
        <v>3113</v>
      </c>
      <c r="Z10" s="115" t="s">
        <v>2546</v>
      </c>
    </row>
    <row r="11" spans="1:28">
      <c r="B11" s="115">
        <v>7</v>
      </c>
      <c r="C11" s="1728" t="s">
        <v>2551</v>
      </c>
      <c r="G11" s="1750" t="s">
        <v>2558</v>
      </c>
      <c r="P11" s="1811" t="s">
        <v>2707</v>
      </c>
      <c r="Q11" s="1811" t="str">
        <f>IF(VCZ=1,"VCZOne",IF(VCZ=2,"VCZTwo",IF(VCZ=3,"VCZThree",IF(VCZ=4,"VCZFour",IF(VCZ=5,"VCZFive",IF(VCZ=6,"VCZSix",IF(VCZ=7,"VCZSeven",IF(VCZ=8,"VCZEight",""))))))))</f>
        <v/>
      </c>
      <c r="Y11" s="1811" t="s">
        <v>3114</v>
      </c>
      <c r="Z11" s="115" t="s">
        <v>2547</v>
      </c>
    </row>
    <row r="12" spans="1:28">
      <c r="B12" s="115">
        <v>8</v>
      </c>
      <c r="C12" s="1728" t="s">
        <v>165</v>
      </c>
      <c r="G12" s="1750" t="s">
        <v>2559</v>
      </c>
      <c r="O12" s="838" t="s">
        <v>2701</v>
      </c>
      <c r="P12" s="710" t="s">
        <v>214</v>
      </c>
      <c r="Q12" s="710" t="s">
        <v>2087</v>
      </c>
      <c r="R12" s="710" t="s">
        <v>2088</v>
      </c>
      <c r="S12" s="710" t="s">
        <v>2089</v>
      </c>
      <c r="T12" s="710" t="s">
        <v>2090</v>
      </c>
      <c r="U12" s="710" t="s">
        <v>2091</v>
      </c>
      <c r="V12" s="710" t="s">
        <v>2092</v>
      </c>
      <c r="W12" s="710" t="s">
        <v>2093</v>
      </c>
      <c r="X12" s="710" t="s">
        <v>2094</v>
      </c>
      <c r="Y12" s="1811" t="s">
        <v>165</v>
      </c>
      <c r="Z12" s="115" t="s">
        <v>2548</v>
      </c>
    </row>
    <row r="13" spans="1:28">
      <c r="C13" s="1728"/>
      <c r="G13" s="1750" t="s">
        <v>165</v>
      </c>
      <c r="P13" s="1811" t="s">
        <v>2702</v>
      </c>
      <c r="Q13" s="115">
        <v>0</v>
      </c>
      <c r="R13" s="115">
        <v>0</v>
      </c>
      <c r="S13" s="115">
        <v>0</v>
      </c>
      <c r="T13" s="115">
        <v>0</v>
      </c>
      <c r="U13" s="115">
        <v>0</v>
      </c>
      <c r="V13" s="115">
        <v>0</v>
      </c>
      <c r="W13" s="115">
        <v>0</v>
      </c>
      <c r="X13" s="115">
        <v>0</v>
      </c>
      <c r="Z13" s="115" t="s">
        <v>165</v>
      </c>
    </row>
    <row r="14" spans="1:28">
      <c r="P14" s="1811" t="s">
        <v>2703</v>
      </c>
      <c r="Q14" s="115">
        <v>0</v>
      </c>
      <c r="R14" s="115">
        <v>2</v>
      </c>
      <c r="S14" s="115">
        <v>3</v>
      </c>
      <c r="T14" s="115">
        <v>4</v>
      </c>
      <c r="U14" s="115">
        <v>7</v>
      </c>
      <c r="V14" s="115">
        <v>5</v>
      </c>
      <c r="W14" s="115">
        <v>3</v>
      </c>
      <c r="X14" s="115">
        <v>4</v>
      </c>
      <c r="Z14" s="1811" t="s">
        <v>144</v>
      </c>
    </row>
    <row r="15" spans="1:28">
      <c r="P15" s="1811" t="s">
        <v>2704</v>
      </c>
      <c r="Q15" s="115">
        <v>0</v>
      </c>
      <c r="R15" s="115">
        <v>6</v>
      </c>
      <c r="S15" s="115">
        <v>8</v>
      </c>
      <c r="T15" s="115">
        <v>8</v>
      </c>
      <c r="U15" s="115">
        <v>11</v>
      </c>
      <c r="V15" s="115">
        <v>12</v>
      </c>
      <c r="W15" s="115">
        <v>9</v>
      </c>
      <c r="X15" s="115">
        <v>10</v>
      </c>
    </row>
    <row r="16" spans="1:28">
      <c r="P16" s="1811" t="s">
        <v>2705</v>
      </c>
      <c r="Q16" s="115">
        <v>0</v>
      </c>
      <c r="R16" s="115">
        <v>10</v>
      </c>
      <c r="S16" s="115">
        <v>12</v>
      </c>
      <c r="T16" s="115">
        <v>13</v>
      </c>
      <c r="U16" s="115">
        <v>16</v>
      </c>
      <c r="V16" s="115">
        <v>14</v>
      </c>
      <c r="W16" s="115">
        <v>11</v>
      </c>
      <c r="X16" s="115">
        <v>12</v>
      </c>
    </row>
    <row r="17" spans="1:81" s="711" customFormat="1">
      <c r="A17" s="711" t="s">
        <v>168</v>
      </c>
      <c r="F17" s="115"/>
      <c r="P17" s="1811" t="s">
        <v>2706</v>
      </c>
      <c r="Q17" s="1811">
        <v>2</v>
      </c>
      <c r="R17" s="1811">
        <v>14</v>
      </c>
      <c r="S17" s="1811">
        <v>17</v>
      </c>
      <c r="T17" s="1811">
        <v>18</v>
      </c>
      <c r="U17" s="1811">
        <v>18</v>
      </c>
      <c r="V17" s="1811">
        <v>17</v>
      </c>
      <c r="W17" s="1811">
        <v>14</v>
      </c>
      <c r="X17" s="1811">
        <v>16</v>
      </c>
    </row>
    <row r="18" spans="1:81" s="710" customFormat="1">
      <c r="A18" s="710" t="s">
        <v>61</v>
      </c>
      <c r="B18" s="710" t="s">
        <v>81</v>
      </c>
      <c r="C18" s="710" t="s">
        <v>90</v>
      </c>
      <c r="D18" s="710" t="s">
        <v>116</v>
      </c>
      <c r="E18" s="710">
        <v>505.3</v>
      </c>
      <c r="F18" s="711"/>
    </row>
    <row r="19" spans="1:81">
      <c r="A19" s="115" t="s">
        <v>65</v>
      </c>
      <c r="B19" s="115" t="s">
        <v>891</v>
      </c>
      <c r="C19" s="115" t="s">
        <v>2122</v>
      </c>
      <c r="D19" s="115" t="s">
        <v>893</v>
      </c>
      <c r="E19" s="115" t="s">
        <v>894</v>
      </c>
      <c r="F19" s="710"/>
      <c r="O19" s="1811"/>
      <c r="P19" s="1811" t="s">
        <v>2711</v>
      </c>
      <c r="Q19" s="1811" t="str">
        <f>IF(VCZ=1,"VCZmassOne",IF(VCZ=2,"VCZmassTwo",IF(VCZ=3,"VCZmassThree",IF(VCZ=4,"VCZmassFour",IF(VCZ=5,"VCZmassFive",IF(VCZ=6,"VCZmassSix",IF(VCZ=7,"VCZmassSeven",IF(VCZ=8,"VCZmassEight",""))))))))</f>
        <v/>
      </c>
    </row>
    <row r="20" spans="1:81">
      <c r="A20" s="115" t="s">
        <v>66</v>
      </c>
      <c r="B20" s="115" t="s">
        <v>66</v>
      </c>
      <c r="C20" s="115" t="s">
        <v>2123</v>
      </c>
      <c r="D20" s="115" t="s">
        <v>114</v>
      </c>
      <c r="E20" s="115" t="s">
        <v>895</v>
      </c>
      <c r="O20" s="838" t="s">
        <v>2708</v>
      </c>
      <c r="P20" s="710" t="s">
        <v>214</v>
      </c>
      <c r="Q20" s="710" t="s">
        <v>2087</v>
      </c>
      <c r="R20" s="710" t="s">
        <v>2088</v>
      </c>
      <c r="S20" s="710" t="s">
        <v>2089</v>
      </c>
      <c r="T20" s="710" t="s">
        <v>2090</v>
      </c>
      <c r="U20" s="710" t="s">
        <v>2091</v>
      </c>
      <c r="V20" s="710" t="s">
        <v>2092</v>
      </c>
      <c r="W20" s="710" t="s">
        <v>2093</v>
      </c>
      <c r="X20" s="710" t="s">
        <v>2094</v>
      </c>
    </row>
    <row r="21" spans="1:81">
      <c r="A21" s="115" t="s">
        <v>892</v>
      </c>
      <c r="B21" s="115" t="s">
        <v>892</v>
      </c>
      <c r="C21" s="115" t="s">
        <v>2124</v>
      </c>
      <c r="D21" s="115" t="s">
        <v>892</v>
      </c>
      <c r="E21" s="115" t="s">
        <v>896</v>
      </c>
      <c r="P21" s="1811" t="s">
        <v>2709</v>
      </c>
      <c r="Q21" s="115">
        <v>5</v>
      </c>
      <c r="R21" s="115">
        <v>5</v>
      </c>
      <c r="S21" s="115">
        <v>5</v>
      </c>
      <c r="T21" s="115">
        <v>5</v>
      </c>
      <c r="U21" s="115">
        <v>4</v>
      </c>
      <c r="V21" s="115">
        <v>3</v>
      </c>
      <c r="W21" s="115">
        <v>0</v>
      </c>
      <c r="X21" s="115">
        <v>0</v>
      </c>
    </row>
    <row r="22" spans="1:81">
      <c r="A22" s="115">
        <f>IF(choice503.2_3=A19, 3, IF(choice503.2_3=A20, 4, IF(choice503.2_3=A21, 6, 0)))</f>
        <v>0</v>
      </c>
      <c r="B22" s="115">
        <f>IF(choice503.4_3=B19, 2, IF(choice503.4_3=B20, 4, IF(choice503.4_3=B21, 6, 0)))</f>
        <v>0</v>
      </c>
      <c r="C22" s="115" t="s">
        <v>2125</v>
      </c>
      <c r="D22" s="115">
        <f>IF(choice505.1_3=D19, 4, IF(choice505.1_3=D20, 5, IF(choice505.1_3=D21, 6, 0)))</f>
        <v>0</v>
      </c>
      <c r="E22" s="115">
        <f>IF(choice505.3=E19, 5, IF(choice505.3=E20, 8, IF(choice505.3=E21, 11, 0)))</f>
        <v>0</v>
      </c>
      <c r="P22" s="1811" t="s">
        <v>2710</v>
      </c>
      <c r="Q22" s="115">
        <v>3</v>
      </c>
      <c r="R22" s="115">
        <v>3</v>
      </c>
      <c r="S22" s="115">
        <v>3</v>
      </c>
      <c r="T22" s="115">
        <v>3</v>
      </c>
      <c r="U22" s="115">
        <v>2</v>
      </c>
      <c r="V22" s="115">
        <v>2</v>
      </c>
      <c r="W22" s="115">
        <v>0</v>
      </c>
      <c r="X22" s="115">
        <v>0</v>
      </c>
    </row>
    <row r="23" spans="1:81">
      <c r="Q23" s="115">
        <v>0</v>
      </c>
      <c r="R23" s="115">
        <v>0</v>
      </c>
      <c r="S23" s="115">
        <v>0</v>
      </c>
      <c r="T23" s="115">
        <v>0</v>
      </c>
      <c r="U23" s="115">
        <v>0</v>
      </c>
      <c r="V23" s="115">
        <v>0</v>
      </c>
    </row>
    <row r="24" spans="1:81">
      <c r="P24" s="1811" t="s">
        <v>2713</v>
      </c>
      <c r="Q24" s="1811" t="str">
        <f>IF(VCZ=1,"VCZradiantOne",IF(VCZ=2,"VCZradiantTwo",IF(VCZ=3,"VCZradiantThree",IF(VCZ=4,"VCZradiantFour",IF(VCZ=5,"VCZradiantFive",IF(VCZ=6,"VCZradiantSix",IF(VCZ=7,"VCZradiantSeven",IF(VCZ=8,"VCZradiantEight",""))))))))</f>
        <v/>
      </c>
    </row>
    <row r="25" spans="1:81">
      <c r="O25" s="838" t="s">
        <v>2712</v>
      </c>
      <c r="Q25" s="115">
        <v>0</v>
      </c>
      <c r="R25" s="115">
        <v>0</v>
      </c>
      <c r="S25" s="115">
        <v>0</v>
      </c>
      <c r="T25" s="115">
        <v>0</v>
      </c>
      <c r="U25" s="115">
        <v>0</v>
      </c>
      <c r="V25" s="115">
        <v>0</v>
      </c>
      <c r="W25" s="115">
        <v>0</v>
      </c>
      <c r="X25" s="115">
        <v>0</v>
      </c>
    </row>
    <row r="26" spans="1:81">
      <c r="Q26" s="115">
        <v>1</v>
      </c>
      <c r="R26" s="115">
        <v>3</v>
      </c>
      <c r="S26" s="115">
        <v>3</v>
      </c>
      <c r="T26" s="115">
        <v>1</v>
      </c>
      <c r="AF26" s="115" t="str">
        <f>VCZ</f>
        <v/>
      </c>
      <c r="AL26" s="1811" t="s">
        <v>2725</v>
      </c>
      <c r="AM26" s="115" t="str">
        <f>VCZ</f>
        <v/>
      </c>
      <c r="AW26" s="1811" t="s">
        <v>2725</v>
      </c>
      <c r="AX26" s="1811" t="str">
        <f>VCZ</f>
        <v/>
      </c>
      <c r="AY26" s="1811"/>
      <c r="AZ26" s="1811"/>
      <c r="BA26" s="1811"/>
      <c r="BB26" s="1811"/>
      <c r="BC26" s="1811"/>
      <c r="BD26" s="1811"/>
      <c r="BE26" s="1811"/>
      <c r="BF26" s="1811"/>
      <c r="BH26" s="1811" t="s">
        <v>2725</v>
      </c>
      <c r="BI26" s="1811" t="str">
        <f>VCZ</f>
        <v/>
      </c>
      <c r="BJ26" s="1811"/>
      <c r="BK26" s="1811"/>
      <c r="BL26" s="1811"/>
      <c r="BM26" s="1811"/>
      <c r="BN26" s="1811"/>
      <c r="BO26" s="1811"/>
      <c r="BP26" s="1811"/>
      <c r="BQ26" s="1811"/>
      <c r="BS26" s="1811" t="s">
        <v>2725</v>
      </c>
      <c r="BT26" s="1811" t="str">
        <f>VCZ</f>
        <v/>
      </c>
      <c r="BU26" s="1811"/>
      <c r="BV26" s="1811"/>
      <c r="BW26" s="1811"/>
      <c r="BX26" s="1811"/>
      <c r="BY26" s="1811"/>
      <c r="BZ26" s="1811"/>
      <c r="CA26" s="1811"/>
      <c r="CB26" s="1811"/>
    </row>
    <row r="27" spans="1:81">
      <c r="N27" s="115" t="str">
        <f>VCZ</f>
        <v/>
      </c>
      <c r="AW27" s="1811"/>
      <c r="AX27" s="1811"/>
      <c r="AY27" s="1811"/>
      <c r="AZ27" s="1811"/>
      <c r="BA27" s="1811"/>
      <c r="BB27" s="1811"/>
      <c r="BC27" s="1811"/>
      <c r="BD27" s="1811"/>
      <c r="BE27" s="1811"/>
      <c r="BF27" s="1811"/>
      <c r="BH27" s="1811"/>
      <c r="BI27" s="1811"/>
      <c r="BJ27" s="1811"/>
      <c r="BK27" s="1811"/>
      <c r="BL27" s="1811"/>
      <c r="BM27" s="1811"/>
      <c r="BN27" s="1811"/>
      <c r="BO27" s="1811"/>
      <c r="BP27" s="1811"/>
      <c r="BQ27" s="1811"/>
      <c r="BS27" s="1811"/>
      <c r="BT27" s="1811"/>
      <c r="BU27" s="1811"/>
      <c r="BV27" s="1811"/>
      <c r="BW27" s="1811"/>
      <c r="BX27" s="1811"/>
      <c r="BY27" s="1811"/>
      <c r="BZ27" s="1811"/>
      <c r="CA27" s="1811"/>
      <c r="CB27" s="1811"/>
    </row>
    <row r="28" spans="1:81">
      <c r="P28" s="1811" t="s">
        <v>2715</v>
      </c>
      <c r="Q28" s="1811" t="str">
        <f>IF(VCZ=1,"VCZACH501",IF(VCZ=2,"VCZACH502",IF(VCZ=3,"VCZACH503",IF(VCZ=4,"VCZACH504r",IF(VCZ=5,"VCZACH505",IF(VCZ=6,"VCZACH506",IF(VCZ=7,"VCZACH507",IF(VCZ=8,"VCZACH508",""))))))))</f>
        <v/>
      </c>
      <c r="AL28" s="1811" t="s">
        <v>1757</v>
      </c>
      <c r="AO28" s="838" t="s">
        <v>2724</v>
      </c>
      <c r="AP28" s="115">
        <f>IF('Verification Rpt'!J401&gt;97.99,6,IF('Verification Rpt'!J401&gt;95.99,5,IF('Verification Rpt'!J401&gt;93.99,4,IF('Verification Rpt'!J401&gt;91.99,3,IF('Verification Rpt'!J401&gt;89.99,2,7)))))</f>
        <v>7</v>
      </c>
      <c r="AU28" s="1811" t="s">
        <v>288</v>
      </c>
      <c r="AW28" s="1811" t="s">
        <v>1758</v>
      </c>
      <c r="AX28" s="1811"/>
      <c r="AY28" s="1811"/>
      <c r="AZ28" s="838" t="s">
        <v>2724</v>
      </c>
      <c r="BA28" s="1811">
        <f>IF('Verification Rpt'!J401&gt;89.99,3,IF('Verification Rpt'!J401&gt;84.99,2,4))</f>
        <v>4</v>
      </c>
      <c r="BB28" s="1811"/>
      <c r="BC28" s="1811"/>
      <c r="BD28" s="1811"/>
      <c r="BE28" s="1811"/>
      <c r="BF28" s="1811" t="s">
        <v>288</v>
      </c>
      <c r="BH28" s="1811" t="s">
        <v>1759</v>
      </c>
      <c r="BI28" s="1811"/>
      <c r="BJ28" s="1811"/>
      <c r="BK28" s="838" t="s">
        <v>2724</v>
      </c>
      <c r="BL28" s="1811">
        <f>IF('Verification Rpt'!J401&gt;95.99,5,IF('Verification Rpt'!J401&gt;93.99,4,IF('Verification Rpt'!J401&gt;89.99,3,IF('Verification Rpt'!J401&gt;84.99,2,6))))</f>
        <v>6</v>
      </c>
      <c r="BM28" s="1811"/>
      <c r="BN28" s="1811"/>
      <c r="BO28" s="1811"/>
      <c r="BP28" s="1811"/>
      <c r="BQ28" s="1811" t="s">
        <v>288</v>
      </c>
      <c r="BS28" s="1811" t="s">
        <v>1760</v>
      </c>
      <c r="BT28" s="1811"/>
      <c r="BU28" s="1811"/>
      <c r="BV28" s="838" t="s">
        <v>2724</v>
      </c>
      <c r="BW28" s="1811">
        <f>IF('Verification Rpt'!J401&gt;89.99,3,IF('Verification Rpt'!J401&gt;84.99,2,4))</f>
        <v>4</v>
      </c>
      <c r="BX28" s="1811"/>
      <c r="BY28" s="1811"/>
      <c r="BZ28" s="1811"/>
      <c r="CA28" s="1811"/>
      <c r="CB28" s="1811" t="s">
        <v>288</v>
      </c>
      <c r="CC28" s="1811" t="s">
        <v>2726</v>
      </c>
    </row>
    <row r="29" spans="1:81">
      <c r="O29" s="1811"/>
      <c r="P29" s="1811"/>
      <c r="Q29" s="1749">
        <v>1</v>
      </c>
      <c r="R29" s="1749">
        <v>2</v>
      </c>
      <c r="S29" s="1749">
        <v>3</v>
      </c>
      <c r="T29" s="1749">
        <v>4</v>
      </c>
      <c r="U29" s="1749">
        <v>5</v>
      </c>
      <c r="V29" s="1749">
        <v>6</v>
      </c>
      <c r="W29" s="1749">
        <v>7</v>
      </c>
      <c r="X29" s="1749">
        <v>8</v>
      </c>
      <c r="Z29" s="1811" t="s">
        <v>288</v>
      </c>
      <c r="AB29" s="1811" t="s">
        <v>1719</v>
      </c>
      <c r="AC29" s="1811" t="s">
        <v>2719</v>
      </c>
      <c r="AD29" s="1811" t="s">
        <v>353</v>
      </c>
      <c r="AE29" s="1811" t="s">
        <v>2720</v>
      </c>
      <c r="AF29" s="1811" t="s">
        <v>2721</v>
      </c>
      <c r="AH29" s="1811" t="s">
        <v>2723</v>
      </c>
      <c r="AI29" s="2033" t="s">
        <v>2722</v>
      </c>
      <c r="AJ29" s="1811" t="s">
        <v>288</v>
      </c>
      <c r="AL29" s="1811" t="s">
        <v>1739</v>
      </c>
      <c r="AM29" s="115">
        <v>1</v>
      </c>
      <c r="AN29" s="115">
        <v>2</v>
      </c>
      <c r="AO29" s="115">
        <v>3</v>
      </c>
      <c r="AP29" s="115">
        <v>4</v>
      </c>
      <c r="AQ29" s="115">
        <v>5</v>
      </c>
      <c r="AR29" s="115">
        <v>6</v>
      </c>
      <c r="AS29" s="115">
        <v>7</v>
      </c>
      <c r="AT29" s="115">
        <v>8</v>
      </c>
      <c r="AU29" s="1962">
        <f>IF(AND('Verification Rpt'!J401&lt;&gt;"",'Verification Rpt'!J399="Gas Heaters"),HLOOKUP(VCZ,Formulas!AM29:AT35,Formulas!AP28,0),0)</f>
        <v>0</v>
      </c>
      <c r="AW29" s="1811" t="s">
        <v>1739</v>
      </c>
      <c r="AX29" s="1811">
        <v>1</v>
      </c>
      <c r="AY29" s="1811">
        <v>2</v>
      </c>
      <c r="AZ29" s="1811">
        <v>3</v>
      </c>
      <c r="BA29" s="1811">
        <v>4</v>
      </c>
      <c r="BB29" s="1811">
        <v>5</v>
      </c>
      <c r="BC29" s="1811">
        <v>6</v>
      </c>
      <c r="BD29" s="1811">
        <v>7</v>
      </c>
      <c r="BE29" s="1811">
        <v>8</v>
      </c>
      <c r="BF29" s="1962">
        <f>IF(AND('Verification Rpt'!J401&lt;&gt;"",'Verification Rpt'!J399="Oil Furnace"),HLOOKUP(VCZ,Formulas!AX29:BE33,Formulas!BA28,0),0)</f>
        <v>0</v>
      </c>
      <c r="BH29" s="1811" t="s">
        <v>1739</v>
      </c>
      <c r="BI29" s="1811">
        <v>1</v>
      </c>
      <c r="BJ29" s="1811">
        <v>2</v>
      </c>
      <c r="BK29" s="1811">
        <v>3</v>
      </c>
      <c r="BL29" s="1811">
        <v>4</v>
      </c>
      <c r="BM29" s="1811">
        <v>5</v>
      </c>
      <c r="BN29" s="1811">
        <v>6</v>
      </c>
      <c r="BO29" s="1811">
        <v>7</v>
      </c>
      <c r="BP29" s="1811">
        <v>8</v>
      </c>
      <c r="BQ29" s="1962">
        <f>IF(AND('Verification Rpt'!J401&lt;&gt;"",'Verification Rpt'!J399="Gas Boiler"),HLOOKUP(VCZ,Formulas!BI29:BP34,Formulas!BL28,0),0)</f>
        <v>0</v>
      </c>
      <c r="BS29" s="1811" t="s">
        <v>1739</v>
      </c>
      <c r="BT29" s="1811">
        <v>1</v>
      </c>
      <c r="BU29" s="1811">
        <v>2</v>
      </c>
      <c r="BV29" s="1811">
        <v>3</v>
      </c>
      <c r="BW29" s="1811">
        <v>4</v>
      </c>
      <c r="BX29" s="1811">
        <v>5</v>
      </c>
      <c r="BY29" s="1811">
        <v>6</v>
      </c>
      <c r="BZ29" s="1811">
        <v>7</v>
      </c>
      <c r="CA29" s="1811">
        <v>8</v>
      </c>
      <c r="CB29" s="1962">
        <f>IF(AND('Verification Rpt'!J401&lt;&gt;"",'Verification Rpt'!J399="Oil Boiler"),HLOOKUP(VCZ,Formulas!BT29:CA33,Formulas!BW28,0),0)</f>
        <v>0</v>
      </c>
      <c r="CC29" s="2692">
        <f>MAX(CB29,BQ29,BF29,AU29)</f>
        <v>0</v>
      </c>
    </row>
    <row r="30" spans="1:81">
      <c r="O30" s="838" t="s">
        <v>2714</v>
      </c>
      <c r="P30" s="115">
        <v>5</v>
      </c>
      <c r="Q30" s="115">
        <v>2</v>
      </c>
      <c r="R30" s="115">
        <v>3</v>
      </c>
      <c r="S30" s="115">
        <v>3</v>
      </c>
      <c r="T30" s="115">
        <v>4</v>
      </c>
      <c r="U30" s="115">
        <v>6</v>
      </c>
      <c r="V30" s="115">
        <v>7</v>
      </c>
      <c r="W30" s="115">
        <v>8</v>
      </c>
      <c r="X30" s="115">
        <v>9</v>
      </c>
      <c r="Z30" s="1962">
        <f>IF('Verification Rpt'!J382&lt;&gt;"",HLOOKUP(VCZ,P29:X35,O32),0)</f>
        <v>0</v>
      </c>
      <c r="AB30" s="1811" t="s">
        <v>3</v>
      </c>
      <c r="AC30" s="1811">
        <f>IF(VCZ&lt;3,0.65,IF(VCZ&lt;4,0.4,0.35))</f>
        <v>0.35</v>
      </c>
      <c r="AD30" s="1811">
        <f>IF(VCZ&lt;4,0.3,5)</f>
        <v>5</v>
      </c>
      <c r="AE30" s="1811">
        <f>IF(VCZ&lt;3,0.75,IF(VCZ&lt;4,0.65,0.6))</f>
        <v>0.6</v>
      </c>
      <c r="AF30" s="1811">
        <f>IF(VCZ&lt;4,0.3,5)</f>
        <v>5</v>
      </c>
      <c r="AG30" s="1811"/>
      <c r="AH30" s="1811" t="str">
        <f>IF(AND('Verification Rpt'!J388&lt;=Formulas!AC30,'Verification Rpt'!J390&lt;=Formulas!AD30,'Verification Rpt'!J392&lt;=Formulas!AE30,'Verification Rpt'!J394&lt;=Formulas!AF30),"MET","Not Met")</f>
        <v>MET</v>
      </c>
      <c r="AI30" s="2033"/>
      <c r="AJ30" s="1811"/>
      <c r="AL30" s="2034">
        <v>90</v>
      </c>
      <c r="AM30" s="115">
        <v>0</v>
      </c>
      <c r="AN30" s="115">
        <v>5</v>
      </c>
      <c r="AO30" s="115">
        <v>6</v>
      </c>
      <c r="AP30" s="115">
        <v>7</v>
      </c>
      <c r="AQ30" s="115">
        <v>9</v>
      </c>
      <c r="AR30" s="115">
        <v>9</v>
      </c>
      <c r="AS30" s="115">
        <v>10</v>
      </c>
      <c r="AT30" s="115">
        <v>10</v>
      </c>
      <c r="AW30" s="2034">
        <v>85</v>
      </c>
      <c r="AX30" s="1811">
        <v>0</v>
      </c>
      <c r="AY30" s="1811">
        <v>5</v>
      </c>
      <c r="AZ30" s="1811">
        <v>6</v>
      </c>
      <c r="BA30" s="1811">
        <v>7</v>
      </c>
      <c r="BB30" s="1811">
        <v>9</v>
      </c>
      <c r="BC30" s="1811">
        <v>9</v>
      </c>
      <c r="BD30" s="1811">
        <v>10</v>
      </c>
      <c r="BE30" s="1811">
        <v>10</v>
      </c>
      <c r="BF30" s="1811"/>
      <c r="BH30" s="2034">
        <v>85</v>
      </c>
      <c r="BI30" s="1811">
        <v>0</v>
      </c>
      <c r="BJ30" s="1811">
        <v>9</v>
      </c>
      <c r="BK30" s="1811">
        <v>16</v>
      </c>
      <c r="BL30" s="1811">
        <v>18</v>
      </c>
      <c r="BM30" s="1811">
        <v>17</v>
      </c>
      <c r="BN30" s="1811">
        <v>16</v>
      </c>
      <c r="BO30" s="1811">
        <v>16</v>
      </c>
      <c r="BP30" s="1811">
        <v>16</v>
      </c>
      <c r="BQ30" s="1811"/>
      <c r="BS30" s="2034">
        <v>85</v>
      </c>
      <c r="BT30" s="1811">
        <v>0</v>
      </c>
      <c r="BU30" s="1811">
        <v>5</v>
      </c>
      <c r="BV30" s="1811">
        <v>6</v>
      </c>
      <c r="BW30" s="1811">
        <v>7</v>
      </c>
      <c r="BX30" s="1811">
        <v>9</v>
      </c>
      <c r="BY30" s="1811">
        <v>9</v>
      </c>
      <c r="BZ30" s="1811">
        <v>10</v>
      </c>
      <c r="CA30" s="1811">
        <v>10</v>
      </c>
      <c r="CB30" s="1811"/>
    </row>
    <row r="31" spans="1:81">
      <c r="A31" s="711" t="s">
        <v>886</v>
      </c>
      <c r="P31" s="115">
        <v>4</v>
      </c>
      <c r="Q31" s="115">
        <v>3</v>
      </c>
      <c r="R31" s="115">
        <v>4</v>
      </c>
      <c r="S31" s="115">
        <v>5</v>
      </c>
      <c r="T31" s="115">
        <v>7</v>
      </c>
      <c r="U31" s="115">
        <v>10</v>
      </c>
      <c r="V31" s="115">
        <v>12</v>
      </c>
      <c r="W31" s="115">
        <v>13</v>
      </c>
      <c r="X31" s="115">
        <v>14</v>
      </c>
      <c r="AB31" s="1811" t="s">
        <v>2716</v>
      </c>
      <c r="AC31" s="115">
        <f>IF(VCZ&lt;3,0.6,IF(VCZ&lt;4,0.35,IF(VCZ&lt;5,0.32,0.3)))</f>
        <v>0.3</v>
      </c>
      <c r="AD31" s="1811">
        <f>IF(VCZ&lt;3,0.27,IF(VCZ&lt;4,0.3,IF(VCZ&lt;5,0.4,5)))</f>
        <v>5</v>
      </c>
      <c r="AE31" s="1811">
        <f>IF(VCZ&lt;3,0.7,IF(VCZ&lt;4,0.57,0.55))</f>
        <v>0.55000000000000004</v>
      </c>
      <c r="AF31" s="1811">
        <f>IF(VCZ&lt;4,0.3,IF(VCZ&lt;5,0.4,5))</f>
        <v>5</v>
      </c>
      <c r="AH31" s="115" t="str">
        <f>IF(AND('Verification Rpt'!J388&lt;=Formulas!AC31,'Verification Rpt'!J390&lt;=Formulas!AD31,'Verification Rpt'!J392&lt;=Formulas!AE31,'Verification Rpt'!J394&lt;=Formulas!AF31),"MET","Not Met")</f>
        <v>MET</v>
      </c>
      <c r="AI31" s="115">
        <f>IF(VCZ=1,10,IF(VCZ=2,5,IF(VCZ=3,6,IF(VCZ=4,2,5))))</f>
        <v>5</v>
      </c>
      <c r="AJ31" s="115">
        <f>IF(AH31="Met",AI31,0)</f>
        <v>5</v>
      </c>
      <c r="AL31" s="2034">
        <v>92</v>
      </c>
      <c r="AM31" s="115">
        <v>0</v>
      </c>
      <c r="AN31" s="115">
        <v>5</v>
      </c>
      <c r="AO31" s="115">
        <v>8</v>
      </c>
      <c r="AP31" s="115">
        <v>9</v>
      </c>
      <c r="AQ31" s="115">
        <v>11</v>
      </c>
      <c r="AR31" s="115">
        <v>11</v>
      </c>
      <c r="AS31" s="115">
        <v>12</v>
      </c>
      <c r="AT31" s="115">
        <v>12</v>
      </c>
      <c r="AW31" s="2034">
        <v>90</v>
      </c>
      <c r="AX31" s="1811">
        <v>0</v>
      </c>
      <c r="AY31" s="1811">
        <v>5</v>
      </c>
      <c r="AZ31" s="1811">
        <v>8</v>
      </c>
      <c r="BA31" s="1811">
        <v>9</v>
      </c>
      <c r="BB31" s="1811">
        <v>11</v>
      </c>
      <c r="BC31" s="1811">
        <v>11</v>
      </c>
      <c r="BD31" s="1811">
        <v>12</v>
      </c>
      <c r="BE31" s="1811">
        <v>12</v>
      </c>
      <c r="BF31" s="1811"/>
      <c r="BH31" s="2034">
        <v>90</v>
      </c>
      <c r="BI31" s="1811">
        <v>1</v>
      </c>
      <c r="BJ31" s="1811">
        <v>10</v>
      </c>
      <c r="BK31" s="1811">
        <v>17</v>
      </c>
      <c r="BL31" s="1811">
        <v>19</v>
      </c>
      <c r="BM31" s="1811">
        <v>18</v>
      </c>
      <c r="BN31" s="1811">
        <v>17</v>
      </c>
      <c r="BO31" s="1811">
        <v>17</v>
      </c>
      <c r="BP31" s="1811">
        <v>17</v>
      </c>
      <c r="BQ31" s="1811"/>
      <c r="BS31" s="2034">
        <v>90</v>
      </c>
      <c r="BT31" s="1811">
        <v>0</v>
      </c>
      <c r="BU31" s="1811">
        <v>5</v>
      </c>
      <c r="BV31" s="1811">
        <v>8</v>
      </c>
      <c r="BW31" s="1811">
        <v>9</v>
      </c>
      <c r="BX31" s="1811">
        <v>11</v>
      </c>
      <c r="BY31" s="1811">
        <v>11</v>
      </c>
      <c r="BZ31" s="1811">
        <v>12</v>
      </c>
      <c r="CA31" s="1811">
        <v>12</v>
      </c>
      <c r="CB31" s="1811"/>
    </row>
    <row r="32" spans="1:81" s="710" customFormat="1">
      <c r="A32" s="722" t="s">
        <v>890</v>
      </c>
      <c r="C32" s="710" t="s">
        <v>90</v>
      </c>
      <c r="F32" s="115"/>
      <c r="O32" s="115">
        <f>IF('Verification Rpt'!J382&lt;1.01,6,IF('Verification Rpt'!J382&lt;2.01,5,IF('Verification Rpt'!J382&lt;3.01,4,IF('Verification Rpt'!J382&lt;4.01,3,IF('Verification Rpt'!J382&lt;5.5,2,7)))))</f>
        <v>6</v>
      </c>
      <c r="P32" s="115">
        <v>3</v>
      </c>
      <c r="Q32" s="115">
        <v>3</v>
      </c>
      <c r="R32" s="115">
        <v>5</v>
      </c>
      <c r="S32" s="115">
        <v>6</v>
      </c>
      <c r="T32" s="115">
        <v>9</v>
      </c>
      <c r="U32" s="115">
        <v>13</v>
      </c>
      <c r="V32" s="115">
        <v>15</v>
      </c>
      <c r="W32" s="115">
        <v>17</v>
      </c>
      <c r="X32" s="115">
        <v>19</v>
      </c>
      <c r="AB32" s="1811" t="s">
        <v>2717</v>
      </c>
      <c r="AC32" s="1811">
        <f>IF(VCZ&lt;3,0.4,IF(VCZ&lt;4,0.3,IF(VCZ&lt;5,0.28,0.25)))</f>
        <v>0.25</v>
      </c>
      <c r="AD32" s="1811">
        <f>IF(VCZ&lt;4,0.25,IF(VCZ&lt;5,0.4,5))</f>
        <v>5</v>
      </c>
      <c r="AE32" s="1811">
        <v>0.5</v>
      </c>
      <c r="AF32" s="1811">
        <f>IF(VCZ&lt;3,0.3,IF(VCZ&lt;4,0.35,IF(VCZ&lt;5,0.4,5)))</f>
        <v>5</v>
      </c>
      <c r="AG32" s="115"/>
      <c r="AH32" s="1811" t="str">
        <f>IF(AND('Verification Rpt'!J388&lt;=Formulas!AC32,'Verification Rpt'!J390&lt;=Formulas!AD32,'Verification Rpt'!J392&lt;=Formulas!AE32,'Verification Rpt'!J394&lt;=Formulas!AF32),"MET","Not Met")</f>
        <v>MET</v>
      </c>
      <c r="AI32" s="1811">
        <f>IF(VCZ=1,13,IF(VCZ=2,9,IF(VCZ=3,9,IF(VCZ=4,4,IF(VCZ=5,8,9)))))</f>
        <v>9</v>
      </c>
      <c r="AJ32" s="1811">
        <f t="shared" ref="AJ32:AJ33" si="0">IF(AH32="Met",AI32,0)</f>
        <v>9</v>
      </c>
      <c r="AL32" s="2035">
        <v>94</v>
      </c>
      <c r="AM32" s="710">
        <v>0</v>
      </c>
      <c r="AN32" s="710">
        <v>5</v>
      </c>
      <c r="AO32" s="710">
        <v>8</v>
      </c>
      <c r="AP32" s="710">
        <v>10</v>
      </c>
      <c r="AQ32" s="710">
        <v>13</v>
      </c>
      <c r="AR32" s="710">
        <v>13</v>
      </c>
      <c r="AS32" s="710">
        <v>13</v>
      </c>
      <c r="AT32" s="710">
        <v>14</v>
      </c>
      <c r="AW32" s="2035"/>
      <c r="AX32" s="710">
        <v>0</v>
      </c>
      <c r="AY32" s="710">
        <v>0</v>
      </c>
      <c r="AZ32" s="710">
        <v>0</v>
      </c>
      <c r="BA32" s="710">
        <v>0</v>
      </c>
      <c r="BB32" s="710">
        <v>0</v>
      </c>
      <c r="BC32" s="710">
        <v>0</v>
      </c>
      <c r="BD32" s="710">
        <v>0</v>
      </c>
      <c r="BE32" s="710">
        <v>0</v>
      </c>
      <c r="BH32" s="2035">
        <v>94</v>
      </c>
      <c r="BI32" s="710">
        <v>1</v>
      </c>
      <c r="BJ32" s="710">
        <v>10</v>
      </c>
      <c r="BK32" s="710">
        <v>18</v>
      </c>
      <c r="BL32" s="710">
        <v>19</v>
      </c>
      <c r="BM32" s="710">
        <v>19</v>
      </c>
      <c r="BN32" s="710">
        <v>17</v>
      </c>
      <c r="BO32" s="710">
        <v>17</v>
      </c>
      <c r="BP32" s="710">
        <v>17</v>
      </c>
      <c r="BS32" s="2035"/>
      <c r="BT32" s="710">
        <v>0</v>
      </c>
      <c r="BU32" s="710">
        <v>0</v>
      </c>
      <c r="BV32" s="710">
        <v>0</v>
      </c>
      <c r="BW32" s="710">
        <v>0</v>
      </c>
      <c r="BX32" s="710">
        <v>0</v>
      </c>
      <c r="BY32" s="710">
        <v>0</v>
      </c>
      <c r="BZ32" s="710">
        <v>0</v>
      </c>
      <c r="CA32" s="710">
        <v>0</v>
      </c>
    </row>
    <row r="33" spans="1:80" ht="15" customHeight="1">
      <c r="A33" s="115" t="s">
        <v>887</v>
      </c>
      <c r="C33" s="688">
        <f>IF(choice503.5_3=C19,points503.5_3a,IF(choice503.5_3=C20,points503.5_3b,IF(choice503.5_3=C21,points503.5_3c,IF(choice503.5_3=C22,points503.5_3d,0))))</f>
        <v>0</v>
      </c>
      <c r="F33" s="710"/>
      <c r="O33" s="710"/>
      <c r="P33" s="1811">
        <v>2</v>
      </c>
      <c r="Q33" s="1811">
        <v>4</v>
      </c>
      <c r="R33" s="1811">
        <v>6</v>
      </c>
      <c r="S33" s="1811">
        <v>8</v>
      </c>
      <c r="T33" s="1811">
        <v>11</v>
      </c>
      <c r="U33" s="1811">
        <v>15</v>
      </c>
      <c r="V33" s="1811">
        <v>18</v>
      </c>
      <c r="W33" s="1811">
        <v>20</v>
      </c>
      <c r="X33" s="1811">
        <v>23</v>
      </c>
      <c r="AB33" s="710" t="s">
        <v>2718</v>
      </c>
      <c r="AC33" s="1811">
        <f>IF(VCZ=4,0.25,IF(VCZ=5,0.22,0))</f>
        <v>0</v>
      </c>
      <c r="AD33" s="1811">
        <f>IF(VCZ=4,0.4,5)</f>
        <v>5</v>
      </c>
      <c r="AE33" s="1811">
        <f>IF(OR(VCZ=4,VCZ=5),0.4,0)</f>
        <v>0</v>
      </c>
      <c r="AF33" s="1811">
        <f>IF(VCZ=4,0.4,5)</f>
        <v>5</v>
      </c>
      <c r="AG33" s="710"/>
      <c r="AH33" s="1811" t="str">
        <f>IF(AND('Verification Rpt'!J388&lt;=Formulas!AC33,'Verification Rpt'!J401&lt;=Formulas!AD33,'Verification Rpt'!J392&lt;=Formulas!AE33,'Verification Rpt'!J394&lt;=Formulas!AF33),"MET","Not Met")</f>
        <v>MET</v>
      </c>
      <c r="AI33" s="710">
        <f>IF(VCZ=4,5,IF(VCZ=5,9,0))</f>
        <v>0</v>
      </c>
      <c r="AJ33" s="1811">
        <f t="shared" si="0"/>
        <v>0</v>
      </c>
      <c r="AL33" s="2034">
        <v>96</v>
      </c>
      <c r="AM33" s="115">
        <v>1</v>
      </c>
      <c r="AN33" s="115">
        <v>6</v>
      </c>
      <c r="AO33" s="115">
        <v>10</v>
      </c>
      <c r="AP33" s="115">
        <v>11</v>
      </c>
      <c r="AQ33" s="115">
        <v>14</v>
      </c>
      <c r="AR33" s="115">
        <v>14</v>
      </c>
      <c r="AS33" s="115">
        <v>15</v>
      </c>
      <c r="AT33" s="115">
        <v>16</v>
      </c>
      <c r="AW33" s="2034"/>
      <c r="AX33" s="1811"/>
      <c r="AY33" s="1811"/>
      <c r="AZ33" s="1811"/>
      <c r="BA33" s="1811"/>
      <c r="BB33" s="1811"/>
      <c r="BC33" s="1811"/>
      <c r="BD33" s="1811"/>
      <c r="BE33" s="1811"/>
      <c r="BF33" s="1811"/>
      <c r="BH33" s="115">
        <v>96</v>
      </c>
      <c r="BJ33" s="115">
        <v>10</v>
      </c>
      <c r="BK33" s="115">
        <v>18</v>
      </c>
      <c r="BL33" s="115">
        <v>20</v>
      </c>
      <c r="BM33" s="115">
        <v>19</v>
      </c>
      <c r="BN33" s="115">
        <v>18</v>
      </c>
      <c r="BO33" s="1811">
        <v>18</v>
      </c>
      <c r="BP33" s="1811">
        <v>18</v>
      </c>
      <c r="BS33" s="1811"/>
      <c r="BT33" s="1811"/>
      <c r="BU33" s="1811"/>
      <c r="BV33" s="1811"/>
      <c r="BW33" s="1811"/>
      <c r="BX33" s="1811"/>
      <c r="BY33" s="1811"/>
      <c r="BZ33" s="1811"/>
      <c r="CA33" s="1811"/>
      <c r="CB33" s="1811"/>
    </row>
    <row r="34" spans="1:80" ht="15" customHeight="1">
      <c r="A34" s="115" t="s">
        <v>888</v>
      </c>
      <c r="P34" s="115">
        <v>1</v>
      </c>
      <c r="Q34" s="115">
        <v>4</v>
      </c>
      <c r="R34" s="115">
        <v>5</v>
      </c>
      <c r="S34" s="115">
        <v>8</v>
      </c>
      <c r="T34" s="115">
        <v>12</v>
      </c>
      <c r="U34" s="115">
        <v>17</v>
      </c>
      <c r="V34" s="115">
        <v>19</v>
      </c>
      <c r="W34" s="115">
        <v>22</v>
      </c>
      <c r="X34" s="115">
        <v>24</v>
      </c>
      <c r="AL34" s="2034">
        <v>98</v>
      </c>
      <c r="AM34" s="115">
        <v>1</v>
      </c>
      <c r="AN34" s="115">
        <v>6</v>
      </c>
      <c r="AO34" s="115">
        <v>10</v>
      </c>
      <c r="AP34" s="115">
        <v>13</v>
      </c>
      <c r="AQ34" s="115">
        <v>15</v>
      </c>
      <c r="AR34" s="115">
        <v>15</v>
      </c>
      <c r="AS34" s="115">
        <v>16</v>
      </c>
      <c r="AT34" s="115">
        <v>17</v>
      </c>
      <c r="AW34" s="2034"/>
      <c r="AX34" s="1811"/>
      <c r="AY34" s="1811"/>
      <c r="AZ34" s="1811"/>
      <c r="BA34" s="1811"/>
      <c r="BB34" s="1811"/>
      <c r="BC34" s="1811"/>
      <c r="BD34" s="1811"/>
      <c r="BE34" s="1811"/>
      <c r="BF34" s="1811"/>
      <c r="BI34" s="710">
        <v>0</v>
      </c>
      <c r="BJ34" s="710">
        <v>0</v>
      </c>
      <c r="BK34" s="710">
        <v>0</v>
      </c>
      <c r="BL34" s="710">
        <v>0</v>
      </c>
      <c r="BM34" s="710">
        <v>0</v>
      </c>
      <c r="BN34" s="710">
        <v>0</v>
      </c>
      <c r="BO34" s="710">
        <v>0</v>
      </c>
      <c r="BP34" s="710">
        <v>0</v>
      </c>
      <c r="BS34" s="1811"/>
      <c r="BT34" s="710"/>
      <c r="BU34" s="710"/>
      <c r="BV34" s="710"/>
      <c r="BW34" s="710"/>
      <c r="BX34" s="710"/>
      <c r="BY34" s="710"/>
      <c r="BZ34" s="710"/>
      <c r="CA34" s="710"/>
      <c r="CB34" s="1811"/>
    </row>
    <row r="35" spans="1:80">
      <c r="A35" s="115" t="s">
        <v>889</v>
      </c>
      <c r="C35" s="688"/>
      <c r="Q35" s="115">
        <v>0</v>
      </c>
      <c r="R35" s="115">
        <v>0</v>
      </c>
      <c r="S35" s="115">
        <v>0</v>
      </c>
      <c r="T35" s="115">
        <v>0</v>
      </c>
      <c r="U35" s="115">
        <v>0</v>
      </c>
      <c r="V35" s="115">
        <v>0</v>
      </c>
      <c r="W35" s="115">
        <v>0</v>
      </c>
      <c r="X35" s="115">
        <v>0</v>
      </c>
      <c r="AM35" s="115">
        <v>0</v>
      </c>
      <c r="AN35" s="115">
        <v>0</v>
      </c>
      <c r="AO35" s="115">
        <v>0</v>
      </c>
      <c r="AP35" s="115">
        <v>0</v>
      </c>
      <c r="AQ35" s="115">
        <v>0</v>
      </c>
      <c r="AR35" s="115">
        <v>0</v>
      </c>
      <c r="AS35" s="115">
        <v>0</v>
      </c>
      <c r="AT35" s="115">
        <v>0</v>
      </c>
      <c r="AW35" s="1811" t="s">
        <v>2739</v>
      </c>
      <c r="AX35" s="1811"/>
      <c r="AY35" s="1811"/>
      <c r="AZ35" s="838" t="s">
        <v>2724</v>
      </c>
      <c r="BA35" s="1811">
        <f>IF(AND('Verification Rpt'!J438="Gas",'Verification Rpt'!J440&gt;0.799),3,IF(AND('Verification Rpt'!J438="Gas",'Verification Rpt'!J440&gt;0.669),2,IF(AND('Verification Rpt'!J438="Gas &gt;75K BTU/Hr or instaneous",'Verification Rpt'!J440&gt;0.859),4,IF(AND('Verification Rpt'!J438="Electric",'Verification Rpt'!J440&gt;0.949),5,IF(AND('Verification Rpt'!J438="Oil",'Verification Rpt'!J440&gt;0.589),6,IF(AND('Verification Rpt'!J438="Heat Pump",'Verification Rpt'!J440&gt;2.19),9,IF(AND('Verification Rpt'!J438="Heat Pump",'Verification Rpt'!J440&gt;1.99),8,IF(AND('Verification Rpt'!J438="Heat Pump",'Verification Rpt'!J440&gt;1.49),7,10))))))))</f>
        <v>10</v>
      </c>
      <c r="BB35" s="1811"/>
      <c r="BC35" s="1811"/>
      <c r="BD35" s="1811"/>
      <c r="BE35" s="1811"/>
      <c r="BF35" s="1811" t="s">
        <v>288</v>
      </c>
    </row>
    <row r="36" spans="1:80">
      <c r="C36" s="688"/>
      <c r="AW36" s="1811" t="s">
        <v>1823</v>
      </c>
      <c r="AX36" s="1811">
        <v>1</v>
      </c>
      <c r="AY36" s="1811">
        <v>2</v>
      </c>
      <c r="AZ36" s="1811">
        <v>3</v>
      </c>
      <c r="BA36" s="1811">
        <v>4</v>
      </c>
      <c r="BB36" s="1811">
        <v>5</v>
      </c>
      <c r="BC36" s="1811">
        <v>6</v>
      </c>
      <c r="BD36" s="1811">
        <v>7</v>
      </c>
      <c r="BE36" s="1811">
        <v>8</v>
      </c>
      <c r="BF36" s="1962">
        <f>IF('Verification Rpt'!J438&lt;&gt;"",HLOOKUP(VCZ,Formulas!AX36:BE45,Formulas!BA35,0),0)</f>
        <v>0</v>
      </c>
    </row>
    <row r="37" spans="1:80">
      <c r="C37" s="688"/>
      <c r="AW37" s="2034" t="s">
        <v>2740</v>
      </c>
      <c r="AX37" s="1811">
        <v>4</v>
      </c>
      <c r="AY37" s="1811">
        <v>4</v>
      </c>
      <c r="AZ37" s="1811">
        <v>3</v>
      </c>
      <c r="BA37" s="1811">
        <v>2</v>
      </c>
      <c r="BB37" s="1811">
        <v>3</v>
      </c>
      <c r="BC37" s="1811">
        <v>2</v>
      </c>
      <c r="BD37" s="1811">
        <v>1</v>
      </c>
      <c r="BE37" s="1811">
        <v>1</v>
      </c>
      <c r="BF37" s="1811"/>
    </row>
    <row r="38" spans="1:80">
      <c r="A38" s="711" t="s">
        <v>897</v>
      </c>
      <c r="C38" s="688"/>
      <c r="D38" s="688"/>
      <c r="E38" s="688"/>
      <c r="G38" s="688"/>
      <c r="AW38" s="1811" t="s">
        <v>2744</v>
      </c>
      <c r="AX38" s="115">
        <v>7</v>
      </c>
      <c r="AY38" s="115">
        <v>7</v>
      </c>
      <c r="AZ38" s="115">
        <v>5</v>
      </c>
      <c r="BA38" s="115">
        <v>4</v>
      </c>
      <c r="BB38" s="115">
        <v>5</v>
      </c>
      <c r="BC38" s="115">
        <v>4</v>
      </c>
      <c r="BD38" s="115">
        <v>2</v>
      </c>
      <c r="BE38" s="115">
        <v>2</v>
      </c>
      <c r="BF38" s="1811"/>
    </row>
    <row r="39" spans="1:80" s="710" customFormat="1" ht="165">
      <c r="A39" s="710">
        <v>601.1</v>
      </c>
      <c r="B39" s="710">
        <v>601.20000000000005</v>
      </c>
      <c r="C39" s="498">
        <v>601.6</v>
      </c>
      <c r="D39" s="498" t="s">
        <v>915</v>
      </c>
      <c r="E39" s="498" t="s">
        <v>922</v>
      </c>
      <c r="F39" s="498" t="s">
        <v>930</v>
      </c>
      <c r="G39" s="498" t="s">
        <v>931</v>
      </c>
      <c r="H39" s="710" t="s">
        <v>933</v>
      </c>
      <c r="I39" s="710" t="s">
        <v>940</v>
      </c>
      <c r="J39" s="710" t="s">
        <v>942</v>
      </c>
      <c r="K39" s="710" t="s">
        <v>946</v>
      </c>
      <c r="L39" s="710" t="s">
        <v>955</v>
      </c>
      <c r="M39" s="710" t="s">
        <v>958</v>
      </c>
      <c r="N39" s="710" t="s">
        <v>964</v>
      </c>
      <c r="O39" s="710" t="s">
        <v>969</v>
      </c>
      <c r="P39" s="710" t="s">
        <v>974</v>
      </c>
      <c r="Q39" s="710">
        <v>602.20000000000005</v>
      </c>
      <c r="R39" s="710" t="s">
        <v>920</v>
      </c>
      <c r="S39" s="710" t="s">
        <v>980</v>
      </c>
      <c r="T39" s="710">
        <v>603.1</v>
      </c>
      <c r="U39" s="710">
        <v>603.20000000000005</v>
      </c>
      <c r="V39" s="710" t="s">
        <v>1004</v>
      </c>
      <c r="W39" s="710" t="s">
        <v>1005</v>
      </c>
      <c r="X39" s="710">
        <v>605.29999999999995</v>
      </c>
      <c r="Y39" s="710" t="s">
        <v>1064</v>
      </c>
      <c r="Z39" s="710">
        <v>606.29999999999995</v>
      </c>
      <c r="AA39" s="710">
        <v>608.1</v>
      </c>
      <c r="AB39" s="710">
        <v>609.1</v>
      </c>
      <c r="AE39" s="710" t="s">
        <v>1035</v>
      </c>
      <c r="AF39" s="710" t="s">
        <v>1036</v>
      </c>
      <c r="AH39" s="710">
        <v>611.1</v>
      </c>
      <c r="AL39" s="1811" t="s">
        <v>2725</v>
      </c>
      <c r="AM39" s="1811" t="str">
        <f>VCZ</f>
        <v/>
      </c>
      <c r="AN39" s="1811"/>
      <c r="AO39" s="1811"/>
      <c r="AP39" s="1811"/>
      <c r="AQ39" s="1811"/>
      <c r="AR39" s="1811"/>
      <c r="AS39" s="1811"/>
      <c r="AT39" s="1811"/>
      <c r="AU39" s="1811"/>
      <c r="AW39" s="2034" t="s">
        <v>2741</v>
      </c>
      <c r="AX39" s="1811">
        <v>7</v>
      </c>
      <c r="AY39" s="1811">
        <v>7</v>
      </c>
      <c r="AZ39" s="1811">
        <v>5</v>
      </c>
      <c r="BA39" s="1811">
        <v>4</v>
      </c>
      <c r="BB39" s="1811">
        <v>5</v>
      </c>
      <c r="BC39" s="1811">
        <v>4</v>
      </c>
      <c r="BD39" s="1811">
        <v>2</v>
      </c>
      <c r="BE39" s="1811">
        <v>2</v>
      </c>
    </row>
    <row r="40" spans="1:80" ht="15" customHeight="1">
      <c r="A40" s="115" t="str">
        <f>IF(startSquareFootage&gt;1000,"", "1000 sf or less")</f>
        <v>1000 sf or less</v>
      </c>
      <c r="C40" s="1798" t="s">
        <v>2567</v>
      </c>
      <c r="D40" s="688" t="s">
        <v>916</v>
      </c>
      <c r="E40" s="688" t="s">
        <v>916</v>
      </c>
      <c r="F40" s="688" t="s">
        <v>916</v>
      </c>
      <c r="G40" s="688" t="s">
        <v>916</v>
      </c>
      <c r="H40" s="115" t="s">
        <v>934</v>
      </c>
      <c r="I40" s="694" t="s">
        <v>916</v>
      </c>
      <c r="J40" s="694" t="s">
        <v>916</v>
      </c>
      <c r="K40" s="694" t="s">
        <v>916</v>
      </c>
      <c r="L40" s="115" t="s">
        <v>956</v>
      </c>
      <c r="M40" s="551" t="s">
        <v>960</v>
      </c>
      <c r="N40" s="694" t="s">
        <v>916</v>
      </c>
      <c r="O40" s="694" t="s">
        <v>916</v>
      </c>
      <c r="P40" s="694" t="s">
        <v>916</v>
      </c>
      <c r="Q40" s="115" t="s">
        <v>976</v>
      </c>
      <c r="R40" s="1039" t="s">
        <v>2064</v>
      </c>
      <c r="S40" s="694" t="s">
        <v>916</v>
      </c>
      <c r="T40" s="115" t="s">
        <v>986</v>
      </c>
      <c r="U40" s="723">
        <v>0.01</v>
      </c>
      <c r="V40" s="115" t="s">
        <v>1006</v>
      </c>
      <c r="W40" s="115" t="s">
        <v>1006</v>
      </c>
      <c r="X40" s="115" t="s">
        <v>1017</v>
      </c>
      <c r="Y40" s="115">
        <v>1</v>
      </c>
      <c r="Z40" s="115" t="s">
        <v>1023</v>
      </c>
      <c r="AA40" s="115" t="s">
        <v>1025</v>
      </c>
      <c r="AB40" s="115" t="s">
        <v>1030</v>
      </c>
      <c r="AF40" s="115" t="s">
        <v>2406</v>
      </c>
      <c r="AH40" s="115" t="s">
        <v>1039</v>
      </c>
      <c r="AL40" s="1811"/>
      <c r="AM40" s="1811"/>
      <c r="AN40" s="1811"/>
      <c r="AO40" s="1811"/>
      <c r="AP40" s="1811"/>
      <c r="AQ40" s="1811"/>
      <c r="AR40" s="1811"/>
      <c r="AS40" s="1811"/>
      <c r="AT40" s="1811"/>
      <c r="AU40" s="1811"/>
      <c r="AW40" s="2035" t="s">
        <v>2742</v>
      </c>
      <c r="AX40" s="710">
        <v>2</v>
      </c>
      <c r="AY40" s="710">
        <v>2</v>
      </c>
      <c r="AZ40" s="710">
        <v>2</v>
      </c>
      <c r="BA40" s="710">
        <v>1</v>
      </c>
      <c r="BB40" s="710">
        <v>1</v>
      </c>
      <c r="BC40" s="710">
        <v>1</v>
      </c>
      <c r="BD40" s="710">
        <v>1</v>
      </c>
      <c r="BE40" s="710">
        <v>1</v>
      </c>
      <c r="BF40" s="1811"/>
    </row>
    <row r="41" spans="1:80" ht="15" customHeight="1">
      <c r="A41" s="115" t="str">
        <f>IF(startSquareFootage&gt;1500,"","1500 sf or less")</f>
        <v>1500 sf or less</v>
      </c>
      <c r="C41" s="1798" t="s">
        <v>2568</v>
      </c>
      <c r="D41" s="688" t="s">
        <v>917</v>
      </c>
      <c r="E41" s="688" t="s">
        <v>917</v>
      </c>
      <c r="F41" s="688" t="s">
        <v>917</v>
      </c>
      <c r="G41" s="688" t="s">
        <v>917</v>
      </c>
      <c r="H41" s="115" t="s">
        <v>935</v>
      </c>
      <c r="I41" s="694" t="s">
        <v>917</v>
      </c>
      <c r="J41" s="694" t="s">
        <v>917</v>
      </c>
      <c r="K41" s="694" t="s">
        <v>917</v>
      </c>
      <c r="L41" s="115" t="s">
        <v>957</v>
      </c>
      <c r="M41" s="551" t="s">
        <v>961</v>
      </c>
      <c r="N41" s="694" t="s">
        <v>917</v>
      </c>
      <c r="O41" s="694" t="s">
        <v>917</v>
      </c>
      <c r="P41" s="694" t="s">
        <v>917</v>
      </c>
      <c r="Q41" s="115" t="s">
        <v>977</v>
      </c>
      <c r="R41" s="1039" t="s">
        <v>2065</v>
      </c>
      <c r="S41" s="694" t="s">
        <v>917</v>
      </c>
      <c r="T41" s="115" t="s">
        <v>987</v>
      </c>
      <c r="U41" s="723">
        <v>0.02</v>
      </c>
      <c r="V41" s="115" t="s">
        <v>1007</v>
      </c>
      <c r="W41" s="115" t="s">
        <v>1007</v>
      </c>
      <c r="X41" s="115" t="s">
        <v>1016</v>
      </c>
      <c r="Y41" s="115">
        <v>2</v>
      </c>
      <c r="Z41" s="115" t="s">
        <v>2368</v>
      </c>
      <c r="AA41" s="115" t="s">
        <v>1026</v>
      </c>
      <c r="AB41" s="115" t="s">
        <v>1017</v>
      </c>
      <c r="AF41" s="115" t="s">
        <v>2407</v>
      </c>
      <c r="AH41" s="115" t="s">
        <v>1040</v>
      </c>
      <c r="AL41" s="1811" t="s">
        <v>2727</v>
      </c>
      <c r="AM41" s="1811"/>
      <c r="AN41" s="1811"/>
      <c r="AO41" s="838" t="s">
        <v>2724</v>
      </c>
      <c r="AP41" s="1811">
        <f>IF('Verification Rpt'!J405&gt;9.99,5,IF('Verification Rpt'!J405&gt;9.49,4,IF('Verification Rpt'!J405&gt;8.99,3,IF('Verification Rpt'!J405&gt;8.19,2,6))))</f>
        <v>6</v>
      </c>
      <c r="AQ41" s="1811"/>
      <c r="AR41" s="1811"/>
      <c r="AS41" s="1811"/>
      <c r="AT41" s="1811"/>
      <c r="AU41" s="1811" t="s">
        <v>288</v>
      </c>
      <c r="AW41" s="2034" t="s">
        <v>2743</v>
      </c>
      <c r="AX41" s="1811">
        <v>1</v>
      </c>
      <c r="AY41" s="1811">
        <v>1</v>
      </c>
      <c r="AZ41" s="1811">
        <v>1</v>
      </c>
      <c r="BA41" s="1811">
        <v>1</v>
      </c>
      <c r="BB41" s="1811">
        <v>1</v>
      </c>
      <c r="BC41" s="1811">
        <v>1</v>
      </c>
      <c r="BD41" s="1811">
        <v>1</v>
      </c>
      <c r="BE41" s="1811">
        <v>1</v>
      </c>
    </row>
    <row r="42" spans="1:80" ht="15" customHeight="1">
      <c r="A42" s="115" t="str">
        <f>IF(startSquareFootage&gt;2000,"", "2000 sf or less")</f>
        <v>2000 sf or less</v>
      </c>
      <c r="C42" s="1798" t="s">
        <v>2569</v>
      </c>
      <c r="D42" s="688" t="s">
        <v>1093</v>
      </c>
      <c r="E42" s="688" t="s">
        <v>1094</v>
      </c>
      <c r="F42" s="688" t="s">
        <v>1099</v>
      </c>
      <c r="G42" s="1812" t="s">
        <v>2683</v>
      </c>
      <c r="H42" s="115" t="s">
        <v>936</v>
      </c>
      <c r="I42" s="694" t="s">
        <v>9</v>
      </c>
      <c r="J42" s="694" t="s">
        <v>9</v>
      </c>
      <c r="K42" s="694"/>
      <c r="M42" s="115" t="s">
        <v>962</v>
      </c>
      <c r="N42" s="115" t="s">
        <v>1365</v>
      </c>
      <c r="O42" s="1811" t="s">
        <v>2553</v>
      </c>
      <c r="P42" s="1750" t="s">
        <v>2554</v>
      </c>
      <c r="Q42" s="115" t="s">
        <v>978</v>
      </c>
      <c r="R42" s="1039"/>
      <c r="T42" s="115" t="s">
        <v>988</v>
      </c>
      <c r="U42" s="723">
        <v>0.03</v>
      </c>
      <c r="V42" s="115" t="s">
        <v>1008</v>
      </c>
      <c r="W42" s="115" t="s">
        <v>1008</v>
      </c>
      <c r="X42" s="115" t="s">
        <v>1015</v>
      </c>
      <c r="Z42" s="115" t="s">
        <v>2369</v>
      </c>
      <c r="AA42" s="115" t="s">
        <v>1027</v>
      </c>
      <c r="AB42" s="115" t="s">
        <v>1016</v>
      </c>
      <c r="AH42" s="115" t="s">
        <v>1041</v>
      </c>
      <c r="AL42" s="1811" t="s">
        <v>1763</v>
      </c>
      <c r="AM42" s="1811">
        <v>1</v>
      </c>
      <c r="AN42" s="1811">
        <v>2</v>
      </c>
      <c r="AO42" s="1811">
        <v>3</v>
      </c>
      <c r="AP42" s="1811">
        <v>4</v>
      </c>
      <c r="AQ42" s="1811">
        <v>5</v>
      </c>
      <c r="AR42" s="1811">
        <v>6</v>
      </c>
      <c r="AS42" s="1811">
        <v>7</v>
      </c>
      <c r="AT42" s="1811">
        <v>8</v>
      </c>
      <c r="AU42" s="1962">
        <f>IF('Verification Rpt'!J405&lt;&gt;"",HLOOKUP(VCZ,Formulas!AM42:AT47,Formulas!AP41,0),0)</f>
        <v>0</v>
      </c>
      <c r="AW42" s="838" t="s">
        <v>2745</v>
      </c>
      <c r="AX42" s="115">
        <v>14</v>
      </c>
      <c r="AY42" s="115">
        <v>11</v>
      </c>
      <c r="AZ42" s="115">
        <v>11</v>
      </c>
      <c r="BA42" s="115">
        <v>11</v>
      </c>
      <c r="BB42" s="115">
        <v>11</v>
      </c>
      <c r="BC42" s="115">
        <v>4</v>
      </c>
      <c r="BD42" s="115">
        <v>4</v>
      </c>
      <c r="BE42" s="115">
        <v>4</v>
      </c>
    </row>
    <row r="43" spans="1:80" ht="398">
      <c r="A43" s="115" t="str">
        <f>IF(startSquareFootage&gt;2500, "", "2500 sf or less")</f>
        <v>2500 sf or less</v>
      </c>
      <c r="D43" s="688" t="s">
        <v>2877</v>
      </c>
      <c r="E43" s="688"/>
      <c r="F43" s="688" t="s">
        <v>1100</v>
      </c>
      <c r="G43" s="688"/>
      <c r="R43" s="1039"/>
      <c r="T43" s="115" t="s">
        <v>989</v>
      </c>
      <c r="U43" s="723">
        <v>0.04</v>
      </c>
      <c r="X43" s="115" t="s">
        <v>1014</v>
      </c>
      <c r="AB43" s="115" t="s">
        <v>1015</v>
      </c>
      <c r="AF43" s="115">
        <f>IF(enter610.1.2_2_floors="4 measures",4,IF(enter610.1.2_2_floors="5 measures",5,0))</f>
        <v>0</v>
      </c>
      <c r="AH43" s="115" t="s">
        <v>1042</v>
      </c>
      <c r="AL43" s="2034">
        <v>8.1999999999999993</v>
      </c>
      <c r="AM43" s="1811">
        <v>0</v>
      </c>
      <c r="AN43" s="1811">
        <v>1</v>
      </c>
      <c r="AO43" s="1811">
        <v>2</v>
      </c>
      <c r="AP43" s="1811">
        <v>4</v>
      </c>
      <c r="AQ43" s="1811">
        <v>5</v>
      </c>
      <c r="AR43" s="1811">
        <v>5</v>
      </c>
      <c r="AS43" s="1811">
        <v>5</v>
      </c>
      <c r="AT43" s="1811">
        <v>5</v>
      </c>
      <c r="AU43" s="1811"/>
      <c r="AW43" s="838" t="s">
        <v>2746</v>
      </c>
      <c r="AX43" s="115">
        <v>19</v>
      </c>
      <c r="AY43" s="115">
        <v>16</v>
      </c>
      <c r="AZ43" s="115">
        <v>16</v>
      </c>
      <c r="BA43" s="115">
        <v>15</v>
      </c>
      <c r="BB43" s="115">
        <v>15</v>
      </c>
      <c r="BC43" s="115">
        <v>6</v>
      </c>
      <c r="BD43" s="115">
        <v>6</v>
      </c>
      <c r="BE43" s="115">
        <v>6</v>
      </c>
    </row>
    <row r="44" spans="1:80" ht="15" customHeight="1">
      <c r="D44" s="688"/>
      <c r="E44" s="688"/>
      <c r="F44" s="688"/>
      <c r="G44" s="688"/>
      <c r="R44" s="1039"/>
      <c r="T44" s="115" t="s">
        <v>990</v>
      </c>
      <c r="U44" s="723">
        <v>0.05</v>
      </c>
      <c r="AB44" s="115" t="s">
        <v>1014</v>
      </c>
      <c r="AF44" s="1597">
        <f>IF(enter610.1.2_2_interior="4 measures",4,IF(enter610.1.2_2_interior="5 measures",5,0))</f>
        <v>0</v>
      </c>
      <c r="AH44" s="115" t="s">
        <v>1043</v>
      </c>
      <c r="AL44" s="2034">
        <v>9</v>
      </c>
      <c r="AM44" s="1811">
        <v>0</v>
      </c>
      <c r="AN44" s="1811">
        <v>3</v>
      </c>
      <c r="AO44" s="1811">
        <v>6</v>
      </c>
      <c r="AP44" s="1811">
        <v>9</v>
      </c>
      <c r="AQ44" s="1811">
        <v>12</v>
      </c>
      <c r="AR44" s="1811">
        <v>12</v>
      </c>
      <c r="AS44" s="1811">
        <v>12</v>
      </c>
      <c r="AT44" s="1811">
        <v>12</v>
      </c>
      <c r="AU44" s="1811"/>
      <c r="AW44" s="838" t="s">
        <v>2747</v>
      </c>
      <c r="AX44" s="115">
        <v>20</v>
      </c>
      <c r="AY44" s="115">
        <v>17</v>
      </c>
      <c r="AZ44" s="115">
        <v>17</v>
      </c>
      <c r="BA44" s="115">
        <v>17</v>
      </c>
      <c r="BB44" s="115">
        <v>16</v>
      </c>
      <c r="BC44" s="115">
        <v>6</v>
      </c>
      <c r="BD44" s="115">
        <v>6</v>
      </c>
      <c r="BE44" s="115">
        <v>6</v>
      </c>
    </row>
    <row r="45" spans="1:80" ht="15" customHeight="1">
      <c r="C45" s="688"/>
      <c r="D45" s="688"/>
      <c r="E45" s="688"/>
      <c r="F45" s="688"/>
      <c r="G45" s="688"/>
      <c r="R45" s="1039"/>
      <c r="T45" s="115" t="s">
        <v>991</v>
      </c>
      <c r="U45" s="723">
        <v>0.06</v>
      </c>
      <c r="AF45" s="1597">
        <f>IF(enter610.1.2_2_roof="4 measures",4,IF(enter610.1.2_2_roof="5 measures",5,0))</f>
        <v>0</v>
      </c>
      <c r="AH45" s="115" t="s">
        <v>1044</v>
      </c>
      <c r="AL45" s="2035">
        <v>9.5</v>
      </c>
      <c r="AM45" s="710">
        <v>0</v>
      </c>
      <c r="AN45" s="710">
        <v>4</v>
      </c>
      <c r="AO45" s="710">
        <v>7</v>
      </c>
      <c r="AP45" s="710">
        <v>12</v>
      </c>
      <c r="AQ45" s="710">
        <v>16</v>
      </c>
      <c r="AR45" s="710">
        <v>16</v>
      </c>
      <c r="AS45" s="710">
        <v>16</v>
      </c>
      <c r="AT45" s="710">
        <v>16</v>
      </c>
      <c r="AU45" s="710"/>
      <c r="AX45" s="1811">
        <v>0</v>
      </c>
      <c r="AY45" s="1811">
        <v>0</v>
      </c>
      <c r="AZ45" s="1811">
        <v>0</v>
      </c>
      <c r="BA45" s="1811">
        <v>0</v>
      </c>
      <c r="BB45" s="1811">
        <v>0</v>
      </c>
      <c r="BC45" s="1811">
        <v>0</v>
      </c>
      <c r="BD45" s="1811">
        <v>0</v>
      </c>
      <c r="BE45" s="1811">
        <v>0</v>
      </c>
    </row>
    <row r="46" spans="1:80" ht="15" customHeight="1">
      <c r="D46" s="688"/>
      <c r="E46" s="688"/>
      <c r="F46" s="688"/>
      <c r="G46" s="688"/>
      <c r="R46" s="1039"/>
      <c r="T46" s="115" t="s">
        <v>992</v>
      </c>
      <c r="U46" s="723">
        <v>7.0000000000000007E-2</v>
      </c>
      <c r="AF46" s="1597">
        <f>IF(enter610.1.2_2_walls="4 measures",4,IF(enter610.1.2_2_walls="5 measures",5,0))</f>
        <v>0</v>
      </c>
      <c r="AH46" s="115" t="s">
        <v>1045</v>
      </c>
      <c r="AL46" s="2034">
        <v>10</v>
      </c>
      <c r="AM46" s="1811">
        <v>1</v>
      </c>
      <c r="AN46" s="1811">
        <v>4</v>
      </c>
      <c r="AO46" s="1811">
        <v>9</v>
      </c>
      <c r="AP46" s="1811">
        <v>15</v>
      </c>
      <c r="AQ46" s="1811">
        <v>19</v>
      </c>
      <c r="AR46" s="1811">
        <v>19</v>
      </c>
      <c r="AS46" s="1811">
        <v>19</v>
      </c>
      <c r="AT46" s="1811">
        <v>19</v>
      </c>
      <c r="AU46" s="1811"/>
    </row>
    <row r="47" spans="1:80" ht="15" customHeight="1">
      <c r="C47" s="688"/>
      <c r="D47" s="688"/>
      <c r="E47" s="688"/>
      <c r="F47" s="688"/>
      <c r="G47" s="688"/>
      <c r="R47" s="1039"/>
      <c r="T47" s="115" t="s">
        <v>993</v>
      </c>
      <c r="U47" s="723">
        <v>0.08</v>
      </c>
      <c r="AH47" s="115" t="s">
        <v>1046</v>
      </c>
      <c r="AL47" s="2034"/>
      <c r="AM47" s="1811">
        <v>0</v>
      </c>
      <c r="AN47" s="1811">
        <v>0</v>
      </c>
      <c r="AO47" s="1811">
        <v>0</v>
      </c>
      <c r="AP47" s="1811">
        <v>0</v>
      </c>
      <c r="AQ47" s="1811">
        <v>0</v>
      </c>
      <c r="AR47" s="1811">
        <v>0</v>
      </c>
      <c r="AS47" s="1811">
        <v>0</v>
      </c>
      <c r="AT47" s="1811">
        <v>0</v>
      </c>
      <c r="AU47" s="1811"/>
    </row>
    <row r="48" spans="1:80" ht="15" customHeight="1">
      <c r="D48" s="688"/>
      <c r="E48" s="688"/>
      <c r="F48" s="688"/>
      <c r="G48" s="688"/>
      <c r="R48" s="1039"/>
      <c r="T48" s="115" t="s">
        <v>994</v>
      </c>
      <c r="U48" s="723" t="s">
        <v>1086</v>
      </c>
      <c r="AE48" s="1811" t="s">
        <v>2680</v>
      </c>
      <c r="AH48" s="115" t="s">
        <v>1047</v>
      </c>
      <c r="AL48" s="1811"/>
      <c r="AU48" s="1811"/>
      <c r="AW48" s="1811" t="s">
        <v>2730</v>
      </c>
      <c r="AX48" s="1811" t="str">
        <f>VCZ</f>
        <v/>
      </c>
      <c r="AY48" s="1811"/>
      <c r="AZ48" s="1811"/>
      <c r="BA48" s="1811"/>
      <c r="BB48" s="1811"/>
      <c r="BC48" s="1811"/>
      <c r="BD48" s="1811"/>
      <c r="BE48" s="1811"/>
      <c r="BF48" s="1811"/>
    </row>
    <row r="49" spans="1:58" ht="15" customHeight="1">
      <c r="C49" s="688"/>
      <c r="D49" s="688"/>
      <c r="E49" s="688"/>
      <c r="F49" s="688"/>
      <c r="G49" s="688"/>
      <c r="R49" s="1039"/>
      <c r="T49" s="115" t="s">
        <v>995</v>
      </c>
      <c r="U49" s="723"/>
      <c r="AF49" s="1811">
        <f>SUM(ar610.1.2.2walls,af610.1.2.2walls)</f>
        <v>0</v>
      </c>
      <c r="AH49" s="115" t="s">
        <v>1048</v>
      </c>
      <c r="AW49" s="1811" t="s">
        <v>1851</v>
      </c>
      <c r="AX49" s="1811">
        <v>1</v>
      </c>
      <c r="AY49" s="1811">
        <v>2</v>
      </c>
      <c r="AZ49" s="1811">
        <v>3</v>
      </c>
      <c r="BA49" s="1811">
        <v>4</v>
      </c>
      <c r="BB49" s="1811">
        <v>5</v>
      </c>
      <c r="BC49" s="1811">
        <v>6</v>
      </c>
      <c r="BD49" s="1811">
        <v>7</v>
      </c>
      <c r="BE49" s="1811">
        <v>8</v>
      </c>
      <c r="BF49" s="1811" t="s">
        <v>288</v>
      </c>
    </row>
    <row r="50" spans="1:58" ht="15" customHeight="1">
      <c r="D50" s="688"/>
      <c r="E50" s="688"/>
      <c r="F50" s="688"/>
      <c r="G50" s="688"/>
      <c r="R50" s="1039"/>
      <c r="T50" s="115" t="s">
        <v>996</v>
      </c>
      <c r="U50" s="723"/>
      <c r="AF50" s="1811">
        <f>SUM(ar610.1.2.2intwalls,af610.1.2.2intwalls)</f>
        <v>0</v>
      </c>
      <c r="AL50" s="1811" t="s">
        <v>2725</v>
      </c>
      <c r="AM50" s="1811" t="str">
        <f>VCZ</f>
        <v/>
      </c>
      <c r="AN50" s="1811"/>
      <c r="AO50" s="1811"/>
      <c r="AP50" s="1811"/>
      <c r="AQ50" s="1811"/>
      <c r="AR50" s="1811"/>
      <c r="AS50" s="1811"/>
      <c r="AT50" s="1811"/>
      <c r="AU50" s="1811"/>
      <c r="AW50" s="1811" t="s">
        <v>2748</v>
      </c>
      <c r="AX50" s="1811">
        <v>17</v>
      </c>
      <c r="AY50" s="1811">
        <v>8</v>
      </c>
      <c r="AZ50" s="1811">
        <v>8</v>
      </c>
      <c r="BA50" s="1811">
        <v>8</v>
      </c>
      <c r="BB50" s="1811">
        <v>8</v>
      </c>
      <c r="BC50" s="1811">
        <v>4</v>
      </c>
      <c r="BD50" s="1811">
        <v>4</v>
      </c>
      <c r="BE50" s="1811">
        <v>4</v>
      </c>
      <c r="BF50" s="1962" t="e">
        <f>HLOOKUP(VCZ,Formulas!AX49:BE50,2,0)</f>
        <v>#N/A</v>
      </c>
    </row>
    <row r="51" spans="1:58" ht="15" customHeight="1">
      <c r="C51" s="688"/>
      <c r="D51" s="688"/>
      <c r="E51" s="688"/>
      <c r="F51" s="688"/>
      <c r="G51" s="688"/>
      <c r="R51" s="1039"/>
      <c r="T51" s="115" t="s">
        <v>997</v>
      </c>
      <c r="U51" s="723"/>
      <c r="AF51" s="1811">
        <f>SUM(ar610.1.2.2roof,af610.1.2.2roof)</f>
        <v>0</v>
      </c>
      <c r="AL51" s="1811"/>
      <c r="AM51" s="1811"/>
      <c r="AN51" s="1811"/>
      <c r="AO51" s="1811"/>
      <c r="AP51" s="1811"/>
      <c r="AQ51" s="1811"/>
      <c r="AR51" s="1811"/>
      <c r="AS51" s="1811"/>
      <c r="AT51" s="1811"/>
      <c r="AU51" s="1811"/>
    </row>
    <row r="52" spans="1:58" s="1039" customFormat="1" ht="15" customHeight="1">
      <c r="C52" s="1411"/>
      <c r="D52" s="1411"/>
      <c r="E52" s="1411"/>
      <c r="F52" s="1411"/>
      <c r="G52" s="1411"/>
      <c r="U52" s="723"/>
      <c r="AF52" s="1811">
        <f>SUM(ar610.1.2.2floors,af610.1.2.2floors)</f>
        <v>0</v>
      </c>
      <c r="AL52" s="1811" t="s">
        <v>2728</v>
      </c>
      <c r="AM52" s="1811"/>
      <c r="AN52" s="1811"/>
      <c r="AO52" s="838" t="s">
        <v>2724</v>
      </c>
      <c r="AP52" s="1811">
        <f>IF('Verification Rpt'!J410&gt;20.99,6,IF('Verification Rpt'!J410&gt;18.99,5,IF('Verification Rpt'!J410&gt;16.99,4,IF('Verification Rpt'!J410&gt;14.99,3,IF('Verification Rpt'!J410&gt;13.99,2,7)))))</f>
        <v>7</v>
      </c>
      <c r="AQ52" s="1811"/>
      <c r="AR52" s="1811"/>
      <c r="AS52" s="1811"/>
      <c r="AT52" s="1811"/>
      <c r="AU52" s="1811" t="s">
        <v>288</v>
      </c>
    </row>
    <row r="53" spans="1:58" s="1039" customFormat="1" ht="15" customHeight="1">
      <c r="C53" s="1411"/>
      <c r="D53" s="1411"/>
      <c r="E53" s="1411"/>
      <c r="F53" s="1411"/>
      <c r="G53" s="1411"/>
      <c r="U53" s="723"/>
      <c r="AL53" s="1811" t="s">
        <v>1773</v>
      </c>
      <c r="AM53" s="1811">
        <v>1</v>
      </c>
      <c r="AN53" s="1811">
        <v>2</v>
      </c>
      <c r="AO53" s="1811">
        <v>3</v>
      </c>
      <c r="AP53" s="1811">
        <v>4</v>
      </c>
      <c r="AQ53" s="1811">
        <v>5</v>
      </c>
      <c r="AR53" s="1811">
        <v>6</v>
      </c>
      <c r="AS53" s="1811">
        <v>7</v>
      </c>
      <c r="AT53" s="1811">
        <v>8</v>
      </c>
      <c r="AU53" s="1962">
        <f>IF('Verification Rpt'!J410&lt;&gt;"",HLOOKUP(VCZ,Formulas!AM53:AT59,Formulas!AP52,0),0)</f>
        <v>0</v>
      </c>
      <c r="AW53" s="1811" t="s">
        <v>2750</v>
      </c>
      <c r="AX53" s="1811"/>
      <c r="AY53" s="1811"/>
      <c r="AZ53" s="838" t="s">
        <v>2724</v>
      </c>
      <c r="BA53" s="1811">
        <f>IF('Verification Rpt'!J447&gt;3,6,IF('Verification Rpt'!J447&gt;2.3,5,IF('Verification Rpt'!J447&gt;1.8,4,IF('Verification Rpt'!J447&gt;1.5,3,IF('Verification Rpt'!J447&gt;1.29,2,7)))))</f>
        <v>7</v>
      </c>
      <c r="BB53" s="1811"/>
      <c r="BC53" s="1811"/>
      <c r="BD53" s="1811"/>
      <c r="BE53" s="1811"/>
      <c r="BF53" s="1811" t="s">
        <v>288</v>
      </c>
    </row>
    <row r="54" spans="1:58" s="894" customFormat="1" ht="15" customHeight="1">
      <c r="A54" s="894" t="s">
        <v>898</v>
      </c>
      <c r="C54" s="836"/>
      <c r="D54" s="836"/>
      <c r="E54" s="836"/>
      <c r="F54" s="836"/>
      <c r="G54" s="836"/>
      <c r="R54" s="1343"/>
      <c r="AL54" s="2034">
        <v>14</v>
      </c>
      <c r="AM54" s="1811">
        <v>4</v>
      </c>
      <c r="AN54" s="1811">
        <v>3</v>
      </c>
      <c r="AO54" s="1811">
        <v>1</v>
      </c>
      <c r="AP54" s="1811">
        <v>1</v>
      </c>
      <c r="AQ54" s="1811">
        <v>0</v>
      </c>
      <c r="AR54" s="1811">
        <v>0</v>
      </c>
      <c r="AS54" s="1811">
        <v>0</v>
      </c>
      <c r="AT54" s="1811">
        <v>0</v>
      </c>
      <c r="AU54" s="1811"/>
      <c r="AW54" s="1811" t="s">
        <v>1856</v>
      </c>
      <c r="AX54" s="1811">
        <v>1</v>
      </c>
      <c r="AY54" s="1811">
        <v>2</v>
      </c>
      <c r="AZ54" s="1811">
        <v>3</v>
      </c>
      <c r="BA54" s="1811">
        <v>4</v>
      </c>
      <c r="BB54" s="1811">
        <v>5</v>
      </c>
      <c r="BC54" s="1811">
        <v>6</v>
      </c>
      <c r="BD54" s="1811">
        <v>7</v>
      </c>
      <c r="BE54" s="1811">
        <v>8</v>
      </c>
      <c r="BF54" s="1962">
        <f>IF('Verification Rpt'!J447&lt;&gt;"",HLOOKUP(VCZ,Formulas!AX54:BE60,Formulas!BA53,0),0)</f>
        <v>0</v>
      </c>
    </row>
    <row r="55" spans="1:58" s="710" customFormat="1" ht="15" customHeight="1">
      <c r="A55" s="710">
        <v>601.1</v>
      </c>
      <c r="C55" s="498">
        <v>601.6</v>
      </c>
      <c r="E55" s="498"/>
      <c r="F55" s="498"/>
      <c r="G55" s="498"/>
      <c r="H55" s="710" t="s">
        <v>933</v>
      </c>
      <c r="I55" s="710" t="s">
        <v>940</v>
      </c>
      <c r="L55" s="710" t="s">
        <v>955</v>
      </c>
      <c r="M55" s="710" t="s">
        <v>958</v>
      </c>
      <c r="P55" s="710" t="s">
        <v>974</v>
      </c>
      <c r="Q55" s="710">
        <v>602.20000000000005</v>
      </c>
      <c r="R55" s="710" t="s">
        <v>920</v>
      </c>
      <c r="T55" s="710">
        <v>603.1</v>
      </c>
      <c r="U55" s="710">
        <v>603.20000000000005</v>
      </c>
      <c r="V55" s="710" t="s">
        <v>1004</v>
      </c>
      <c r="W55" s="710" t="s">
        <v>1005</v>
      </c>
      <c r="X55" s="710">
        <v>605.29999999999995</v>
      </c>
      <c r="Z55" s="710">
        <v>606.29999999999995</v>
      </c>
      <c r="AA55" s="710">
        <v>608.1</v>
      </c>
      <c r="AB55" s="710">
        <v>609.1</v>
      </c>
      <c r="AC55" s="710">
        <v>610.1</v>
      </c>
      <c r="AD55" s="710" t="s">
        <v>1032</v>
      </c>
      <c r="AE55" s="710" t="s">
        <v>1035</v>
      </c>
      <c r="AF55" s="710" t="s">
        <v>1036</v>
      </c>
      <c r="AG55" s="710" t="s">
        <v>1033</v>
      </c>
      <c r="AH55" s="710">
        <v>611.1</v>
      </c>
      <c r="AI55" s="710">
        <v>611.20000000000005</v>
      </c>
      <c r="AL55" s="2034">
        <v>15</v>
      </c>
      <c r="AM55" s="1811">
        <v>7</v>
      </c>
      <c r="AN55" s="1811">
        <v>5</v>
      </c>
      <c r="AO55" s="1811">
        <v>2</v>
      </c>
      <c r="AP55" s="1811">
        <v>1</v>
      </c>
      <c r="AQ55" s="1811">
        <v>1</v>
      </c>
      <c r="AR55" s="1811">
        <v>0</v>
      </c>
      <c r="AS55" s="1811">
        <v>0</v>
      </c>
      <c r="AT55" s="1811">
        <v>0</v>
      </c>
      <c r="AU55" s="1811"/>
      <c r="AW55" s="2034" t="s">
        <v>2751</v>
      </c>
      <c r="AX55" s="1811">
        <v>15</v>
      </c>
      <c r="AY55" s="1811">
        <v>10</v>
      </c>
      <c r="AZ55" s="1811">
        <v>11</v>
      </c>
      <c r="BA55" s="1811">
        <v>12</v>
      </c>
      <c r="BB55" s="1811">
        <v>12</v>
      </c>
      <c r="BC55" s="1811">
        <v>10</v>
      </c>
      <c r="BD55" s="1811">
        <v>7</v>
      </c>
      <c r="BE55" s="1811">
        <v>4</v>
      </c>
      <c r="BF55" s="1811"/>
    </row>
    <row r="56" spans="1:58" ht="15" customHeight="1">
      <c r="A56" s="115">
        <f>IF(AND(startSquareFootage&gt;0,startSquareFootage&lt;=1000), 15, IF(AND(startSquareFootage&gt;0,startSquareFootage&lt;=1500), 12, IF(AND(startSquareFootage&gt;0,startSquareFootage&lt;=2000), 9, IF(AND(startSquareFootage&gt;0,startSquareFootage&lt;=2500), 6, 0))))</f>
        <v>0</v>
      </c>
      <c r="C56" s="688">
        <f>IF(choice601.6=C40, 4,IF(choice601.6=C41,6,IF(choice601.6=C42,8,0)))</f>
        <v>0</v>
      </c>
      <c r="E56" s="688"/>
      <c r="F56" s="688"/>
      <c r="G56" s="688"/>
      <c r="H56" s="115">
        <f>IF(choice602.1.6=H40,2,IF(choice602.1.6=H41,4,IF(choice602.1.6=H42,6,0)))</f>
        <v>0</v>
      </c>
      <c r="I56" s="115">
        <f>IF(choice602.1.7.1_2="Met", 2, 0)</f>
        <v>0</v>
      </c>
      <c r="L56" s="115">
        <f>IF(choice602.1.9_5=L40,4,IF(choice602.1.9_5=L41,2,0))</f>
        <v>0</v>
      </c>
      <c r="M56" s="115">
        <f>IF(choice602.1.10=M40,2,IF(choice602.1.10=M41,4,IF(choice602.1.10=M42,6,0)))</f>
        <v>0</v>
      </c>
      <c r="P56" s="115">
        <f>IF(choice602.1.14_3=P40,1,0)</f>
        <v>0</v>
      </c>
      <c r="Q56" s="115">
        <f>IF(choice602.2&lt;&gt;"",3,0)</f>
        <v>0</v>
      </c>
      <c r="R56" s="1039">
        <f>IF(choice602.1.2&lt;&gt;"",4,0)</f>
        <v>0</v>
      </c>
      <c r="T56" s="115">
        <f>IF(choice603.1=T40,1,IF(choice603.1=T41,2,IF(choice603.1=T42,3,IF(choice603.1=T43,4,IF(choice603.1=T44,5,IF(choice603.1=T45,6,IF(choice603.1=T46,7,IF(choice603.1=T47,8,IF(choice603.1=T48,9,IF(choice603.1=T49,10,IF(choice603.1=T50,11,IF(choice603.1=T51,12,0))))))))))))</f>
        <v>0</v>
      </c>
      <c r="U56" s="115">
        <f>IF(choice603.2=U40,1,IF(choice603.2=U41,2,IF(choice603.2=U42,3,IF(choice603.2=U43,4,IF(choice603.2=U44,5,IF(choice603.2=U45,6,IF(choice603.2=U46,7,IF(choice603.2=U47,8,IF(choice603.2=U48,9,0)))))))))</f>
        <v>0</v>
      </c>
      <c r="V56" s="115">
        <f>IF(choice604.1.1=V40,1,IF(choice604.1.1=V41,2,IF(choice604.1.1=V42,3,0)))</f>
        <v>0</v>
      </c>
      <c r="W56" s="115">
        <f>IF(choice604.1.2=W40,2,IF(choice604.1.2=W41,4,IF(choice604.1.2=W42,6,0)))</f>
        <v>0</v>
      </c>
      <c r="X56" s="115">
        <f>IF(choice605.3=X40,3,IF(choice605.3=X41,4,IF(choice605.3=X42,5,IF(choice605.3=X43,6,0))))</f>
        <v>0</v>
      </c>
      <c r="Z56" s="115">
        <f>IF(choice606.3=Z40,2,IF(choice606.3=Z41,4,IF(choice606.3=Z42,6,0)))</f>
        <v>0</v>
      </c>
      <c r="AA56" s="115">
        <f>IF(choice608.1=AA40,3,IF(choice608.1=AA41,6,IF(choice608.1=AA42,9,0)))</f>
        <v>0</v>
      </c>
      <c r="AB56" s="115">
        <f>IF(choice609.1=AB40,2,IF(choice609.1=AB41,4,IF(choice609.1=AB42,6,IF(choice609.1=AB43,8,IF(choice609.1=AB44,10,0)))))</f>
        <v>0</v>
      </c>
      <c r="AC56" s="115">
        <f>IF(SUM(score610.1.1,score610.1.2)&gt;15, 15, SUM(score610.1.1,score610.1.2))</f>
        <v>0</v>
      </c>
      <c r="AD56" s="115">
        <f>claim610.1.1</f>
        <v>0</v>
      </c>
      <c r="AE56" s="115">
        <f>IF(SUM(enter610.1.2_1_4meas*2,enter610.1.2_1_5meas*3)&gt;10,10,SUM(enter610.1.2_1_4meas*2,enter610.1.2_1_5meas*3))</f>
        <v>0</v>
      </c>
      <c r="AF56" s="115">
        <f>IF(SUM(AF43:AF46)=8,3,IF(SUM(AF43:AF46)=9,3,IF(SUM(AF43:AF46)=10,6,IF(SUM(AF43:AF46)=12,4,IF(SUM(AF43:AF46)=13,4,IF(SUM(AF43:AF46)=14,6,IF(SUM(AF43:AF46)=15,8,IF(SUM(AF43:AF46)=16,5,IF(SUM(AF43:AF46)=17,5,IF(SUM(AF43:AF46)=18,9,IF(SUM(AF43:AF46)=19,9,IF(SUM(AF43:AF46)=20,10,0))))))))))))</f>
        <v>0</v>
      </c>
      <c r="AG56" s="115">
        <f>IF(SUM(score610.1.2_1,score610.1.2_2)&gt;10, 10, SUM(score610.1.2_1,score610.1.2_2))</f>
        <v>0</v>
      </c>
      <c r="AH56" s="115">
        <f>IF(choice611.1=AH40,1,IF(choice611.1=AH41,2,IF(choice611.1=AH42,3,IF(choice611.1=AH43,4,IF(choice611.1=AH44,5,IF(choice611.1=AH45,6,IF(choice611.1=AH46,7,IF(choice611.1=AH47,8,IF(choice611.1=AH48,9,IF(choice611.1=AH49,10,0))))))))))</f>
        <v>0</v>
      </c>
      <c r="AI56" s="115">
        <f>IF(SUM(claim611.2_1,claim611.2_2,claim611.2_3,claim611.2_4,claim611.2_5,claim611.2_6,claim611.2_7)&gt;9,9,SUM(claim611.2_1,claim611.2_2,claim611.2_3,claim611.2_4,claim611.2_5,claim611.2_6,claim611.2_7))</f>
        <v>0</v>
      </c>
      <c r="AL56" s="2035">
        <v>17</v>
      </c>
      <c r="AM56" s="710">
        <v>12</v>
      </c>
      <c r="AN56" s="710">
        <v>8</v>
      </c>
      <c r="AO56" s="710">
        <v>4</v>
      </c>
      <c r="AP56" s="710">
        <v>2</v>
      </c>
      <c r="AQ56" s="710">
        <v>1</v>
      </c>
      <c r="AR56" s="710">
        <v>1</v>
      </c>
      <c r="AS56" s="710">
        <v>0</v>
      </c>
      <c r="AT56" s="710">
        <v>0</v>
      </c>
      <c r="AU56" s="710"/>
      <c r="AW56" s="1811" t="s">
        <v>2752</v>
      </c>
      <c r="AX56" s="1811">
        <v>18</v>
      </c>
      <c r="AY56" s="1811">
        <v>12</v>
      </c>
      <c r="AZ56" s="1811">
        <v>14</v>
      </c>
      <c r="BA56" s="1811">
        <v>14</v>
      </c>
      <c r="BB56" s="1811">
        <v>15</v>
      </c>
      <c r="BC56" s="1811">
        <v>12</v>
      </c>
      <c r="BD56" s="1811">
        <v>8</v>
      </c>
      <c r="BE56" s="1811">
        <v>5</v>
      </c>
      <c r="BF56" s="1811"/>
    </row>
    <row r="57" spans="1:58" ht="15" customHeight="1">
      <c r="C57" s="688"/>
      <c r="E57" s="688"/>
      <c r="F57" s="688"/>
      <c r="G57" s="688"/>
      <c r="R57" s="1039"/>
      <c r="AL57" s="2034">
        <v>19</v>
      </c>
      <c r="AM57" s="1811">
        <v>16</v>
      </c>
      <c r="AN57" s="1811">
        <v>11</v>
      </c>
      <c r="AO57" s="1811">
        <v>6</v>
      </c>
      <c r="AP57" s="1811">
        <v>3</v>
      </c>
      <c r="AQ57" s="1811">
        <v>2</v>
      </c>
      <c r="AR57" s="1811">
        <v>1</v>
      </c>
      <c r="AS57" s="1811">
        <v>0</v>
      </c>
      <c r="AT57" s="1811">
        <v>0</v>
      </c>
      <c r="AU57" s="1811"/>
      <c r="AW57" s="2034" t="s">
        <v>2753</v>
      </c>
      <c r="AX57" s="1811">
        <v>21</v>
      </c>
      <c r="AY57" s="1811">
        <v>14</v>
      </c>
      <c r="AZ57" s="1811">
        <v>16</v>
      </c>
      <c r="BA57" s="1811">
        <v>17</v>
      </c>
      <c r="BB57" s="1811">
        <v>18</v>
      </c>
      <c r="BC57" s="1811">
        <v>14</v>
      </c>
      <c r="BD57" s="1811">
        <v>10</v>
      </c>
      <c r="BE57" s="1811">
        <v>6</v>
      </c>
      <c r="BF57" s="710"/>
    </row>
    <row r="58" spans="1:58" s="894" customFormat="1" ht="15" customHeight="1">
      <c r="A58" s="894" t="s">
        <v>1576</v>
      </c>
      <c r="C58" s="836"/>
      <c r="E58" s="836"/>
      <c r="F58" s="836"/>
      <c r="G58" s="836"/>
      <c r="R58" s="1343"/>
      <c r="AL58" s="2034">
        <v>21</v>
      </c>
      <c r="AM58" s="1811">
        <v>19</v>
      </c>
      <c r="AN58" s="1811">
        <v>14</v>
      </c>
      <c r="AO58" s="1811">
        <v>7</v>
      </c>
      <c r="AP58" s="1811">
        <v>3</v>
      </c>
      <c r="AQ58" s="1811">
        <v>2</v>
      </c>
      <c r="AR58" s="1811">
        <v>0</v>
      </c>
      <c r="AS58" s="1811">
        <v>0</v>
      </c>
      <c r="AT58" s="1811">
        <v>0</v>
      </c>
      <c r="AU58" s="1811"/>
      <c r="AW58" s="2035" t="s">
        <v>2754</v>
      </c>
      <c r="AX58" s="710">
        <v>24</v>
      </c>
      <c r="AY58" s="710">
        <v>17</v>
      </c>
      <c r="AZ58" s="710">
        <v>19</v>
      </c>
      <c r="BA58" s="710">
        <v>20</v>
      </c>
      <c r="BB58" s="710">
        <v>22</v>
      </c>
      <c r="BC58" s="710">
        <v>16</v>
      </c>
      <c r="BD58" s="710">
        <v>12</v>
      </c>
      <c r="BE58" s="710">
        <v>7</v>
      </c>
      <c r="BF58" s="1811"/>
    </row>
    <row r="59" spans="1:58" s="710" customFormat="1" ht="15" customHeight="1">
      <c r="A59" s="985">
        <v>701.1</v>
      </c>
      <c r="B59" s="710">
        <v>701.3</v>
      </c>
      <c r="C59" s="498" t="s">
        <v>1582</v>
      </c>
      <c r="D59" s="710" t="s">
        <v>1583</v>
      </c>
      <c r="E59" s="498" t="s">
        <v>342</v>
      </c>
      <c r="F59" s="498" t="s">
        <v>344</v>
      </c>
      <c r="G59" s="498" t="s">
        <v>1587</v>
      </c>
      <c r="H59" s="710" t="s">
        <v>347</v>
      </c>
      <c r="I59" s="710" t="s">
        <v>348</v>
      </c>
      <c r="J59" s="710" t="s">
        <v>1981</v>
      </c>
      <c r="K59" s="710" t="s">
        <v>349</v>
      </c>
      <c r="L59" s="710" t="s">
        <v>350</v>
      </c>
      <c r="M59" s="710" t="s">
        <v>351</v>
      </c>
      <c r="N59" s="710" t="s">
        <v>1636</v>
      </c>
      <c r="O59" s="710" t="s">
        <v>1637</v>
      </c>
      <c r="P59" s="710" t="s">
        <v>1638</v>
      </c>
      <c r="Q59" s="710" t="s">
        <v>358</v>
      </c>
      <c r="R59" s="710" t="s">
        <v>361</v>
      </c>
      <c r="S59" s="710" t="s">
        <v>1720</v>
      </c>
      <c r="T59" s="710" t="s">
        <v>377</v>
      </c>
      <c r="U59" s="710" t="s">
        <v>1944</v>
      </c>
      <c r="V59" s="710">
        <v>705.3</v>
      </c>
      <c r="AM59" s="1811">
        <v>0</v>
      </c>
      <c r="AN59" s="1811">
        <v>0</v>
      </c>
      <c r="AO59" s="1811">
        <v>0</v>
      </c>
      <c r="AP59" s="1811">
        <v>0</v>
      </c>
      <c r="AQ59" s="1811">
        <v>0</v>
      </c>
      <c r="AR59" s="1811">
        <v>0</v>
      </c>
      <c r="AS59" s="1811">
        <v>0</v>
      </c>
      <c r="AT59" s="1811">
        <v>0</v>
      </c>
      <c r="AW59" s="2034" t="s">
        <v>2755</v>
      </c>
      <c r="AX59" s="1811">
        <v>27</v>
      </c>
      <c r="AY59" s="1811">
        <v>19</v>
      </c>
      <c r="AZ59" s="1811">
        <v>21</v>
      </c>
      <c r="BA59" s="1811">
        <v>23</v>
      </c>
      <c r="BB59" s="1811">
        <v>25</v>
      </c>
      <c r="BC59" s="1811">
        <v>18</v>
      </c>
      <c r="BD59" s="1811">
        <v>13</v>
      </c>
      <c r="BE59" s="1811">
        <v>8</v>
      </c>
      <c r="BF59" s="1811"/>
    </row>
    <row r="60" spans="1:58" ht="15" customHeight="1">
      <c r="A60" s="115" t="s">
        <v>1577</v>
      </c>
      <c r="B60" s="115" t="s">
        <v>916</v>
      </c>
      <c r="C60" s="888" t="s">
        <v>916</v>
      </c>
      <c r="D60" s="115" t="s">
        <v>916</v>
      </c>
      <c r="E60" s="888" t="s">
        <v>916</v>
      </c>
      <c r="F60" s="888" t="s">
        <v>916</v>
      </c>
      <c r="G60" s="888" t="s">
        <v>916</v>
      </c>
      <c r="H60" s="115" t="s">
        <v>916</v>
      </c>
      <c r="I60" s="115" t="s">
        <v>2062</v>
      </c>
      <c r="J60" s="1039"/>
      <c r="K60" s="115" t="s">
        <v>916</v>
      </c>
      <c r="L60" s="115" t="s">
        <v>916</v>
      </c>
      <c r="M60" s="115" t="s">
        <v>916</v>
      </c>
      <c r="N60" s="115" t="s">
        <v>916</v>
      </c>
      <c r="O60" s="115" t="s">
        <v>916</v>
      </c>
      <c r="P60" s="723" t="s">
        <v>2589</v>
      </c>
      <c r="R60" s="115" t="s">
        <v>1677</v>
      </c>
      <c r="S60" s="1753" t="s">
        <v>916</v>
      </c>
      <c r="T60" s="723" t="s">
        <v>380</v>
      </c>
      <c r="U60" s="115" t="s">
        <v>1942</v>
      </c>
      <c r="V60" s="115" t="s">
        <v>1951</v>
      </c>
      <c r="AW60" s="838"/>
      <c r="AX60" s="1811">
        <v>0</v>
      </c>
      <c r="AY60" s="1811">
        <v>0</v>
      </c>
      <c r="AZ60" s="1811">
        <v>0</v>
      </c>
      <c r="BA60" s="1811">
        <v>0</v>
      </c>
      <c r="BB60" s="1811">
        <v>0</v>
      </c>
      <c r="BC60" s="1811">
        <v>0</v>
      </c>
      <c r="BD60" s="1811">
        <v>0</v>
      </c>
      <c r="BE60" s="1811">
        <v>0</v>
      </c>
      <c r="BF60" s="1811"/>
    </row>
    <row r="61" spans="1:58" ht="15" customHeight="1">
      <c r="A61" s="115" t="s">
        <v>1578</v>
      </c>
      <c r="B61" s="115" t="s">
        <v>917</v>
      </c>
      <c r="C61" s="888" t="s">
        <v>917</v>
      </c>
      <c r="D61" s="115" t="s">
        <v>917</v>
      </c>
      <c r="E61" s="888" t="s">
        <v>917</v>
      </c>
      <c r="F61" s="888" t="s">
        <v>917</v>
      </c>
      <c r="G61" s="888" t="s">
        <v>917</v>
      </c>
      <c r="H61" s="115" t="s">
        <v>917</v>
      </c>
      <c r="I61" s="115" t="s">
        <v>2061</v>
      </c>
      <c r="J61" s="1039"/>
      <c r="K61" s="115" t="s">
        <v>917</v>
      </c>
      <c r="L61" s="115" t="s">
        <v>917</v>
      </c>
      <c r="M61" s="115" t="s">
        <v>917</v>
      </c>
      <c r="N61" s="115" t="s">
        <v>917</v>
      </c>
      <c r="O61" s="1811" t="s">
        <v>2573</v>
      </c>
      <c r="P61" s="723" t="s">
        <v>2590</v>
      </c>
      <c r="R61" s="115" t="s">
        <v>1678</v>
      </c>
      <c r="S61" s="1753" t="s">
        <v>917</v>
      </c>
      <c r="T61" s="723" t="s">
        <v>381</v>
      </c>
      <c r="U61" s="1033" t="s">
        <v>1943</v>
      </c>
      <c r="AF61" s="1811"/>
      <c r="AL61" s="1811" t="s">
        <v>2730</v>
      </c>
      <c r="AM61" s="115" t="str">
        <f>VCZ</f>
        <v/>
      </c>
      <c r="AW61" s="838"/>
      <c r="AX61" s="1811"/>
      <c r="AY61" s="1811"/>
      <c r="AZ61" s="1811"/>
      <c r="BA61" s="1811"/>
      <c r="BB61" s="1811"/>
      <c r="BC61" s="1811"/>
      <c r="BD61" s="1811"/>
      <c r="BE61" s="1811"/>
      <c r="BF61" s="1811"/>
    </row>
    <row r="62" spans="1:58" ht="15" customHeight="1">
      <c r="A62" s="115" t="s">
        <v>1579</v>
      </c>
      <c r="C62" s="888"/>
      <c r="D62" s="1811" t="s">
        <v>2598</v>
      </c>
      <c r="E62" s="888" t="s">
        <v>1585</v>
      </c>
      <c r="F62" s="1801" t="s">
        <v>2570</v>
      </c>
      <c r="G62" s="1801" t="s">
        <v>2570</v>
      </c>
      <c r="J62" s="1039"/>
      <c r="L62" s="1811" t="s">
        <v>2571</v>
      </c>
      <c r="N62" s="1811" t="s">
        <v>2572</v>
      </c>
      <c r="P62" s="723" t="s">
        <v>2591</v>
      </c>
      <c r="S62" s="1753"/>
      <c r="AE62" s="838" t="s">
        <v>2681</v>
      </c>
      <c r="AF62" s="1811">
        <f>IF(SUM(AF49:AF52)=8,3,IF(SUM(AF49:AF52)=9,3,IF(SUM(AF49:AF52)=10,6,IF(SUM(AF49:AF52)=12,4,IF(SUM(AF49:AF52)=13,4,IF(SUM(AF49:AF52)=14,6,IF(SUM(AF49:AF52)=15,8,IF(SUM(AF49:AF52)=16,5,IF(SUM(AF49:AF52)=17,5,IF(SUM(AF49:AF52)=18,9,IF(SUM(AF49:AF52)=19,9,IF(SUM(AF49:AF52)=20,10,0))))))))))))</f>
        <v>0</v>
      </c>
      <c r="AL62" s="1811" t="s">
        <v>1785</v>
      </c>
      <c r="AM62" s="1811">
        <v>1</v>
      </c>
      <c r="AN62" s="1811">
        <v>2</v>
      </c>
      <c r="AO62" s="1811">
        <v>3</v>
      </c>
      <c r="AP62" s="1811">
        <v>4</v>
      </c>
      <c r="AQ62" s="1811">
        <v>5</v>
      </c>
      <c r="AR62" s="1811">
        <v>6</v>
      </c>
      <c r="AS62" s="1811">
        <v>7</v>
      </c>
      <c r="AT62" s="1811">
        <v>8</v>
      </c>
      <c r="AU62" s="1811" t="s">
        <v>288</v>
      </c>
      <c r="AW62" s="838"/>
      <c r="AX62" s="1811"/>
      <c r="AY62" s="1811"/>
      <c r="AZ62" s="1811"/>
      <c r="BA62" s="1811"/>
      <c r="BB62" s="1811"/>
      <c r="BC62" s="1811"/>
      <c r="BD62" s="1811"/>
      <c r="BE62" s="1811"/>
      <c r="BF62" s="1811"/>
    </row>
    <row r="63" spans="1:58" ht="15" customHeight="1">
      <c r="C63" s="888"/>
      <c r="D63" s="1811" t="s">
        <v>9</v>
      </c>
      <c r="E63" s="888"/>
      <c r="F63" s="888"/>
      <c r="G63" s="888"/>
      <c r="I63" s="1627" t="str">
        <f>IF(OR(choice701.4.3.2="Visual Inspection Option",AND(choice701.4.3.2="Testing Option",ch7ACH50&gt;0,ch7ACH50&lt;=7)), "Met",IF(choice701.1="Alternative Bronze","","Not Met"))</f>
        <v>Not Met</v>
      </c>
      <c r="J63" s="1039"/>
      <c r="P63" s="723" t="s">
        <v>2592</v>
      </c>
      <c r="S63" s="1753"/>
      <c r="AM63" s="115">
        <v>14</v>
      </c>
      <c r="AN63" s="1811">
        <v>18</v>
      </c>
      <c r="AO63" s="115">
        <v>22</v>
      </c>
      <c r="AP63" s="115">
        <v>30</v>
      </c>
      <c r="AQ63" s="115">
        <v>37</v>
      </c>
      <c r="AR63" s="115">
        <v>37</v>
      </c>
      <c r="AS63" s="115">
        <v>37</v>
      </c>
      <c r="AT63" s="115">
        <v>37</v>
      </c>
      <c r="AU63" s="1962">
        <f>IF('Verification Rpt'!J415&lt;&gt;"",HLOOKUP(VCZ,Formulas!AM62:AT63,2,0),0)</f>
        <v>0</v>
      </c>
      <c r="AW63" s="1811" t="s">
        <v>2756</v>
      </c>
      <c r="AX63" s="1811"/>
      <c r="AY63" s="1811"/>
      <c r="AZ63" s="838" t="s">
        <v>2724</v>
      </c>
      <c r="BA63" s="1811">
        <f>IF('Verification Rpt'!J454=75,2,IF('Verification Rpt'!J454=95,3,4))</f>
        <v>4</v>
      </c>
      <c r="BB63" s="1811"/>
      <c r="BC63" s="1811"/>
      <c r="BD63" s="1811"/>
      <c r="BE63" s="1811"/>
      <c r="BF63" s="1811" t="s">
        <v>288</v>
      </c>
    </row>
    <row r="64" spans="1:58" ht="15" customHeight="1">
      <c r="C64" s="888"/>
      <c r="E64" s="888"/>
      <c r="F64" s="888"/>
      <c r="G64" s="888"/>
      <c r="J64" s="1039"/>
      <c r="AW64" s="1811" t="s">
        <v>369</v>
      </c>
      <c r="AX64" s="1811">
        <v>1</v>
      </c>
      <c r="AY64" s="1811">
        <v>2</v>
      </c>
      <c r="AZ64" s="1811">
        <v>3</v>
      </c>
      <c r="BA64" s="1811">
        <v>4</v>
      </c>
      <c r="BB64" s="1811">
        <v>5</v>
      </c>
      <c r="BC64" s="1811">
        <v>6</v>
      </c>
      <c r="BD64" s="1811">
        <v>7</v>
      </c>
      <c r="BE64" s="1811">
        <v>8</v>
      </c>
      <c r="BF64" s="1962">
        <f>IF('Verification Rpt'!J454&lt;&gt;"",HLOOKUP(VCZ,Formulas!AX64:BE67,Formulas!BA63,0),0)</f>
        <v>0</v>
      </c>
    </row>
    <row r="65" spans="1:58" s="894" customFormat="1" ht="15" customHeight="1">
      <c r="C65" s="836"/>
      <c r="E65" s="836"/>
      <c r="F65" s="836"/>
      <c r="G65" s="836"/>
      <c r="J65" s="1032"/>
      <c r="AW65" s="724">
        <v>75</v>
      </c>
      <c r="AX65" s="1811">
        <v>5</v>
      </c>
      <c r="AY65" s="1811">
        <v>4</v>
      </c>
      <c r="AZ65" s="1811">
        <v>3</v>
      </c>
      <c r="BA65" s="1811">
        <v>3</v>
      </c>
      <c r="BB65" s="1811">
        <v>3</v>
      </c>
      <c r="BC65" s="1811">
        <v>2</v>
      </c>
      <c r="BD65" s="1811">
        <v>2</v>
      </c>
      <c r="BE65" s="1811">
        <v>1</v>
      </c>
      <c r="BF65" s="1811"/>
    </row>
    <row r="66" spans="1:58" s="710" customFormat="1" ht="15" customHeight="1">
      <c r="C66" s="498"/>
      <c r="E66" s="498"/>
      <c r="F66" s="498"/>
      <c r="G66" s="498"/>
      <c r="P66" s="710" t="s">
        <v>1638</v>
      </c>
      <c r="Q66" s="710" t="s">
        <v>358</v>
      </c>
      <c r="R66" s="710" t="s">
        <v>361</v>
      </c>
      <c r="S66" s="710" t="s">
        <v>377</v>
      </c>
      <c r="T66" s="710" t="s">
        <v>1944</v>
      </c>
      <c r="U66" s="710" t="s">
        <v>370</v>
      </c>
      <c r="V66" s="710" t="s">
        <v>2098</v>
      </c>
      <c r="AL66" s="1811" t="s">
        <v>2725</v>
      </c>
      <c r="AM66" s="1811" t="str">
        <f>VCZ</f>
        <v/>
      </c>
      <c r="AN66" s="1811"/>
      <c r="AO66" s="1811"/>
      <c r="AP66" s="1811"/>
      <c r="AQ66" s="1811"/>
      <c r="AR66" s="1811"/>
      <c r="AS66" s="1811"/>
      <c r="AT66" s="1811"/>
      <c r="AU66" s="1811"/>
      <c r="AW66" s="723">
        <v>0.95</v>
      </c>
      <c r="AX66" s="1811">
        <v>9</v>
      </c>
      <c r="AY66" s="1811">
        <v>6</v>
      </c>
      <c r="AZ66" s="1811">
        <v>5</v>
      </c>
      <c r="BA66" s="1811">
        <v>4</v>
      </c>
      <c r="BB66" s="1811">
        <v>4</v>
      </c>
      <c r="BC66" s="1811">
        <v>3</v>
      </c>
      <c r="BD66" s="1811">
        <v>2</v>
      </c>
      <c r="BE66" s="1811">
        <v>1</v>
      </c>
      <c r="BF66" s="1811"/>
    </row>
    <row r="67" spans="1:58" ht="15" customHeight="1">
      <c r="C67" s="888"/>
      <c r="E67" s="888"/>
      <c r="F67" s="888"/>
      <c r="G67" s="888"/>
      <c r="J67" s="1039"/>
      <c r="P67" s="115">
        <f>IF(ROUNDDOWN(P68*2*100,0)&gt;100,100,ROUNDDOWN(P68*2*100,0))</f>
        <v>0</v>
      </c>
      <c r="R67" s="115">
        <f>IF(choice703.1.2=R60,7,IF(choice703.1.2=R61,4,0))</f>
        <v>0</v>
      </c>
      <c r="S67" s="115">
        <f>IF(choice704.2.1=T60,1,IF(choice704.2.1=T61,2,0))</f>
        <v>0</v>
      </c>
      <c r="T67" s="115">
        <f>IF(choice705.2_2=U60,1,IF(choice705.2_2=U61,5,0))</f>
        <v>0</v>
      </c>
      <c r="U67" s="115">
        <f>IF(OR(startTotalFloorArea="",enterRecessedLights=""),0,IF(AND(startTotalFloorArea&lt;&gt;"",enterRecessedLights=0),2,IF(startTotalFloorArea/enterRecessedLights&gt;400,2,0)))</f>
        <v>0</v>
      </c>
      <c r="V67" s="115">
        <f>IF(AND(ch7blowerdoor&gt;0,ch7blowerdoor&lt;=7),5,0)</f>
        <v>0</v>
      </c>
      <c r="AL67" s="1811"/>
      <c r="AM67" s="1811"/>
      <c r="AN67" s="1811"/>
      <c r="AO67" s="1811"/>
      <c r="AP67" s="1811"/>
      <c r="AQ67" s="1811"/>
      <c r="AR67" s="1811"/>
      <c r="AS67" s="1811"/>
      <c r="AT67" s="1811"/>
      <c r="AU67" s="1811"/>
      <c r="AW67" s="2034" t="s">
        <v>3125</v>
      </c>
      <c r="AX67" s="1811">
        <v>1</v>
      </c>
      <c r="AY67" s="1811">
        <v>1</v>
      </c>
      <c r="AZ67" s="1811">
        <v>1</v>
      </c>
      <c r="BA67" s="1811">
        <v>1</v>
      </c>
      <c r="BB67" s="1811">
        <v>1</v>
      </c>
      <c r="BC67" s="1811">
        <v>1</v>
      </c>
      <c r="BD67" s="1811">
        <v>1</v>
      </c>
      <c r="BE67" s="1811">
        <v>1</v>
      </c>
      <c r="BF67" s="710"/>
    </row>
    <row r="68" spans="1:58" ht="15" customHeight="1">
      <c r="C68" s="888"/>
      <c r="E68" s="888"/>
      <c r="F68" s="888"/>
      <c r="G68" s="888"/>
      <c r="J68" s="1039"/>
      <c r="P68" s="115">
        <f>IF(choice702.2.2="&gt;=15%",0.15,IF(choice702.2.2="&gt;=30%",0.3,IF(choice702.2.2="&gt;=40%",0.4,IF(choice702.2.2="&gt;=50%",0.5,choice702.2.2))))</f>
        <v>0</v>
      </c>
      <c r="AL68" s="1811" t="s">
        <v>2731</v>
      </c>
      <c r="AM68" s="1811"/>
      <c r="AN68" s="1811"/>
      <c r="AO68" s="838" t="s">
        <v>2724</v>
      </c>
      <c r="AP68" s="1811">
        <f>IF('Verification Rpt'!J419&gt;27.99,6,IF('Verification Rpt'!J419&gt;23.99,5,IF('Verification Rpt'!J419&gt;16.19,4,IF('Verification Rpt'!J419&gt;14.99,3,IF('Verification Rpt'!J419&gt;14.09,2,7)))))</f>
        <v>7</v>
      </c>
      <c r="AQ68" s="1811"/>
      <c r="AR68" s="1811"/>
      <c r="AS68" s="1811"/>
      <c r="AT68" s="1811"/>
      <c r="AU68" s="1811" t="s">
        <v>288</v>
      </c>
      <c r="AW68" s="2035"/>
      <c r="AX68" s="710"/>
      <c r="AY68" s="710"/>
      <c r="AZ68" s="710"/>
      <c r="BA68" s="710"/>
      <c r="BB68" s="710"/>
      <c r="BC68" s="710"/>
      <c r="BD68" s="710"/>
      <c r="BE68" s="710"/>
      <c r="BF68" s="1811"/>
    </row>
    <row r="69" spans="1:58" s="894" customFormat="1" ht="15" customHeight="1">
      <c r="A69" s="894" t="s">
        <v>1650</v>
      </c>
      <c r="C69" s="836"/>
      <c r="E69" s="836"/>
      <c r="F69" s="836"/>
      <c r="G69" s="836"/>
      <c r="J69" s="1032"/>
      <c r="AL69" s="1811" t="s">
        <v>1785</v>
      </c>
      <c r="AM69" s="1811">
        <v>1</v>
      </c>
      <c r="AN69" s="1811">
        <v>2</v>
      </c>
      <c r="AO69" s="1811">
        <v>3</v>
      </c>
      <c r="AP69" s="1811">
        <v>4</v>
      </c>
      <c r="AQ69" s="1811">
        <v>5</v>
      </c>
      <c r="AR69" s="1811">
        <v>6</v>
      </c>
      <c r="AS69" s="1811">
        <v>7</v>
      </c>
      <c r="AT69" s="1811">
        <v>8</v>
      </c>
      <c r="AU69" s="1962">
        <f>IF('Verification Rpt'!J419&lt;&gt;"",HLOOKUP(VCZ,Formulas!AM69:AT75,Formulas!AP68,0),0)</f>
        <v>0</v>
      </c>
      <c r="AW69" s="1811" t="s">
        <v>2730</v>
      </c>
      <c r="AX69" s="1811" t="str">
        <f>VCZ</f>
        <v/>
      </c>
      <c r="AY69" s="1811"/>
      <c r="AZ69" s="1811"/>
      <c r="BA69" s="1811"/>
      <c r="BB69" s="1811"/>
      <c r="BC69" s="1811"/>
      <c r="BD69" s="1811"/>
      <c r="BE69" s="1811"/>
      <c r="BF69" s="1811"/>
    </row>
    <row r="70" spans="1:58" s="710" customFormat="1" ht="15" customHeight="1">
      <c r="A70" s="710" t="s">
        <v>358</v>
      </c>
      <c r="B70" s="710" t="s">
        <v>362</v>
      </c>
      <c r="C70" s="498" t="s">
        <v>1709</v>
      </c>
      <c r="D70" s="710" t="s">
        <v>1725</v>
      </c>
      <c r="E70" s="498" t="s">
        <v>1739</v>
      </c>
      <c r="F70" s="498" t="s">
        <v>1753</v>
      </c>
      <c r="G70" s="498" t="s">
        <v>1754</v>
      </c>
      <c r="H70" s="710" t="s">
        <v>1755</v>
      </c>
      <c r="I70" s="710" t="s">
        <v>1756</v>
      </c>
      <c r="J70" s="710" t="s">
        <v>1763</v>
      </c>
      <c r="K70" s="710" t="s">
        <v>1773</v>
      </c>
      <c r="L70" s="710" t="s">
        <v>1785</v>
      </c>
      <c r="M70" s="710" t="s">
        <v>1812</v>
      </c>
      <c r="N70" s="710" t="s">
        <v>1823</v>
      </c>
      <c r="O70" s="710" t="s">
        <v>1846</v>
      </c>
      <c r="P70" s="710" t="s">
        <v>1847</v>
      </c>
      <c r="Q70" s="710" t="s">
        <v>1848</v>
      </c>
      <c r="R70" s="710" t="s">
        <v>1849</v>
      </c>
      <c r="S70" s="710" t="s">
        <v>1850</v>
      </c>
      <c r="T70" s="710" t="s">
        <v>1856</v>
      </c>
      <c r="U70" s="710" t="s">
        <v>369</v>
      </c>
      <c r="AL70" s="2034">
        <v>14.1</v>
      </c>
      <c r="AM70" s="1811">
        <v>12</v>
      </c>
      <c r="AN70" s="1811">
        <v>14</v>
      </c>
      <c r="AO70" s="1811">
        <v>16</v>
      </c>
      <c r="AP70" s="1811">
        <v>22</v>
      </c>
      <c r="AQ70" s="1811">
        <v>27</v>
      </c>
      <c r="AR70" s="1811">
        <v>27</v>
      </c>
      <c r="AS70" s="1811">
        <v>27</v>
      </c>
      <c r="AT70" s="1811">
        <v>27</v>
      </c>
      <c r="AU70" s="1811"/>
      <c r="AW70" s="1811" t="s">
        <v>372</v>
      </c>
      <c r="AX70" s="1811">
        <v>1</v>
      </c>
      <c r="AY70" s="1811">
        <v>2</v>
      </c>
      <c r="AZ70" s="1811">
        <v>3</v>
      </c>
      <c r="BA70" s="1811">
        <v>4</v>
      </c>
      <c r="BB70" s="1811">
        <v>5</v>
      </c>
      <c r="BC70" s="1811">
        <v>6</v>
      </c>
      <c r="BD70" s="1811">
        <v>7</v>
      </c>
      <c r="BE70" s="1811">
        <v>8</v>
      </c>
      <c r="BF70" s="1811" t="s">
        <v>288</v>
      </c>
    </row>
    <row r="71" spans="1:58" ht="15" customHeight="1">
      <c r="A71" s="115" t="s">
        <v>1651</v>
      </c>
      <c r="B71" s="115" t="s">
        <v>1703</v>
      </c>
      <c r="C71" s="888" t="s">
        <v>1714</v>
      </c>
      <c r="D71" s="115" t="s">
        <v>1735</v>
      </c>
      <c r="F71" s="888" t="s">
        <v>1757</v>
      </c>
      <c r="G71" s="888" t="s">
        <v>1758</v>
      </c>
      <c r="H71" s="888" t="s">
        <v>1759</v>
      </c>
      <c r="I71" s="888" t="s">
        <v>1760</v>
      </c>
      <c r="J71" s="115" t="s">
        <v>1771</v>
      </c>
      <c r="K71" s="115" t="s">
        <v>2445</v>
      </c>
      <c r="L71" s="115" t="s">
        <v>1788</v>
      </c>
      <c r="M71" s="115" t="s">
        <v>1819</v>
      </c>
      <c r="O71" s="115" t="s">
        <v>1844</v>
      </c>
      <c r="P71" s="115" t="s">
        <v>1845</v>
      </c>
      <c r="Q71" s="115" t="s">
        <v>1840</v>
      </c>
      <c r="R71" s="115" t="s">
        <v>155</v>
      </c>
      <c r="S71" s="115" t="s">
        <v>1841</v>
      </c>
      <c r="T71" s="115" t="s">
        <v>1966</v>
      </c>
      <c r="U71" s="115" t="s">
        <v>1863</v>
      </c>
      <c r="AL71" s="2034">
        <v>15</v>
      </c>
      <c r="AM71" s="1811">
        <v>14</v>
      </c>
      <c r="AN71" s="1811">
        <v>16</v>
      </c>
      <c r="AO71" s="1811">
        <v>19</v>
      </c>
      <c r="AP71" s="1811">
        <v>25</v>
      </c>
      <c r="AQ71" s="1811">
        <v>31</v>
      </c>
      <c r="AR71" s="1811">
        <v>31</v>
      </c>
      <c r="AS71" s="1811">
        <v>31</v>
      </c>
      <c r="AT71" s="1811">
        <v>31</v>
      </c>
      <c r="AU71" s="1811"/>
      <c r="AW71" s="1811" t="s">
        <v>1867</v>
      </c>
      <c r="AX71" s="1811">
        <v>3</v>
      </c>
      <c r="AY71" s="1811">
        <v>2</v>
      </c>
      <c r="AZ71" s="1811">
        <v>1</v>
      </c>
      <c r="BA71" s="1811">
        <v>1</v>
      </c>
      <c r="BB71" s="1811">
        <v>1</v>
      </c>
      <c r="BC71" s="1811">
        <v>1</v>
      </c>
      <c r="BD71" s="1811">
        <v>1</v>
      </c>
      <c r="BE71" s="1811">
        <v>1</v>
      </c>
      <c r="BF71" s="1962" t="e">
        <f>HLOOKUP(VCZ,Formulas!AX70:BE71,2,0)</f>
        <v>#N/A</v>
      </c>
    </row>
    <row r="72" spans="1:58" ht="15" customHeight="1">
      <c r="A72" s="115" t="s">
        <v>1648</v>
      </c>
      <c r="B72" s="989" t="s">
        <v>1704</v>
      </c>
      <c r="C72" s="967" t="s">
        <v>1715</v>
      </c>
      <c r="D72" s="115" t="s">
        <v>1736</v>
      </c>
      <c r="F72" s="888" t="s">
        <v>1742</v>
      </c>
      <c r="G72" s="888" t="s">
        <v>1748</v>
      </c>
      <c r="H72" s="115" t="s">
        <v>1748</v>
      </c>
      <c r="I72" s="115" t="s">
        <v>1748</v>
      </c>
      <c r="J72" s="115" t="s">
        <v>1772</v>
      </c>
      <c r="K72" s="115" t="s">
        <v>2446</v>
      </c>
      <c r="L72" s="115" t="s">
        <v>1789</v>
      </c>
      <c r="M72" s="115" t="s">
        <v>1820</v>
      </c>
      <c r="O72" s="115" t="s">
        <v>1826</v>
      </c>
      <c r="P72" s="115" t="s">
        <v>1965</v>
      </c>
      <c r="Q72" s="115" t="s">
        <v>1964</v>
      </c>
      <c r="R72" s="115" t="s">
        <v>1843</v>
      </c>
      <c r="S72" s="115" t="s">
        <v>1838</v>
      </c>
      <c r="T72" s="115" t="s">
        <v>1967</v>
      </c>
      <c r="U72" s="115" t="s">
        <v>1864</v>
      </c>
      <c r="AL72" s="2035">
        <v>16.2</v>
      </c>
      <c r="AM72" s="710">
        <v>17</v>
      </c>
      <c r="AN72" s="710">
        <v>18</v>
      </c>
      <c r="AO72" s="710">
        <v>20</v>
      </c>
      <c r="AP72" s="710">
        <v>27</v>
      </c>
      <c r="AQ72" s="710">
        <v>33</v>
      </c>
      <c r="AR72" s="710">
        <v>33</v>
      </c>
      <c r="AS72" s="710">
        <v>33</v>
      </c>
      <c r="AT72" s="710">
        <v>33</v>
      </c>
      <c r="AU72" s="710"/>
    </row>
    <row r="73" spans="1:58" ht="15" customHeight="1">
      <c r="A73" s="115" t="s">
        <v>1647</v>
      </c>
      <c r="C73" s="967" t="s">
        <v>1716</v>
      </c>
      <c r="D73" s="115" t="s">
        <v>1737</v>
      </c>
      <c r="F73" s="888" t="s">
        <v>1743</v>
      </c>
      <c r="G73" s="888" t="s">
        <v>1742</v>
      </c>
      <c r="H73" s="115" t="s">
        <v>1742</v>
      </c>
      <c r="I73" s="115" t="s">
        <v>1742</v>
      </c>
      <c r="J73" s="115" t="s">
        <v>1768</v>
      </c>
      <c r="K73" s="115" t="s">
        <v>2447</v>
      </c>
      <c r="L73" s="115" t="s">
        <v>1796</v>
      </c>
      <c r="M73" s="115" t="s">
        <v>1821</v>
      </c>
      <c r="O73" s="115" t="s">
        <v>1827</v>
      </c>
      <c r="R73" s="115" t="s">
        <v>1842</v>
      </c>
      <c r="S73" s="115" t="s">
        <v>1839</v>
      </c>
      <c r="T73" s="115" t="s">
        <v>1968</v>
      </c>
      <c r="AL73" s="2034">
        <v>24</v>
      </c>
      <c r="AM73" s="1811">
        <v>29</v>
      </c>
      <c r="AN73" s="1811">
        <v>28</v>
      </c>
      <c r="AO73" s="1811">
        <v>29</v>
      </c>
      <c r="AP73" s="1811">
        <v>35</v>
      </c>
      <c r="AQ73" s="1811">
        <v>42</v>
      </c>
      <c r="AR73" s="1811">
        <v>42</v>
      </c>
      <c r="AS73" s="1811">
        <v>42</v>
      </c>
      <c r="AT73" s="1811">
        <v>42</v>
      </c>
      <c r="AU73" s="1811"/>
    </row>
    <row r="74" spans="1:58" ht="15" customHeight="1">
      <c r="A74" s="115" t="s">
        <v>1652</v>
      </c>
      <c r="C74" s="967" t="s">
        <v>1717</v>
      </c>
      <c r="F74" s="967" t="s">
        <v>1744</v>
      </c>
      <c r="G74" s="888"/>
      <c r="H74" s="115" t="s">
        <v>1744</v>
      </c>
      <c r="J74" s="115" t="s">
        <v>1769</v>
      </c>
      <c r="K74" s="115" t="s">
        <v>1782</v>
      </c>
      <c r="L74" s="115" t="s">
        <v>1797</v>
      </c>
      <c r="S74" s="115" t="s">
        <v>1963</v>
      </c>
      <c r="T74" s="115" t="s">
        <v>1969</v>
      </c>
      <c r="AL74" s="2034">
        <v>28</v>
      </c>
      <c r="AM74" s="1811">
        <v>32</v>
      </c>
      <c r="AN74" s="1811">
        <v>32</v>
      </c>
      <c r="AO74" s="1811">
        <v>32</v>
      </c>
      <c r="AP74" s="1811">
        <v>40</v>
      </c>
      <c r="AQ74" s="1811">
        <v>47</v>
      </c>
      <c r="AR74" s="1811">
        <v>47</v>
      </c>
      <c r="AS74" s="1811">
        <v>47</v>
      </c>
      <c r="AT74" s="1811">
        <v>47</v>
      </c>
      <c r="AU74" s="1811"/>
      <c r="AW74" s="1811" t="s">
        <v>2760</v>
      </c>
    </row>
    <row r="75" spans="1:58" ht="15" customHeight="1">
      <c r="C75" s="967" t="s">
        <v>1718</v>
      </c>
      <c r="F75" s="888" t="s">
        <v>1745</v>
      </c>
      <c r="G75" s="888"/>
      <c r="H75" s="115" t="s">
        <v>1745</v>
      </c>
      <c r="K75" s="1811" t="s">
        <v>2729</v>
      </c>
      <c r="L75" s="115" t="s">
        <v>1798</v>
      </c>
      <c r="T75" s="115" t="s">
        <v>1970</v>
      </c>
      <c r="AL75" s="710"/>
      <c r="AM75" s="1811">
        <v>0</v>
      </c>
      <c r="AN75" s="1811">
        <v>0</v>
      </c>
      <c r="AO75" s="1811">
        <v>0</v>
      </c>
      <c r="AP75" s="1811">
        <v>0</v>
      </c>
      <c r="AQ75" s="1811">
        <v>0</v>
      </c>
      <c r="AR75" s="1811">
        <v>0</v>
      </c>
      <c r="AS75" s="1811">
        <v>0</v>
      </c>
      <c r="AT75" s="1811">
        <v>0</v>
      </c>
      <c r="AU75" s="710"/>
      <c r="AW75" s="115">
        <f>IF('Verification Rpt'!I517="Installed",1,0)</f>
        <v>0</v>
      </c>
    </row>
    <row r="76" spans="1:58" ht="15" customHeight="1">
      <c r="A76" s="115">
        <f>IF(choice703.1.1=A74,2,0)</f>
        <v>0</v>
      </c>
      <c r="B76" s="115">
        <f>IF(choice703.1.3=B71,5,IF(choice703.1.3=B72,3,0))</f>
        <v>0</v>
      </c>
      <c r="C76" s="888">
        <f>IF(choice703.1.5=C71,2,IF(choice703.1.5=C72,2,IF(choice703.1.5=C73,3,IF(choice703.1.5=C74,3,IF(choice703.1.5=C75,4,0)))))</f>
        <v>0</v>
      </c>
      <c r="D76" s="115">
        <f>IF(choice703.1.6.2=D71,'Ch7'!N116,IF(choice703.1.6.2=Formulas!D72,'Ch7'!N120,IF(choice703.1.6.2=Formulas!D73,'Ch7'!N124,0)))</f>
        <v>0</v>
      </c>
      <c r="F76" s="967" t="s">
        <v>1746</v>
      </c>
      <c r="G76" s="967"/>
      <c r="AW76" s="1811">
        <f>IF('Verification Rpt'!I518="Installed",1,0)</f>
        <v>0</v>
      </c>
    </row>
    <row r="77" spans="1:58" ht="15" customHeight="1">
      <c r="A77" s="115">
        <f>IF(choice703.1.1=A71,2,IF(choice703.1.1=A72,6,IF(choice703.1.1=A73,10,IF(choice703.1.1=A74,14,0))))</f>
        <v>0</v>
      </c>
      <c r="B77" s="115">
        <f>IF(choice703.1.3=B71,4,IF(choice703.1.3=B72,2,0))</f>
        <v>0</v>
      </c>
      <c r="C77" s="967">
        <f>IF(choice703.1.5=C71,3,IF(choice703.1.5=C72,4,IF(choice703.1.5=C73,5,IF(choice703.1.5=C74,6,IF(choice703.1.5=C75,5,0)))))</f>
        <v>0</v>
      </c>
      <c r="E77" s="115">
        <f>IF(AND(startClimateZone=1,choice703.2.2step1=F71),score703.2.2_1Zone1, IF(AND(startClimateZone=1,choice703.2.2step1=G71),score703.2.2_2Zone1,IF(AND(startClimateZone=1,choice703.2.2step1=H71),score703.2.2_3Zone1,IF(AND(startClimateZone=1,choice703.2.2step1=I71),score703.2.2_4Zone1,0))))</f>
        <v>0</v>
      </c>
      <c r="F77" s="115">
        <f>IF(choice703.2.2step2=F72,0,IF(choice703.2.2step2=F73,0,IF(choice703.2.2step2=F74,0,IF(choice703.2.2step2=F75,1,IF(choice703.2.2step2=F76,1,0)))))</f>
        <v>0</v>
      </c>
      <c r="G77" s="115">
        <f>IF(choice703.2.2step2=G72,0,IF(choice703.2.2step2=G73,0,0))</f>
        <v>0</v>
      </c>
      <c r="H77" s="115">
        <f>IF(choice703.2.2step2=H72,0,IF(choice703.2.2step2=H73,1,IF(choice703.2.2step2=H74,1,IF(choice703.2.2step2=H75,1,0))))</f>
        <v>0</v>
      </c>
      <c r="I77" s="115">
        <f>IF(choice703.2.2step2=I72,0,IF(choice703.2.2step2=I73,1,0))</f>
        <v>0</v>
      </c>
      <c r="J77" s="967">
        <f>IF(choice703.2.3=J71,0,IF(choice703.2.3=J72,0,IF(choice703.2.3=J73,0,IF(choice703.2.3=J74,1,0))))</f>
        <v>0</v>
      </c>
      <c r="K77" s="115">
        <f>IF(choice703.2.4=K71,4,IF(choice703.2.4=K72,7,IF(choice703.2.4=K73,12,IF(choice703.2.4=K74,16,IF(choice703.2.4=K75,19,0)))))</f>
        <v>0</v>
      </c>
      <c r="L77" s="115">
        <f>IF(choice703.2.6=L71,12,IF(choice703.2.6=L72,14,IF(choice703.2.6=L73,17,IF(choice703.2.6=L74,29,IF(choice703.2.6=L75,32,0)))))</f>
        <v>0</v>
      </c>
      <c r="M77" s="115">
        <f>IF(choice703.3.4=M71,8,IF(choice703.3.4=M72,3,IF(choice703.3.4=M73,5,0)))</f>
        <v>0</v>
      </c>
      <c r="N77" s="115">
        <f>IF(AND(startClimateZone=1,choice703.4.1step1=O71),score703.4.1_1aZone1, IF(AND(startClimateZone=1,choice703.4.1step1=P71),score703.4.1_1bZone1,IF(AND(startClimateZone=1,choice703.4.1step1=Q71),score703.4.1_2Zone1,IF(AND(startClimateZone=1,choice703.4.1step1=R71),score703.4.1_3Zone1,IF(AND(startClimateZone=1,choice703.4.1step1=S71),score703.4.1_4Zone1,0)))))</f>
        <v>0</v>
      </c>
      <c r="O77" s="115">
        <f>IF(choice703.4.1step2=O72,4,IF(choice703.4.1step2=O73,7,0))</f>
        <v>0</v>
      </c>
      <c r="P77" s="115">
        <f>IF(choice703.4.1step2=P72,7,0)</f>
        <v>0</v>
      </c>
      <c r="Q77" s="115">
        <f>IF(choice703.4.1step2=Electric,2,0)</f>
        <v>0</v>
      </c>
      <c r="R77" s="115">
        <f>IF(choice703.4.1step2=R72,1,IF(choice703.4.1step2=R73,1,0))</f>
        <v>0</v>
      </c>
      <c r="S77" s="115">
        <f>IF(choice703.4.1step2=S72,14,IF(choice703.4.1step2=S73,19,IF(choice703.4.1step2=S74,20,0)))</f>
        <v>0</v>
      </c>
      <c r="T77" s="115">
        <f>IF(choice703.4.5=T71,15,IF(choice703.4.5=T72,18,IF(choice703.4.5=T73,21,IF(choice703.4.5=T74,24,IF(choice703.4.5=T75,27,0)))))</f>
        <v>0</v>
      </c>
      <c r="U77" s="115">
        <f>IF(choice703.5.1=U71,5,IF(choice703.5.1=U72,9,0))</f>
        <v>0</v>
      </c>
      <c r="AL77" s="1811" t="s">
        <v>2730</v>
      </c>
      <c r="AM77" s="1811" t="str">
        <f>VCZ</f>
        <v/>
      </c>
      <c r="AN77" s="1811"/>
      <c r="AO77" s="1811"/>
      <c r="AP77" s="1811"/>
      <c r="AQ77" s="1811"/>
      <c r="AR77" s="1811"/>
      <c r="AS77" s="1811"/>
      <c r="AT77" s="1811"/>
      <c r="AU77" s="1811"/>
      <c r="AW77" s="1811">
        <f>IF('Verification Rpt'!I519="Installed",1,0)</f>
        <v>0</v>
      </c>
    </row>
    <row r="78" spans="1:58" ht="15" customHeight="1">
      <c r="A78" s="115">
        <f>IF(choice703.1.1=A71,3,IF(choice703.1.1=A72,8,IF(choice703.1.1=A73,12,IF(choice703.1.1=A74,17,0))))</f>
        <v>0</v>
      </c>
      <c r="B78" s="115">
        <f>IF(choice703.1.3=B71,3,IF(choice703.1.3=B72,2,0))</f>
        <v>0</v>
      </c>
      <c r="C78" s="888">
        <f>IF(choice703.1.5=C71,3,IF(choice703.1.5=C72,5,IF(choice703.1.5=C73,6,IF(choice703.1.5=C74,8,IF(choice703.1.5=C75,8,0)))))</f>
        <v>0</v>
      </c>
      <c r="E78" s="115">
        <f>IF(AND(startClimateZone=2,choice703.2.2step1=F71),score703.2.2_1Zone2, IF(AND(startClimateZone=2,choice703.2.2step1=G71),score703.2.2_2Zone2,IF(AND(startClimateZone=2,choice703.2.2step1=H71),score703.2.2_3Zone2,IF(AND(startClimateZone=2,choice703.2.2step1=I71),score703.2.2_4Zone2,0))))</f>
        <v>0</v>
      </c>
      <c r="F78" s="115">
        <f>IF(choice703.2.2step2=F72,5,IF(choice703.2.2step2=F73,5,IF(choice703.2.2step2=F74,5,IF(choice703.2.2step2=F75,6,IF(choice703.2.2step2=F76,6,0)))))</f>
        <v>0</v>
      </c>
      <c r="G78" s="115">
        <f>IF(choice703.2.2step2=G72,1,IF(choice703.2.2step2=G73,2,0))</f>
        <v>0</v>
      </c>
      <c r="H78" s="115">
        <f>IF(choice703.2.2step2=H72,9,IF(choice703.2.2step2=H73,10,IF(choice703.2.2step2=H74,10,IF(choice703.2.2step2=H75,10,0))))</f>
        <v>0</v>
      </c>
      <c r="I78" s="115">
        <f>IF(choice703.2.2step2=I72,9,IF(choice703.2.2step2=I73,10,0))</f>
        <v>0</v>
      </c>
      <c r="J78" s="967">
        <f>IF(choice703.2.3=J71,1,IF(choice703.2.3=J72,3,IF(choice703.2.3=J73,4,IF(choice703.2.3=J74,4,0))))</f>
        <v>0</v>
      </c>
      <c r="K78" s="115">
        <f>IF(choice703.2.4=K71,3,IF(choice703.2.4=K72,5,IF(choice703.2.4=K73,8,IF(choice703.2.4=K74,11,IF(choice703.2.4=K75,14,0)))))</f>
        <v>0</v>
      </c>
      <c r="L78" s="115">
        <f>IF(choice703.2.6=L71,14,IF(choice703.2.6=L72,16,IF(choice703.2.6=L73,18,IF(choice703.2.6=L74,28,IF(choice703.2.6=L75,32,0)))))</f>
        <v>0</v>
      </c>
      <c r="M78" s="115">
        <f>IF(choice703.3.4=M71,9,IF(choice703.3.4=M72,3,IF(choice703.3.4=M73,6,0)))</f>
        <v>0</v>
      </c>
      <c r="N78" s="115">
        <f>IF(AND(startClimateZone=2,choice703.4.1step1=O71),score703.4.1_1aZone2, IF(AND(startClimateZone=2,choice703.4.1step1=P71),score703.4.1_1bZone2,IF(AND(startClimateZone=2,choice703.4.1step1=Q71),score703.4.1_2Zone2,IF(AND(startClimateZone=2,choice703.4.1step1=R71),score703.4.1_3Zone2,IF(AND(startClimateZone=2,choice703.4.1step1=S71),score703.4.1_4Zone2,0)))))</f>
        <v>0</v>
      </c>
      <c r="O78" s="115">
        <f>IF(choice703.4.1step2=O72,4,IF(choice703.4.1step2=O73,7,0))</f>
        <v>0</v>
      </c>
      <c r="P78" s="115">
        <f>IF(choice703.4.1step2=P72,7,0)</f>
        <v>0</v>
      </c>
      <c r="Q78" s="115">
        <f>IF(choice703.4.1step2=Electric,2,0)</f>
        <v>0</v>
      </c>
      <c r="R78" s="115">
        <f>IF(choice703.4.1step2=R72,1,IF(choice703.4.1step2=R73,1,0))</f>
        <v>0</v>
      </c>
      <c r="S78" s="115">
        <f>IF(choice703.4.1step2=S72,11,IF(choice703.4.1step2=S73,16,IF(choice703.4.1step2=S74,17,0)))</f>
        <v>0</v>
      </c>
      <c r="T78" s="115">
        <f>IF(choice703.4.5=T71,10,IF(choice703.4.5=T72,12,IF(choice703.4.5=T73,14,IF(choice703.4.5=T74,17,IF(choice703.4.5=T75,19,0)))))</f>
        <v>0</v>
      </c>
      <c r="U78" s="115">
        <f>IF(choice703.5.1=U71,4,IF(choice703.5.1=U72,6,0))</f>
        <v>0</v>
      </c>
      <c r="AL78" s="1811" t="s">
        <v>1800</v>
      </c>
      <c r="AM78" s="1811">
        <v>1</v>
      </c>
      <c r="AN78" s="1811">
        <v>2</v>
      </c>
      <c r="AO78" s="1811">
        <v>3</v>
      </c>
      <c r="AP78" s="1811">
        <v>4</v>
      </c>
      <c r="AQ78" s="1811">
        <v>5</v>
      </c>
      <c r="AR78" s="1811">
        <v>6</v>
      </c>
      <c r="AS78" s="1811">
        <v>7</v>
      </c>
      <c r="AT78" s="1811">
        <v>8</v>
      </c>
      <c r="AU78" s="1811" t="s">
        <v>288</v>
      </c>
      <c r="AW78" s="1811">
        <f>IF('Verification Rpt'!I520="Installed",1,0)</f>
        <v>0</v>
      </c>
    </row>
    <row r="79" spans="1:58" ht="15" customHeight="1">
      <c r="A79" s="115">
        <f>IF(choice703.1.1=A71,4,IF(choice703.1.1=A72,8,IF(choice703.1.1=A73,13,IF(choice703.1.1=A74,18,0))))</f>
        <v>0</v>
      </c>
      <c r="C79" s="888">
        <f>IF(choice703.1.5=C71,4,IF(choice703.1.5=C72,7,IF(choice703.1.5=C73,9,IF(choice703.1.5=C74,11,IF(choice703.1.5=C75,12,0)))))</f>
        <v>0</v>
      </c>
      <c r="E79" s="115">
        <f>IF(AND(startClimateZone=3,choice703.2.2step1=F71),score703.2.2_1Zone3, IF(AND(startClimateZone=3,choice703.2.2step1=G71),score703.2.2_2Zone3,IF(AND(startClimateZone=3,choice703.2.2step1=H71),score703.2.2_3Zone3,IF(AND(startClimateZone=3,choice703.2.2step1=I71),score703.2.2_4Zone3,0))))</f>
        <v>0</v>
      </c>
      <c r="F79" s="115">
        <f>IF(choice703.2.2step2=F72,6,IF(choice703.2.2step2=F73,8,IF(choice703.2.2step2=F74,8,IF(choice703.2.2step2=F75,10,IF(choice703.2.2step2=F76,10,0)))))</f>
        <v>0</v>
      </c>
      <c r="G79" s="115">
        <f>IF(choice703.2.2step2=G72,3,IF(choice703.2.2step2=G73,5,0))</f>
        <v>0</v>
      </c>
      <c r="H79" s="115">
        <f>IF(choice703.2.2step2=H72,16,IF(choice703.2.2step2=H73,17,IF(choice703.2.2step2=H74,18,IF(choice703.2.2step2=H75,18,0))))</f>
        <v>0</v>
      </c>
      <c r="I79" s="115">
        <f>IF(choice703.2.2step2=I72,16,IF(choice703.2.2step2=I73,17,0))</f>
        <v>0</v>
      </c>
      <c r="J79" s="967">
        <f>IF(choice703.2.3=J71,2,IF(choice703.2.3=J72,6,IF(choice703.2.3=J73,7,IF(choice703.2.3=J74,9,0))))</f>
        <v>0</v>
      </c>
      <c r="K79" s="115">
        <f>IF(choice703.2.4=K71,1,IF(choice703.2.4=K72,2,IF(choice703.2.4=K73,4,IF(choice703.2.4=K74,6,IF(choice703.2.4=K75,7,0)))))</f>
        <v>0</v>
      </c>
      <c r="L79" s="115">
        <f>IF(choice703.2.6=L71,16,IF(choice703.2.6=L72,19,IF(choice703.2.6=L73,20,IF(choice703.2.6=L74,29,IF(choice703.2.6=L75,32,0)))))</f>
        <v>0</v>
      </c>
      <c r="M79" s="115">
        <f>IF(choice703.3.4=M71,8,IF(choice703.3.4=M72,3,IF(choice703.3.4=M73,5,0)))</f>
        <v>0</v>
      </c>
      <c r="N79" s="115">
        <f>IF(AND(startClimateZone=3,choice703.4.1step1=O71),score703.4.1_1aZone3, IF(AND(startClimateZone=3,choice703.4.1step1=P71),score703.4.1_1bZone3,IF(AND(startClimateZone=3,choice703.4.1step1=Q71),score703.4.1_2Zone3,IF(AND(startClimateZone=3,choice703.4.1step1=R71),score703.4.1_3Zone3,IF(AND(startClimateZone=3,choice703.4.1step1=S71),score703.4.1_4Zone3,0)))))</f>
        <v>0</v>
      </c>
      <c r="O79" s="115">
        <f>IF(choice703.4.1step2=O72,3,IF(choice703.4.1step2=O73,5,0))</f>
        <v>0</v>
      </c>
      <c r="P79" s="115">
        <f>IF(choice703.4.1step2=P72,5,0)</f>
        <v>0</v>
      </c>
      <c r="Q79" s="115">
        <f>IF(choice703.4.1step2=Electric,2,0)</f>
        <v>0</v>
      </c>
      <c r="R79" s="115">
        <f>IF(choice703.4.1step2=R72,1,IF(choice703.4.1step2=R73,1,0))</f>
        <v>0</v>
      </c>
      <c r="S79" s="115">
        <f>IF(choice703.4.1step2=S72,11,IF(choice703.4.1step2=S73,16,IF(choice703.4.1step2=S74,17,0)))</f>
        <v>0</v>
      </c>
      <c r="T79" s="115">
        <f>IF(choice703.4.5=T71,11,IF(choice703.4.5=T72,14,IF(choice703.4.5=T73,16,IF(choice703.4.5=T74,19,IF(choice703.4.5=T75,21,0)))))</f>
        <v>0</v>
      </c>
      <c r="U79" s="115">
        <f>IF(choice703.5.1=U71,3,IF(choice703.5.1=U72,5,0))</f>
        <v>0</v>
      </c>
      <c r="AL79" s="1811"/>
      <c r="AM79" s="1811">
        <v>5</v>
      </c>
      <c r="AN79" s="1811">
        <v>5</v>
      </c>
      <c r="AO79" s="1811">
        <v>5</v>
      </c>
      <c r="AP79" s="1811">
        <v>3</v>
      </c>
      <c r="AQ79" s="1811">
        <v>3</v>
      </c>
      <c r="AR79" s="1811">
        <v>3</v>
      </c>
      <c r="AS79" s="1811">
        <v>0</v>
      </c>
      <c r="AT79" s="1811">
        <v>0</v>
      </c>
      <c r="AU79" s="1962" t="e">
        <f>HLOOKUP(VCZ,Formulas!AM78:AT79,2,0)</f>
        <v>#N/A</v>
      </c>
      <c r="AW79" s="1811">
        <f>IF('Verification Rpt'!I521="Installed",1,0)</f>
        <v>0</v>
      </c>
    </row>
    <row r="80" spans="1:58" ht="15" customHeight="1">
      <c r="A80" s="115">
        <f>IF(choice703.1.1=A71,7,IF(choice703.1.1=A72,11,IF(choice703.1.1=A73,16,IF(choice703.1.1=A74,18,0))))</f>
        <v>0</v>
      </c>
      <c r="C80" s="888">
        <f>IF(choice703.1.5=C71,6,IF(choice703.1.5=C72,10,IF(choice703.1.5=C73,13,IF(choice703.1.5=C74,15,IF(choice703.1.5=C75,17,0)))))</f>
        <v>0</v>
      </c>
      <c r="E80" s="115">
        <f>IF(AND(startClimateZone=4,choice703.2.2step1=F71),score703.2.2_1Zone4, IF(AND(startClimateZone=4,choice703.2.2step1=G71),score703.2.2_2Zone4,IF(AND(startClimateZone=4,choice703.2.2step1=H71),score703.2.2_3Zone4,IF(AND(startClimateZone=4,choice703.2.2step1=I71),score703.2.2_4Zone4,0))))</f>
        <v>0</v>
      </c>
      <c r="F80" s="115">
        <f>IF(choice703.2.2step2=F72,7,IF(choice703.2.2step2=F73,9,IF(choice703.2.2step2=F74,10,IF(choice703.2.2step2=F75,11,IF(choice703.2.2step2=F76,13,0)))))</f>
        <v>0</v>
      </c>
      <c r="G80" s="115">
        <f>IF(choice703.2.2step2=G72,3,IF(choice703.2.2step2=G73,8,0))</f>
        <v>0</v>
      </c>
      <c r="H80" s="115">
        <f>IF(choice703.2.2step2=H72,18,IF(choice703.2.2step2=H73,19,IF(choice703.2.2step2=H74,20,IF(choice703.2.2step2=H75,20,0))))</f>
        <v>0</v>
      </c>
      <c r="I80" s="115">
        <f>IF(choice703.2.2step2=I72,18,IF(choice703.2.2step2=I73,19,0))</f>
        <v>0</v>
      </c>
      <c r="J80" s="967">
        <f>IF(choice703.2.3=J71,4,IF(choice703.2.3=J72,9,IF(choice703.2.3=J73,12,IF(choice703.2.3=J74,15,0))))</f>
        <v>0</v>
      </c>
      <c r="K80" s="115">
        <f>IF(choice703.2.4=K71,1,IF(choice703.2.4=K72,1,IF(choice703.2.4=K73,2,IF(choice703.2.4=K74,3,IF(choice703.2.4=K75,3,0)))))</f>
        <v>0</v>
      </c>
      <c r="L80" s="115">
        <f>IF(choice703.2.6=L71,22,IF(choice703.2.6=L72,25,IF(choice703.2.6=L73,27,IF(choice703.2.6=L74,35,IF(choice703.2.6=L75,40,0)))))</f>
        <v>0</v>
      </c>
      <c r="M80" s="115">
        <f>IF(choice703.3.4=M71,6,IF(choice703.3.4=M72,2,IF(choice703.3.4=M73,4,0)))</f>
        <v>0</v>
      </c>
      <c r="N80" s="115">
        <f>IF(AND(startClimateZone=4,choice703.4.1step1=O71),score703.4.1_1aZone4, IF(AND(startClimateZone=4,choice703.4.1step1=P71),score703.4.1_1bZone4,IF(AND(startClimateZone=4,choice703.4.1step1=Q71),score703.4.1_2Zone4,IF(AND(startClimateZone=4,choice703.4.1step1=R71),score703.4.1_3Zone4,IF(AND(startClimateZone=4,choice703.4.1step1=S71),score703.4.1_4Zone4,0)))))</f>
        <v>0</v>
      </c>
      <c r="O80" s="115">
        <f>IF(choice703.4.1step2=O72,2,IF(choice703.4.1step2=O73,4,0))</f>
        <v>0</v>
      </c>
      <c r="P80" s="115">
        <f>IF(choice703.4.1step2=P72,4,0)</f>
        <v>0</v>
      </c>
      <c r="Q80" s="115">
        <f>IF(choice703.4.1step2=Electric,1,0)</f>
        <v>0</v>
      </c>
      <c r="R80" s="115">
        <f>IF(choice703.4.1step2=R72,1,IF(choice703.4.1step2=R73,1,0))</f>
        <v>0</v>
      </c>
      <c r="S80" s="115">
        <f>IF(choice703.4.1step2=S72,11,IF(choice703.4.1step2=S73,15,IF(choice703.4.1step2=S74,17,0)))</f>
        <v>0</v>
      </c>
      <c r="T80" s="115">
        <f>IF(choice703.4.5=T71,12,IF(choice703.4.5=T72,14,IF(choice703.4.5=T73,17,IF(choice703.4.5=T74,20,IF(choice703.4.5=T75,23,0)))))</f>
        <v>0</v>
      </c>
      <c r="U80" s="115">
        <f>IF(choice703.5.1=U71,3,IF(choice703.5.1=U72,4,0))</f>
        <v>0</v>
      </c>
      <c r="AW80" s="1811">
        <f>IF('Verification Rpt'!I522="Installed",1,0)</f>
        <v>0</v>
      </c>
    </row>
    <row r="81" spans="1:50" ht="15" customHeight="1">
      <c r="A81" s="115">
        <f>IF(choice703.1.1=A71,5,IF(choice703.1.1=A72,12,IF(choice703.1.1=A73,14,IF(choice703.1.1=A74,17,0))))</f>
        <v>0</v>
      </c>
      <c r="C81" s="888">
        <f>IF(choice703.1.5=C71,7,IF(choice703.1.5=C72,12,IF(choice703.1.5=C73,15,IF(choice703.1.5=C74,18,IF(choice703.1.5=C75,19,0)))))</f>
        <v>0</v>
      </c>
      <c r="E81" s="115">
        <f>IF(AND(startClimateZone=5,choice703.2.2step1=F71),score703.2.2_1Zone5, IF(AND(startClimateZone=5,choice703.2.2step1=G71),score703.2.2_2Zone5,IF(AND(startClimateZone=5,choice703.2.2step1=H71),score703.2.2_3Zone5,IF(AND(startClimateZone=5,choice703.2.2step1=I71),score703.2.2_4Zone5,0))))</f>
        <v>0</v>
      </c>
      <c r="F81" s="888">
        <f>IF(choice703.2.2step2=F72,9,IF(choice703.2.2step2=F73,11,IF(choice703.2.2step2=F74,13,IF(choice703.2.2step2=F75,14,IF(choice703.2.2step2=F76,15,0)))))</f>
        <v>0</v>
      </c>
      <c r="G81" s="888">
        <f>IF(choice703.2.2step2=G72,7,IF(choice703.2.2step2=G73,11,0))</f>
        <v>0</v>
      </c>
      <c r="H81" s="967">
        <f>IF(choice703.2.2step2=H72,17,IF(choice703.2.2step2=H73,18,IF(choice703.2.2step2=H74,19,IF(choice703.2.2step2=H75,19,0))))</f>
        <v>0</v>
      </c>
      <c r="I81" s="967">
        <f>IF(choice703.2.2step2=I72,17,IF(choice703.2.2step2=I73,18,0))</f>
        <v>0</v>
      </c>
      <c r="J81" s="967">
        <f>IF(choice703.2.3=J71,5,IF(choice703.2.3=J72,12,IF(choice703.2.3=J73,16,IF(choice703.2.3=J74,19,0))))</f>
        <v>0</v>
      </c>
      <c r="K81" s="967">
        <f>IF(choice703.2.4=K71,0,IF(choice703.2.4=K72,1,IF(choice703.2.4=K73,1,IF(choice703.2.4=K74,2,IF(choice703.2.4=K75,2,0)))))</f>
        <v>0</v>
      </c>
      <c r="L81" s="967">
        <f>IF(choice703.2.6=L71,27,IF(choice703.2.6=L72,31,IF(choice703.2.6=L73,33,IF(choice703.2.6=L74,42,IF(choice703.2.6=L75,47,0)))))</f>
        <v>0</v>
      </c>
      <c r="M81" s="115">
        <f>IF(choice703.3.4=M71,3,IF(choice703.3.4=M72,1,IF(choice703.3.4=M73,2,0)))</f>
        <v>0</v>
      </c>
      <c r="N81" s="115">
        <f>IF(AND(startClimateZone=5,choice703.4.1step1=O71),score703.4.1_1aZone5, IF(AND(startClimateZone=5,choice703.4.1step1=P71),score703.4.1_1bZone5,IF(AND(startClimateZone=5,choice703.4.1step1=Q71),score703.4.1_2Zone5,IF(AND(startClimateZone=5,choice703.4.1step1=R71),score703.4.1_3Zone5,IF(AND(startClimateZone=5,choice703.4.1step1=S71),score703.4.1_4Zone5,0)))))</f>
        <v>0</v>
      </c>
      <c r="O81" s="987">
        <f>IF(choice703.4.1step2=O72,3,IF(choice703.4.1step2=O73,5,0))</f>
        <v>0</v>
      </c>
      <c r="P81" s="987">
        <f>IF(choice703.4.1step2=P72,5,0)</f>
        <v>0</v>
      </c>
      <c r="Q81" s="115">
        <f>IF(choice703.4.1step2=Electric,1,0)</f>
        <v>0</v>
      </c>
      <c r="R81" s="115">
        <f>IF(choice703.4.1step2=R72,1,IF(choice703.4.1step2=R73,1,0))</f>
        <v>0</v>
      </c>
      <c r="S81" s="115">
        <f>IF(choice703.4.1step2=S72,11,IF(choice703.4.1step2=S73,15,IF(choice703.4.1step2=S74,16,0)))</f>
        <v>0</v>
      </c>
      <c r="T81" s="115">
        <f>IF(choice703.4.5=T71,12,IF(choice703.4.5=T72,15,IF(choice703.4.5=T73,18,IF(choice703.4.5=T74,22,IF(choice703.4.5=T75,25,0)))))</f>
        <v>0</v>
      </c>
      <c r="U81" s="115">
        <f>IF(choice703.5.1=U71,3,IF(choice703.5.1=U72,4,0))</f>
        <v>0</v>
      </c>
      <c r="AL81" s="1811" t="s">
        <v>2730</v>
      </c>
      <c r="AM81" s="1811" t="str">
        <f>VCZ</f>
        <v/>
      </c>
      <c r="AN81" s="1811"/>
      <c r="AO81" s="1811"/>
      <c r="AP81" s="1811"/>
      <c r="AQ81" s="1811"/>
      <c r="AR81" s="1811"/>
      <c r="AS81" s="1811"/>
      <c r="AT81" s="1811"/>
      <c r="AU81" s="1811"/>
      <c r="AW81" s="1811">
        <f>IF('Verification Rpt'!I523="Installed",1,0)</f>
        <v>0</v>
      </c>
    </row>
    <row r="82" spans="1:50" ht="15" customHeight="1">
      <c r="A82" s="115">
        <f>IF(choice703.1.1=A71,3,IF(choice703.1.1=A72,9,IF(choice703.1.1=A73,11,IF(choice703.1.1=A74,14,0))))</f>
        <v>0</v>
      </c>
      <c r="C82" s="888">
        <f>IF(choice703.1.5=C71,8,IF(choice703.1.5=C72,13,IF(choice703.1.5=C73,17,IF(choice703.1.5=C74,20,IF(choice703.1.5=C75,22,0)))))</f>
        <v>0</v>
      </c>
      <c r="E82" s="115">
        <f>IF(AND(startClimateZone=6,choice703.2.2step1=F71),score703.2.2_1Zone6, IF(AND(startClimateZone=6,choice703.2.2step1=G71),score703.2.2_2Zone6,IF(AND(startClimateZone=6,choice703.2.2step1=H71),score703.2.2_3Zone6,IF(AND(startClimateZone=6,choice703.2.2step1=I71),score703.2.2_4Zone6,0))))</f>
        <v>0</v>
      </c>
      <c r="F82" s="967">
        <f>IF(choice703.2.2step2=F72,9,IF(choice703.2.2step2=F73,11,IF(choice703.2.2step2=F74,13,IF(choice703.2.2step2=F75,14,IF(choice703.2.2step2=F76,15,0)))))</f>
        <v>0</v>
      </c>
      <c r="G82" s="967">
        <f>IF(choice703.2.2step2=G72,7,IF(choice703.2.2step2=G73,14,0))</f>
        <v>0</v>
      </c>
      <c r="H82" s="967">
        <f>IF(choice703.2.2step2=H72,16,IF(choice703.2.2step2=H73,17,IF(choice703.2.2step2=H74,17,IF(choice703.2.2step2=H75,18,0))))</f>
        <v>0</v>
      </c>
      <c r="I82" s="967">
        <f>IF(choice703.2.2step2=I72,16,IF(choice703.2.2step2=I73,17,0))</f>
        <v>0</v>
      </c>
      <c r="J82" s="967">
        <f>IF(choice703.2.3=J71,5,IF(choice703.2.3=J72,12,IF(choice703.2.3=J73,16,IF(choice703.2.3=J74,19,0))))</f>
        <v>0</v>
      </c>
      <c r="K82" s="967">
        <f>IF(choice703.2.4=K71,0,IF(choice703.2.4=K72,0,IF(choice703.2.4=K73,1,IF(choice703.2.4=K74,1,IF(choice703.2.4=K75,1,0)))))</f>
        <v>0</v>
      </c>
      <c r="L82" s="967">
        <f>IF(choice703.2.6=L71,27,IF(choice703.2.6=L72,31,IF(choice703.2.6=L73,33,IF(choice703.2.6=L74,42,IF(choice703.2.6=L75,47,0)))))</f>
        <v>0</v>
      </c>
      <c r="M82" s="115">
        <f>IF(choice703.3.4=M71,2,IF(choice703.3.4=M72,1,IF(choice703.3.4=M73,2,0)))</f>
        <v>0</v>
      </c>
      <c r="N82" s="115">
        <f>IF(AND(startClimateZone=6,choice703.4.1step1=O71),score703.4.1_1aZone6, IF(AND(startClimateZone=6,choice703.4.1step1=P71),score703.4.1_1bZone6,IF(AND(startClimateZone=6,choice703.4.1step1=Q71),score703.4.1_2Zone6,IF(AND(startClimateZone=6,choice703.4.1step1=R71),score703.4.1_3Zone6,IF(AND(startClimateZone=6,choice703.4.1step1=S71),score703.4.1_4Zone6,0)))))</f>
        <v>0</v>
      </c>
      <c r="O82" s="987">
        <f>IF(choice703.4.1step2=O72,2,IF(choice703.4.1step2=O73,4,0))</f>
        <v>0</v>
      </c>
      <c r="P82" s="987">
        <f>IF(choice703.4.1step2=P72,4,0)</f>
        <v>0</v>
      </c>
      <c r="Q82" s="115">
        <f>IF(choice703.4.1step2=Electric,1,0)</f>
        <v>0</v>
      </c>
      <c r="R82" s="115">
        <f>IF(choice703.4.1step2=R72,1,IF(choice703.4.1step2=R73,1,0))</f>
        <v>0</v>
      </c>
      <c r="S82" s="115">
        <f>IF(choice703.4.1step2=S72,4,IF(choice703.4.1step2=S73,6,IF(choice703.4.1step2=S74,6,0)))</f>
        <v>0</v>
      </c>
      <c r="T82" s="115">
        <f>IF(choice703.4.5=T71,10,IF(choice703.4.5=T72,12,IF(choice703.4.5=T73,14,IF(choice703.4.5=T74,16,IF(choice703.4.5=T75,18,0)))))</f>
        <v>0</v>
      </c>
      <c r="U82" s="115">
        <f>IF(choice703.5.1=U71,2,IF(choice703.5.1=U72,3,0))</f>
        <v>0</v>
      </c>
      <c r="AL82" s="1811" t="s">
        <v>366</v>
      </c>
      <c r="AM82" s="1811">
        <v>1</v>
      </c>
      <c r="AN82" s="1811">
        <v>2</v>
      </c>
      <c r="AO82" s="1811">
        <v>3</v>
      </c>
      <c r="AP82" s="1811">
        <v>4</v>
      </c>
      <c r="AQ82" s="1811">
        <v>5</v>
      </c>
      <c r="AR82" s="1811">
        <v>6</v>
      </c>
      <c r="AS82" s="1811">
        <v>7</v>
      </c>
      <c r="AT82" s="1811">
        <v>8</v>
      </c>
      <c r="AU82" s="1811" t="s">
        <v>288</v>
      </c>
      <c r="AW82" s="1811">
        <f>IF('Verification Rpt'!I524="Installed",1,0)</f>
        <v>0</v>
      </c>
    </row>
    <row r="83" spans="1:50" ht="15" customHeight="1">
      <c r="A83" s="115">
        <f>IF(choice703.1.1=A71,4,IF(choice703.1.1=A72,10,IF(choice703.1.1=A73,12,IF(choice703.1.1=A74,16,0))))</f>
        <v>0</v>
      </c>
      <c r="C83" s="888">
        <f>IF(choice703.1.5=C71,9,IF(choice703.1.5=C72,14,IF(choice703.1.5=C73,19,IF(choice703.1.5=C74,23,IF(choice703.1.5=C75,24,0)))))</f>
        <v>0</v>
      </c>
      <c r="E83" s="115">
        <f>IF(AND(startClimateZone=7,choice703.2.2step1=F71),score703.2.2_1Zone7, IF(AND(startClimateZone=7,choice703.2.2step1=G71),score703.2.2_2Zone7,IF(AND(startClimateZone=7,choice703.2.2step1=H71),score703.2.2_3Zone7,IF(AND(startClimateZone=7,choice703.2.2step1=I71),score703.2.2_4Zone7,0))))</f>
        <v>0</v>
      </c>
      <c r="F83" s="967">
        <f>IF(choice703.2.2step2=F72,10,IF(choice703.2.2step2=F73,12,IF(choice703.2.2step2=F74,13,IF(choice703.2.2step2=F75,15,IF(choice703.2.2step2=F76,16,0)))))</f>
        <v>0</v>
      </c>
      <c r="G83" s="888">
        <f>IF(choice703.2.2step2=G72,7,IF(choice703.2.2step2=G73,14,0))</f>
        <v>0</v>
      </c>
      <c r="H83" s="967">
        <f>IF(choice703.2.2step2=H72,16,IF(choice703.2.2step2=H73,17,IF(choice703.2.2step2=H74,17,IF(choice703.2.2step2=H75,18,0))))</f>
        <v>0</v>
      </c>
      <c r="I83" s="967">
        <f>IF(choice703.2.2step2=I72,16,IF(choice703.2.2step2=I73,17,0))</f>
        <v>0</v>
      </c>
      <c r="J83" s="967">
        <f>IF(choice703.2.3=J71,5,IF(choice703.2.3=J72,12,IF(choice703.2.3=J73,16,IF(choice703.2.3=J74,19,0))))</f>
        <v>0</v>
      </c>
      <c r="K83" s="967">
        <f>IF(choice703.2.4=K71,0,IF(choice703.2.4=K72,0,IF(choice703.2.4=K73,0,IF(choice703.2.4=K74,0,IF(choice703.2.4=K75,0,0)))))</f>
        <v>0</v>
      </c>
      <c r="L83" s="967">
        <f>IF(choice703.2.6=L71,27,IF(choice703.2.6=L72,31,IF(choice703.2.6=L73,33,IF(choice703.2.6=L74,42,IF(choice703.2.6=L75,47,0)))))</f>
        <v>0</v>
      </c>
      <c r="M83" s="115">
        <f>IF(choice703.3.4=M71,2,IF(choice703.3.4=M72,1,IF(choice703.3.4=M73,2,0)))</f>
        <v>0</v>
      </c>
      <c r="N83" s="115">
        <f>IF(AND(startClimateZone=7,choice703.4.1step1=O71),score703.4.1_1aZone7, IF(AND(startClimateZone=7,choice703.4.1step1=P71),score703.4.1_1bZone7,IF(AND(startClimateZone=7,choice703.4.1step1=Q71),score703.4.1_2Zone7,IF(AND(startClimateZone=7,choice703.4.1step1=R71),score703.4.1_3Zone7,IF(AND(startClimateZone=7,choice703.4.1step1=S71),score703.4.1_4Zone7,0)))))</f>
        <v>0</v>
      </c>
      <c r="O83" s="987">
        <f>IF(choice703.4.1step2=O72,1,IF(choice703.4.1step2=O73,2,0))</f>
        <v>0</v>
      </c>
      <c r="P83" s="987">
        <f>IF(choice703.4.1step2=P72,2,0)</f>
        <v>0</v>
      </c>
      <c r="Q83" s="115">
        <f>IF(choice703.4.1step2=Electric,1,0)</f>
        <v>0</v>
      </c>
      <c r="R83" s="115">
        <f>IF(choice703.4.1step2=R72,1,IF(choice703.4.1step2=R73,1,0))</f>
        <v>0</v>
      </c>
      <c r="S83" s="115">
        <f>IF(choice703.4.1step2=S72,4,IF(choice703.4.1step2=S73,6,IF(choice703.4.1step2=S74,6,0)))</f>
        <v>0</v>
      </c>
      <c r="T83" s="115">
        <f>IF(choice703.4.5=T71,7,IF(choice703.4.5=T72,8,IF(choice703.4.5=T73,10,IF(choice703.4.5=T74,12,IF(choice703.4.5=T75,13,0)))))</f>
        <v>0</v>
      </c>
      <c r="U83" s="115">
        <f>IF(choice703.5.1=U71,2,IF(choice703.5.1=U72,2,0))</f>
        <v>0</v>
      </c>
      <c r="AL83" s="1811"/>
      <c r="AM83" s="1811">
        <v>0</v>
      </c>
      <c r="AN83" s="1811">
        <v>4</v>
      </c>
      <c r="AO83" s="1811">
        <v>7</v>
      </c>
      <c r="AP83" s="1811">
        <v>7</v>
      </c>
      <c r="AQ83" s="1811">
        <v>6</v>
      </c>
      <c r="AR83" s="1811">
        <v>2</v>
      </c>
      <c r="AS83" s="1811">
        <v>2</v>
      </c>
      <c r="AT83" s="1811">
        <v>2</v>
      </c>
      <c r="AU83" s="1962" t="e">
        <f>HLOOKUP(VCZ,Formulas!AM82:AT83,2,0)</f>
        <v>#N/A</v>
      </c>
      <c r="AW83" s="1811">
        <f>SUM(AW75:AW82)</f>
        <v>0</v>
      </c>
    </row>
    <row r="84" spans="1:50" ht="15" customHeight="1">
      <c r="C84" s="888"/>
      <c r="E84" s="115">
        <f>IF(AND(startClimateZone=8,choice703.2.2step1=F71),score703.2.2_1Zone8, IF(AND(startClimateZone=8,choice703.2.2step1=G71),score703.2.2_2Zone8,IF(AND(startClimateZone=8,choice703.2.2step1=H71),score703.2.2_3Zone8,IF(AND(startClimateZone=8,choice703.2.2step1=I71),score703.2.2_4Zone8,0))))</f>
        <v>0</v>
      </c>
      <c r="F84" s="888">
        <f>IF(choice703.2.2step2=F72,10,IF(choice703.2.2step2=F73,12,IF(choice703.2.2step2=F74,14,IF(choice703.2.2step2=F75,16,IF(choice703.2.2step2=F76,17,0)))))</f>
        <v>0</v>
      </c>
      <c r="G84" s="888">
        <f>IF(choice703.2.2step2=G72,7,IF(choice703.2.2step2=G73,14,0))</f>
        <v>0</v>
      </c>
      <c r="H84" s="967">
        <f>IF(choice703.2.2step2=H72,16,IF(choice703.2.2step2=H73,17,IF(choice703.2.2step2=H74,17,IF(choice703.2.2step2=H75,18,0))))</f>
        <v>0</v>
      </c>
      <c r="I84" s="967">
        <f>IF(choice703.2.2step2=I72,16,IF(choice703.2.2step2=I73,17,0))</f>
        <v>0</v>
      </c>
      <c r="J84" s="967">
        <f>IF(choice703.2.3=J71,5,IF(choice703.2.3=J72,12,IF(choice703.2.3=J73,16,IF(choice703.2.3=J74,19,0))))</f>
        <v>0</v>
      </c>
      <c r="K84" s="967">
        <f>IF(choice703.2.4=K71,0,IF(choice703.2.4=K72,0,IF(choice703.2.4=K73,0,IF(choice703.2.4=K74,0,IF(choice703.2.4=K75,0,0)))))</f>
        <v>0</v>
      </c>
      <c r="L84" s="967">
        <f>IF(choice703.2.6=L71,27,IF(choice703.2.6=L72,31,IF(choice703.2.6=L73,33,IF(choice703.2.6=L74,42,IF(choice703.2.6=L75,47,0)))))</f>
        <v>0</v>
      </c>
      <c r="M84" s="115">
        <f>IF(choice703.3.4=M71,2,IF(choice703.3.4=M72,1,IF(choice703.3.4=M73,2,0)))</f>
        <v>0</v>
      </c>
      <c r="N84" s="115">
        <f>IF(AND(startClimateZone=8,choice703.4.1step1=O71),score703.4.1_1aZone8, IF(AND(startClimateZone=8,choice703.4.1step1=P71),score703.4.1_1bZone8,IF(AND(startClimateZone=8,choice703.4.1step1=Q71),score703.4.1_2Zone8,IF(AND(startClimateZone=8,choice703.4.1step1=R71),score703.4.1_3Zone8,IF(AND(startClimateZone=8,choice703.4.1step1=S71),score703.4.1_4Zone8,0)))))</f>
        <v>0</v>
      </c>
      <c r="O84" s="987">
        <f>IF(choice703.4.1step2=O72,1,IF(choice703.4.1step2=O73,2,0))</f>
        <v>0</v>
      </c>
      <c r="P84" s="987">
        <f>IF(choice703.4.1step2=P72,2,0)</f>
        <v>0</v>
      </c>
      <c r="Q84" s="115">
        <f>IF(choice703.4.1step2=Electric,1,0)</f>
        <v>0</v>
      </c>
      <c r="R84" s="115">
        <f>IF(choice703.4.1step2=R72,1,IF(choice703.4.1step2=R73,1,0))</f>
        <v>0</v>
      </c>
      <c r="S84" s="115">
        <f>IF(choice703.4.1step2=S72,4,IF(choice703.4.1step2=S73,6,IF(choice703.4.1step2=S74,6,0)))</f>
        <v>0</v>
      </c>
      <c r="T84" s="115">
        <f>IF(choice703.4.5=T71,4,IF(choice703.4.5=T72,5,IF(choice703.4.5=T73,6,IF(choice703.4.5=T74,7,IF(choice703.4.5=T75,8,0)))))</f>
        <v>0</v>
      </c>
      <c r="U84" s="115">
        <f>IF(choice703.5.1=U71,1,IF(choice703.5.1=U72,1,0))</f>
        <v>0</v>
      </c>
      <c r="AW84" s="1811"/>
    </row>
    <row r="85" spans="1:50" ht="15" customHeight="1">
      <c r="A85" s="711" t="s">
        <v>1119</v>
      </c>
      <c r="C85" s="688"/>
      <c r="E85" s="688"/>
      <c r="F85" s="688"/>
      <c r="G85" s="688"/>
      <c r="AL85" s="1811" t="s">
        <v>2730</v>
      </c>
      <c r="AM85" s="1811" t="str">
        <f>VCZ</f>
        <v/>
      </c>
      <c r="AN85" s="1811"/>
      <c r="AO85" s="1811"/>
      <c r="AP85" s="1811"/>
      <c r="AQ85" s="1811"/>
      <c r="AR85" s="1811"/>
      <c r="AS85" s="1811"/>
      <c r="AT85" s="1811"/>
      <c r="AU85" s="1811"/>
      <c r="AW85" s="1811"/>
    </row>
    <row r="86" spans="1:50" s="713" customFormat="1" ht="15" customHeight="1">
      <c r="A86" s="713" t="s">
        <v>405</v>
      </c>
      <c r="B86" s="710" t="s">
        <v>1125</v>
      </c>
      <c r="C86" s="712" t="s">
        <v>1137</v>
      </c>
      <c r="D86" s="713" t="s">
        <v>1139</v>
      </c>
      <c r="E86" s="498" t="s">
        <v>1143</v>
      </c>
      <c r="F86" s="712" t="s">
        <v>1151</v>
      </c>
      <c r="G86" s="712" t="s">
        <v>414</v>
      </c>
      <c r="H86" s="713" t="s">
        <v>1162</v>
      </c>
      <c r="I86" s="713" t="s">
        <v>1165</v>
      </c>
      <c r="J86" s="713" t="s">
        <v>1166</v>
      </c>
      <c r="K86" s="713" t="s">
        <v>1195</v>
      </c>
      <c r="L86" s="713" t="s">
        <v>1215</v>
      </c>
      <c r="M86" s="713">
        <v>802.1</v>
      </c>
      <c r="N86" s="713">
        <v>802.2</v>
      </c>
      <c r="AL86" s="1811" t="s">
        <v>1808</v>
      </c>
      <c r="AM86" s="1811">
        <v>1</v>
      </c>
      <c r="AN86" s="1811">
        <v>2</v>
      </c>
      <c r="AO86" s="1811">
        <v>3</v>
      </c>
      <c r="AP86" s="1811">
        <v>4</v>
      </c>
      <c r="AQ86" s="1811">
        <v>5</v>
      </c>
      <c r="AR86" s="1811">
        <v>6</v>
      </c>
      <c r="AS86" s="1811">
        <v>7</v>
      </c>
      <c r="AT86" s="1811">
        <v>8</v>
      </c>
      <c r="AU86" s="1811" t="s">
        <v>288</v>
      </c>
      <c r="AW86" s="1811"/>
    </row>
    <row r="87" spans="1:50" s="715" customFormat="1" ht="15" customHeight="1">
      <c r="A87" s="715" t="s">
        <v>1120</v>
      </c>
      <c r="B87" s="715" t="s">
        <v>1126</v>
      </c>
      <c r="C87" s="691" t="s">
        <v>1133</v>
      </c>
      <c r="D87" s="715" t="s">
        <v>411</v>
      </c>
      <c r="E87" s="691" t="s">
        <v>1144</v>
      </c>
      <c r="F87" s="691" t="s">
        <v>1152</v>
      </c>
      <c r="G87" s="691" t="s">
        <v>1133</v>
      </c>
      <c r="H87" s="715" t="s">
        <v>1163</v>
      </c>
      <c r="I87" s="715" t="s">
        <v>1133</v>
      </c>
      <c r="J87" s="715" t="s">
        <v>1133</v>
      </c>
      <c r="K87" s="715" t="s">
        <v>1205</v>
      </c>
      <c r="L87" s="715" t="s">
        <v>1216</v>
      </c>
      <c r="M87" s="715" t="s">
        <v>1181</v>
      </c>
      <c r="N87" s="715" t="s">
        <v>1187</v>
      </c>
      <c r="AL87" s="1811"/>
      <c r="AM87" s="1811">
        <v>10</v>
      </c>
      <c r="AN87" s="1811">
        <v>7</v>
      </c>
      <c r="AO87" s="1811">
        <v>3</v>
      </c>
      <c r="AP87" s="1811">
        <v>1</v>
      </c>
      <c r="AQ87" s="1811">
        <v>0</v>
      </c>
      <c r="AR87" s="1811">
        <v>0</v>
      </c>
      <c r="AS87" s="1811">
        <v>0</v>
      </c>
      <c r="AT87" s="1811">
        <v>0</v>
      </c>
      <c r="AU87" s="1962" t="e">
        <f>HLOOKUP(VCZ,Formulas!AM86:AT87,2,0)</f>
        <v>#N/A</v>
      </c>
      <c r="AW87" s="1811"/>
    </row>
    <row r="88" spans="1:50" s="715" customFormat="1" ht="15" customHeight="1">
      <c r="A88" s="715" t="s">
        <v>1121</v>
      </c>
      <c r="B88" s="715" t="s">
        <v>1127</v>
      </c>
      <c r="C88" s="691" t="s">
        <v>1134</v>
      </c>
      <c r="D88" s="715" t="s">
        <v>412</v>
      </c>
      <c r="E88" s="688" t="s">
        <v>1145</v>
      </c>
      <c r="F88" s="691" t="s">
        <v>1153</v>
      </c>
      <c r="G88" s="691" t="s">
        <v>1134</v>
      </c>
      <c r="H88" s="715" t="s">
        <v>1164</v>
      </c>
      <c r="I88" s="715" t="s">
        <v>1134</v>
      </c>
      <c r="J88" s="715" t="s">
        <v>1134</v>
      </c>
      <c r="K88" s="715" t="s">
        <v>1206</v>
      </c>
      <c r="L88" s="715" t="s">
        <v>1217</v>
      </c>
      <c r="M88" s="715" t="s">
        <v>1182</v>
      </c>
      <c r="N88" s="715" t="s">
        <v>2602</v>
      </c>
      <c r="AW88" s="1811"/>
    </row>
    <row r="89" spans="1:50" s="715" customFormat="1" ht="15" customHeight="1">
      <c r="A89" s="715" t="s">
        <v>1122</v>
      </c>
      <c r="C89" s="691" t="s">
        <v>1135</v>
      </c>
      <c r="E89" s="115" t="s">
        <v>1146</v>
      </c>
      <c r="F89" s="691" t="s">
        <v>1154</v>
      </c>
      <c r="G89" s="691" t="s">
        <v>1156</v>
      </c>
      <c r="I89" s="715" t="s">
        <v>1156</v>
      </c>
      <c r="J89" s="715" t="s">
        <v>1156</v>
      </c>
      <c r="K89" s="715" t="s">
        <v>1207</v>
      </c>
      <c r="L89" s="715" t="s">
        <v>1218</v>
      </c>
      <c r="M89" s="715" t="s">
        <v>1183</v>
      </c>
      <c r="AL89" s="1811" t="s">
        <v>2730</v>
      </c>
      <c r="AM89" s="1811" t="str">
        <f>VCZ</f>
        <v/>
      </c>
      <c r="AN89" s="1811"/>
      <c r="AO89" s="1811"/>
      <c r="AP89" s="1811"/>
      <c r="AQ89" s="1811"/>
      <c r="AR89" s="1811"/>
      <c r="AS89" s="1811"/>
      <c r="AT89" s="1811"/>
      <c r="AU89" s="1811"/>
      <c r="AW89" s="1811"/>
    </row>
    <row r="90" spans="1:50" s="715" customFormat="1" ht="15" customHeight="1">
      <c r="A90" s="715" t="s">
        <v>1123</v>
      </c>
      <c r="C90" s="691" t="s">
        <v>1136</v>
      </c>
      <c r="E90" s="691"/>
      <c r="F90" s="691"/>
      <c r="G90" s="691"/>
      <c r="K90" s="715" t="s">
        <v>1208</v>
      </c>
      <c r="L90" s="715" t="s">
        <v>1219</v>
      </c>
      <c r="M90" s="715" t="s">
        <v>1184</v>
      </c>
      <c r="AL90" s="1811" t="s">
        <v>1810</v>
      </c>
      <c r="AM90" s="1811">
        <v>1</v>
      </c>
      <c r="AN90" s="1811">
        <v>2</v>
      </c>
      <c r="AO90" s="1811">
        <v>3</v>
      </c>
      <c r="AP90" s="1811">
        <v>4</v>
      </c>
      <c r="AQ90" s="1811">
        <v>5</v>
      </c>
      <c r="AR90" s="1811">
        <v>6</v>
      </c>
      <c r="AS90" s="1811">
        <v>7</v>
      </c>
      <c r="AT90" s="1811">
        <v>8</v>
      </c>
      <c r="AU90" s="1811" t="s">
        <v>288</v>
      </c>
    </row>
    <row r="91" spans="1:50" s="715" customFormat="1" ht="15" customHeight="1">
      <c r="A91" s="715" t="s">
        <v>2303</v>
      </c>
      <c r="C91" s="691"/>
      <c r="E91" s="691"/>
      <c r="F91" s="691"/>
      <c r="G91" s="691"/>
      <c r="K91" s="715" t="s">
        <v>1209</v>
      </c>
      <c r="M91" s="715" t="s">
        <v>1185</v>
      </c>
      <c r="AL91" s="1811"/>
      <c r="AM91" s="1811">
        <v>11</v>
      </c>
      <c r="AN91" s="1811">
        <v>11</v>
      </c>
      <c r="AO91" s="1811">
        <v>11</v>
      </c>
      <c r="AP91" s="1811">
        <v>8</v>
      </c>
      <c r="AQ91" s="1811">
        <v>4</v>
      </c>
      <c r="AR91" s="1811">
        <v>3</v>
      </c>
      <c r="AS91" s="1811">
        <v>3</v>
      </c>
      <c r="AT91" s="1811">
        <v>3</v>
      </c>
      <c r="AU91" s="1962" t="e">
        <f>HLOOKUP(VCZ,Formulas!AM90:AT91,2,0)</f>
        <v>#N/A</v>
      </c>
      <c r="AX91" s="715" t="s">
        <v>3063</v>
      </c>
    </row>
    <row r="92" spans="1:50" s="715" customFormat="1" ht="15" customHeight="1">
      <c r="C92" s="691"/>
      <c r="E92" s="691"/>
      <c r="F92" s="691"/>
      <c r="G92" s="691"/>
      <c r="AX92" s="715" t="s">
        <v>3064</v>
      </c>
    </row>
    <row r="93" spans="1:50" s="714" customFormat="1" ht="15" customHeight="1">
      <c r="A93" s="714" t="s">
        <v>1124</v>
      </c>
      <c r="C93" s="692"/>
      <c r="E93" s="692"/>
      <c r="F93" s="692"/>
      <c r="G93" s="692"/>
      <c r="AL93" s="1811" t="s">
        <v>2738</v>
      </c>
      <c r="AM93" s="1811"/>
      <c r="AN93" s="1811"/>
      <c r="AO93" s="838" t="s">
        <v>2724</v>
      </c>
      <c r="AP93" s="1811">
        <f>IF('Verification Rpt'!J432="Entirely Inside",3,IF('Verification Rpt'!J432="Entirely outside",2,IF('Verification Rpt'!J432="Both inside &amp; outside",4,5)))</f>
        <v>5</v>
      </c>
      <c r="AQ93" s="1811"/>
      <c r="AR93" s="1811"/>
      <c r="AS93" s="1811"/>
      <c r="AT93" s="1811"/>
      <c r="AU93" s="1811" t="s">
        <v>288</v>
      </c>
      <c r="AX93" s="714" t="s">
        <v>3065</v>
      </c>
    </row>
    <row r="94" spans="1:50" s="710" customFormat="1" ht="15" customHeight="1">
      <c r="A94" s="713" t="s">
        <v>405</v>
      </c>
      <c r="B94" s="710" t="s">
        <v>1125</v>
      </c>
      <c r="C94" s="498" t="s">
        <v>1137</v>
      </c>
      <c r="D94" s="498" t="s">
        <v>1139</v>
      </c>
      <c r="E94" s="710" t="s">
        <v>1143</v>
      </c>
      <c r="F94" s="498" t="s">
        <v>1151</v>
      </c>
      <c r="G94" s="498" t="s">
        <v>414</v>
      </c>
      <c r="I94" s="710" t="s">
        <v>1165</v>
      </c>
      <c r="J94" s="710" t="s">
        <v>1166</v>
      </c>
      <c r="K94" s="710" t="s">
        <v>1195</v>
      </c>
      <c r="L94" s="710" t="s">
        <v>1215</v>
      </c>
      <c r="M94" s="710">
        <v>802.1</v>
      </c>
      <c r="N94" s="710">
        <v>802.2</v>
      </c>
      <c r="AL94" s="1811" t="s">
        <v>1812</v>
      </c>
      <c r="AM94" s="1811">
        <v>1</v>
      </c>
      <c r="AN94" s="1811">
        <v>2</v>
      </c>
      <c r="AO94" s="1811">
        <v>3</v>
      </c>
      <c r="AP94" s="1811">
        <v>4</v>
      </c>
      <c r="AQ94" s="1811">
        <v>5</v>
      </c>
      <c r="AR94" s="1811">
        <v>6</v>
      </c>
      <c r="AS94" s="1811">
        <v>7</v>
      </c>
      <c r="AT94" s="1811">
        <v>8</v>
      </c>
      <c r="AU94" s="1962">
        <f>IF('Verification Rpt'!J432&lt;&gt;"",HLOOKUP(VCZ,Formulas!AM94:AT98,Formulas!AP93,0),0)</f>
        <v>0</v>
      </c>
      <c r="AX94" s="710" t="s">
        <v>165</v>
      </c>
    </row>
    <row r="95" spans="1:50" s="715" customFormat="1" ht="15" customHeight="1">
      <c r="A95" s="715">
        <f>IF(choice801.1.1_1thru4a=A87,11,IF(choice801.1.1_1thru4a=A88,17,IF(choice801.1.1_1thru4a=A89,29,IF(choice801.1.1_1thru4a=A90,35,IF(choice801.1.1_1thru4a=A91,39,0)))))</f>
        <v>0</v>
      </c>
      <c r="B95" s="715">
        <f>IF(choice801.2_2=B87,13,IF(choice801.2_2=B88,24,0))</f>
        <v>0</v>
      </c>
      <c r="C95" s="691">
        <f>IF(choice801.3_1=C87,4,IF(choice801.3_1=C88,5,IF(choice801.3_1=C89,6,IF(choice801.3_1=C90,7,0))))</f>
        <v>0</v>
      </c>
      <c r="D95" s="715">
        <f>IF(choice801.3_2=D87,11,IF(choice801.3_2=D88,14,0))</f>
        <v>0</v>
      </c>
      <c r="E95" s="715">
        <f>IF(choice801.3_3=E87,1,IF(choice801.3_3=E88,2,IF(choice801.3_3=E89,3,0)))</f>
        <v>0</v>
      </c>
      <c r="F95" s="691">
        <f>IF(choice801.4.1_1=F87,1,IF(choice801.4.1_1=F88,2,IF(choice801.4.1_1=F89,3,0)))</f>
        <v>0</v>
      </c>
      <c r="G95" s="691">
        <f>IF(choice801.4.2=G87,1,IF(choice801.4.2=G88,2,IF(choice801.4.2=G89,3,0)))</f>
        <v>0</v>
      </c>
      <c r="I95" s="715">
        <f>IF(claim801.5_3="",IF(choice801.5_2=I87, 2, IF(choice801.5_2=I88, 4, IF(choice801.5_2=I89,6,0))),11)</f>
        <v>0</v>
      </c>
      <c r="J95" s="715">
        <f>IF(choice801.5_3a=J87, 1, IF(choice801.5_3a=J88, 2, IF(choice801.5_3a=J89,3,0)))</f>
        <v>0</v>
      </c>
      <c r="K95" s="715">
        <f>IF(choice801.7.1=K87,5,IF(choice801.7.1=K88,5,IF(choice801.7.1=K89,10,IF(choice801.7.1=K90,15,IF(choice801.7.1=K91,25,0)))))</f>
        <v>0</v>
      </c>
      <c r="L95" s="715">
        <f>IF(choice801.7.2=L87,5,IF(choice801.7.2=L88,10,IF(choice801.7.2=L89,15,IF(choice801.7.2=L90,25,0))))</f>
        <v>0</v>
      </c>
      <c r="M95" s="715">
        <f>IF(choice802.1=M87,5,IF(choice802.1=M88,10,IF(choice802.1=M89,15,IF(choice802.1=M90,20,IF(choice802.1=M91,10,0)))))</f>
        <v>0</v>
      </c>
      <c r="N95" s="715">
        <f>IF(choice802.2=N87,2,IF(choice802.2=N88,2,0))</f>
        <v>0</v>
      </c>
      <c r="AL95" s="2034" t="s">
        <v>2735</v>
      </c>
      <c r="AM95" s="1811">
        <v>8</v>
      </c>
      <c r="AN95" s="1811">
        <v>9</v>
      </c>
      <c r="AO95" s="1811">
        <v>8</v>
      </c>
      <c r="AP95" s="1811">
        <v>6</v>
      </c>
      <c r="AQ95" s="1811">
        <v>3</v>
      </c>
      <c r="AR95" s="1811">
        <v>2</v>
      </c>
      <c r="AS95" s="1811">
        <v>2</v>
      </c>
      <c r="AT95" s="1811">
        <v>2</v>
      </c>
      <c r="AU95" s="1811"/>
    </row>
    <row r="96" spans="1:50" ht="15" customHeight="1">
      <c r="C96" s="688"/>
      <c r="D96" s="688"/>
      <c r="F96" s="688"/>
      <c r="G96" s="688"/>
      <c r="AL96" s="2034" t="s">
        <v>2736</v>
      </c>
      <c r="AM96" s="1811">
        <v>3</v>
      </c>
      <c r="AN96" s="1811">
        <v>3</v>
      </c>
      <c r="AO96" s="1811">
        <v>3</v>
      </c>
      <c r="AP96" s="1811">
        <v>2</v>
      </c>
      <c r="AQ96" s="1811">
        <v>1</v>
      </c>
      <c r="AR96" s="1811">
        <v>1</v>
      </c>
      <c r="AS96" s="1811">
        <v>1</v>
      </c>
      <c r="AT96" s="1811">
        <v>1</v>
      </c>
      <c r="AU96" s="1811"/>
    </row>
    <row r="97" spans="1:47" ht="15" customHeight="1">
      <c r="A97" s="115" t="s">
        <v>1258</v>
      </c>
      <c r="B97" s="115" t="s">
        <v>1259</v>
      </c>
      <c r="C97" s="115" t="s">
        <v>1260</v>
      </c>
      <c r="D97" s="700" t="s">
        <v>1261</v>
      </c>
      <c r="F97" s="700"/>
      <c r="G97" s="700"/>
      <c r="AL97" s="2035" t="s">
        <v>2737</v>
      </c>
      <c r="AM97" s="710">
        <v>5</v>
      </c>
      <c r="AN97" s="710">
        <v>6</v>
      </c>
      <c r="AO97" s="710">
        <v>5</v>
      </c>
      <c r="AP97" s="710">
        <v>4</v>
      </c>
      <c r="AQ97" s="710">
        <v>2</v>
      </c>
      <c r="AR97" s="710">
        <v>2</v>
      </c>
      <c r="AS97" s="710">
        <v>2</v>
      </c>
      <c r="AT97" s="710">
        <v>2</v>
      </c>
      <c r="AU97" s="710"/>
    </row>
    <row r="98" spans="1:47" ht="15" customHeight="1">
      <c r="A98" s="115" t="s">
        <v>916</v>
      </c>
      <c r="B98" s="115" t="s">
        <v>916</v>
      </c>
      <c r="C98" s="115" t="s">
        <v>916</v>
      </c>
      <c r="D98" s="700" t="s">
        <v>916</v>
      </c>
      <c r="F98" s="700"/>
      <c r="G98" s="700"/>
      <c r="AL98" s="2034"/>
      <c r="AM98" s="1811">
        <v>0</v>
      </c>
      <c r="AN98" s="1811">
        <v>0</v>
      </c>
      <c r="AO98" s="1811">
        <v>0</v>
      </c>
      <c r="AP98" s="1811">
        <v>0</v>
      </c>
      <c r="AQ98" s="1811">
        <v>0</v>
      </c>
      <c r="AR98" s="1811">
        <v>0</v>
      </c>
      <c r="AS98" s="1811">
        <v>0</v>
      </c>
      <c r="AT98" s="1811">
        <v>0</v>
      </c>
      <c r="AU98" s="1811"/>
    </row>
    <row r="99" spans="1:47" ht="15" customHeight="1">
      <c r="A99" s="115" t="s">
        <v>917</v>
      </c>
      <c r="B99" s="115" t="s">
        <v>917</v>
      </c>
      <c r="C99" s="115" t="s">
        <v>917</v>
      </c>
      <c r="D99" s="700" t="s">
        <v>917</v>
      </c>
      <c r="F99" s="700"/>
      <c r="G99" s="700"/>
      <c r="AL99" s="2034"/>
      <c r="AM99" s="1811"/>
      <c r="AN99" s="1811"/>
      <c r="AO99" s="1811"/>
      <c r="AP99" s="1811"/>
      <c r="AQ99" s="1811"/>
      <c r="AR99" s="1811"/>
      <c r="AS99" s="1811"/>
      <c r="AT99" s="1811"/>
      <c r="AU99" s="1811"/>
    </row>
    <row r="100" spans="1:47" ht="15" customHeight="1">
      <c r="C100" s="700"/>
      <c r="D100" s="700"/>
      <c r="F100" s="700"/>
      <c r="G100" s="700"/>
      <c r="AL100" s="710"/>
      <c r="AM100" s="1811"/>
      <c r="AN100" s="1811"/>
      <c r="AO100" s="1811"/>
      <c r="AP100" s="1811"/>
      <c r="AQ100" s="1811"/>
      <c r="AR100" s="1811"/>
      <c r="AS100" s="1811"/>
      <c r="AT100" s="1811"/>
      <c r="AU100" s="710"/>
    </row>
    <row r="101" spans="1:47" s="887" customFormat="1" ht="15" customHeight="1">
      <c r="A101" s="887" t="s">
        <v>1370</v>
      </c>
      <c r="C101" s="836"/>
      <c r="D101" s="836"/>
      <c r="F101" s="836"/>
      <c r="G101" s="836"/>
    </row>
    <row r="102" spans="1:47" s="710" customFormat="1" ht="15" customHeight="1">
      <c r="A102" s="710" t="s">
        <v>1371</v>
      </c>
      <c r="B102" s="710" t="s">
        <v>1379</v>
      </c>
      <c r="C102" s="710" t="s">
        <v>1383</v>
      </c>
      <c r="D102" s="498" t="s">
        <v>429</v>
      </c>
      <c r="E102" s="710" t="s">
        <v>1388</v>
      </c>
      <c r="F102" s="710" t="s">
        <v>1395</v>
      </c>
      <c r="G102" s="710" t="s">
        <v>1396</v>
      </c>
      <c r="H102" s="710" t="s">
        <v>1397</v>
      </c>
      <c r="I102" s="710" t="s">
        <v>1398</v>
      </c>
      <c r="J102" s="710" t="s">
        <v>1399</v>
      </c>
      <c r="K102" s="710" t="s">
        <v>1407</v>
      </c>
      <c r="L102" s="710" t="s">
        <v>1408</v>
      </c>
      <c r="N102" s="710" t="s">
        <v>1410</v>
      </c>
      <c r="O102" s="710" t="s">
        <v>1411</v>
      </c>
      <c r="P102" s="710" t="s">
        <v>1416</v>
      </c>
      <c r="Q102" s="710" t="s">
        <v>1417</v>
      </c>
      <c r="R102" s="710" t="s">
        <v>1420</v>
      </c>
      <c r="S102" s="710" t="s">
        <v>1422</v>
      </c>
      <c r="T102" s="710">
        <v>901.5</v>
      </c>
      <c r="U102" s="710" t="s">
        <v>1426</v>
      </c>
      <c r="V102" s="910" t="s">
        <v>1444</v>
      </c>
      <c r="W102" s="710">
        <v>901.13</v>
      </c>
      <c r="X102" s="710" t="s">
        <v>1453</v>
      </c>
      <c r="Y102" s="710" t="s">
        <v>1454</v>
      </c>
      <c r="Z102" s="710" t="s">
        <v>463</v>
      </c>
      <c r="AB102" s="710" t="s">
        <v>1468</v>
      </c>
      <c r="AC102" s="710" t="s">
        <v>1469</v>
      </c>
      <c r="AD102" s="710" t="s">
        <v>1477</v>
      </c>
      <c r="AE102" s="710" t="s">
        <v>1505</v>
      </c>
      <c r="AF102" s="710">
        <v>902.3</v>
      </c>
      <c r="AG102" s="710">
        <v>902.4</v>
      </c>
      <c r="AH102" s="710">
        <v>902.6</v>
      </c>
      <c r="AI102" s="710">
        <v>903.1</v>
      </c>
      <c r="AJ102" s="710">
        <v>903.2</v>
      </c>
      <c r="AK102" s="710">
        <v>903.3</v>
      </c>
    </row>
    <row r="103" spans="1:47" ht="15" customHeight="1">
      <c r="A103" s="115" t="s">
        <v>916</v>
      </c>
      <c r="B103" s="115" t="s">
        <v>1380</v>
      </c>
      <c r="C103" s="115" t="s">
        <v>1380</v>
      </c>
      <c r="D103" s="854" t="s">
        <v>916</v>
      </c>
      <c r="E103" s="115" t="s">
        <v>1389</v>
      </c>
      <c r="F103" s="854" t="s">
        <v>916</v>
      </c>
      <c r="G103" s="854" t="s">
        <v>916</v>
      </c>
      <c r="H103" s="854" t="s">
        <v>916</v>
      </c>
      <c r="I103" s="854" t="s">
        <v>916</v>
      </c>
      <c r="J103" s="854" t="s">
        <v>916</v>
      </c>
      <c r="K103" s="115" t="s">
        <v>916</v>
      </c>
      <c r="L103" s="115" t="s">
        <v>916</v>
      </c>
      <c r="N103" s="115" t="s">
        <v>916</v>
      </c>
      <c r="O103" s="115" t="s">
        <v>1412</v>
      </c>
      <c r="P103" s="115" t="s">
        <v>1412</v>
      </c>
      <c r="Q103" s="115" t="s">
        <v>1412</v>
      </c>
      <c r="R103" s="115" t="s">
        <v>1412</v>
      </c>
      <c r="S103" s="115" t="s">
        <v>1412</v>
      </c>
      <c r="T103" s="115" t="s">
        <v>2077</v>
      </c>
      <c r="U103" s="115" t="s">
        <v>916</v>
      </c>
      <c r="V103" s="115" t="s">
        <v>2079</v>
      </c>
      <c r="W103" s="115" t="s">
        <v>1449</v>
      </c>
      <c r="X103" s="115" t="s">
        <v>916</v>
      </c>
      <c r="Y103" s="115" t="s">
        <v>916</v>
      </c>
      <c r="Z103" s="115" t="s">
        <v>1460</v>
      </c>
      <c r="AB103" s="115" t="s">
        <v>1470</v>
      </c>
      <c r="AC103" s="115" t="s">
        <v>1470</v>
      </c>
      <c r="AD103" s="115" t="s">
        <v>1479</v>
      </c>
      <c r="AE103" s="115" t="s">
        <v>1506</v>
      </c>
      <c r="AF103" s="1811" t="s">
        <v>2579</v>
      </c>
      <c r="AG103" s="115" t="s">
        <v>1503</v>
      </c>
      <c r="AH103" s="115" t="s">
        <v>916</v>
      </c>
      <c r="AI103" s="115" t="s">
        <v>1499</v>
      </c>
      <c r="AJ103" s="115" t="s">
        <v>1495</v>
      </c>
      <c r="AK103" s="115" t="s">
        <v>1491</v>
      </c>
    </row>
    <row r="104" spans="1:47" ht="15" customHeight="1">
      <c r="A104" s="115" t="s">
        <v>1372</v>
      </c>
      <c r="B104" s="115" t="s">
        <v>1381</v>
      </c>
      <c r="C104" s="115" t="s">
        <v>1381</v>
      </c>
      <c r="D104" s="854" t="s">
        <v>917</v>
      </c>
      <c r="E104" s="115" t="s">
        <v>1390</v>
      </c>
      <c r="F104" s="854" t="s">
        <v>917</v>
      </c>
      <c r="G104" s="854" t="s">
        <v>917</v>
      </c>
      <c r="H104" s="854" t="s">
        <v>917</v>
      </c>
      <c r="I104" s="854" t="s">
        <v>917</v>
      </c>
      <c r="J104" s="854" t="s">
        <v>917</v>
      </c>
      <c r="K104" s="115" t="s">
        <v>917</v>
      </c>
      <c r="L104" s="115" t="s">
        <v>917</v>
      </c>
      <c r="N104" s="115" t="s">
        <v>917</v>
      </c>
      <c r="O104" s="115" t="s">
        <v>1413</v>
      </c>
      <c r="P104" s="115" t="s">
        <v>1413</v>
      </c>
      <c r="Q104" s="115" t="s">
        <v>1413</v>
      </c>
      <c r="R104" s="115" t="s">
        <v>1413</v>
      </c>
      <c r="S104" s="115" t="s">
        <v>1413</v>
      </c>
      <c r="T104" s="115" t="s">
        <v>2078</v>
      </c>
      <c r="U104" s="115" t="s">
        <v>917</v>
      </c>
      <c r="V104" s="115" t="s">
        <v>1445</v>
      </c>
      <c r="W104" s="115" t="s">
        <v>1450</v>
      </c>
      <c r="X104" s="115" t="s">
        <v>2080</v>
      </c>
      <c r="Y104" s="115" t="s">
        <v>917</v>
      </c>
      <c r="Z104" s="115" t="s">
        <v>1461</v>
      </c>
      <c r="AB104" s="115" t="s">
        <v>1471</v>
      </c>
      <c r="AC104" s="115" t="s">
        <v>1471</v>
      </c>
      <c r="AD104" s="115" t="s">
        <v>1480</v>
      </c>
      <c r="AE104" s="115" t="s">
        <v>1507</v>
      </c>
      <c r="AF104" s="1811" t="s">
        <v>2580</v>
      </c>
      <c r="AG104" s="115" t="s">
        <v>1510</v>
      </c>
      <c r="AH104" s="115" t="s">
        <v>917</v>
      </c>
      <c r="AI104" s="115" t="s">
        <v>1500</v>
      </c>
      <c r="AJ104" s="115" t="s">
        <v>1496</v>
      </c>
      <c r="AK104" s="115" t="s">
        <v>1490</v>
      </c>
    </row>
    <row r="105" spans="1:47" ht="15" customHeight="1">
      <c r="D105" s="854" t="s">
        <v>1385</v>
      </c>
      <c r="F105" s="1801" t="s">
        <v>2574</v>
      </c>
      <c r="G105" s="854" t="s">
        <v>2076</v>
      </c>
      <c r="H105" s="1812" t="s">
        <v>2578</v>
      </c>
      <c r="I105" s="1812" t="s">
        <v>2577</v>
      </c>
      <c r="J105" s="854" t="s">
        <v>2075</v>
      </c>
      <c r="K105" s="115" t="s">
        <v>1409</v>
      </c>
      <c r="L105" s="115" t="s">
        <v>1409</v>
      </c>
      <c r="N105" s="115" t="s">
        <v>9</v>
      </c>
      <c r="O105" s="115" t="s">
        <v>1414</v>
      </c>
      <c r="P105" s="115" t="s">
        <v>1414</v>
      </c>
      <c r="Q105" s="115" t="s">
        <v>1414</v>
      </c>
      <c r="R105" s="115" t="s">
        <v>1421</v>
      </c>
      <c r="S105" s="115" t="s">
        <v>1421</v>
      </c>
      <c r="T105" s="115" t="s">
        <v>1425</v>
      </c>
      <c r="V105" s="115" t="s">
        <v>1446</v>
      </c>
      <c r="X105" s="115" t="s">
        <v>917</v>
      </c>
      <c r="Y105" s="115" t="s">
        <v>1455</v>
      </c>
      <c r="Z105" s="115" t="s">
        <v>1462</v>
      </c>
      <c r="AB105" s="115" t="s">
        <v>1472</v>
      </c>
      <c r="AC105" s="115" t="s">
        <v>1472</v>
      </c>
      <c r="AD105" s="115" t="s">
        <v>1481</v>
      </c>
      <c r="AF105" s="115" t="s">
        <v>1504</v>
      </c>
    </row>
    <row r="106" spans="1:47" ht="15" customHeight="1">
      <c r="D106" s="854"/>
      <c r="F106" s="854"/>
      <c r="G106" s="854"/>
      <c r="O106" s="115" t="s">
        <v>1415</v>
      </c>
      <c r="P106" s="115" t="s">
        <v>1415</v>
      </c>
      <c r="Q106" s="115" t="s">
        <v>1418</v>
      </c>
      <c r="Z106" s="115" t="s">
        <v>1463</v>
      </c>
      <c r="AB106" s="115" t="s">
        <v>1473</v>
      </c>
      <c r="AC106" s="115" t="s">
        <v>1476</v>
      </c>
      <c r="AD106" s="115" t="s">
        <v>1482</v>
      </c>
    </row>
    <row r="107" spans="1:47" ht="15" customHeight="1">
      <c r="D107" s="854"/>
      <c r="F107" s="854"/>
      <c r="G107" s="854"/>
      <c r="O107" s="115" t="s">
        <v>1419</v>
      </c>
      <c r="P107" s="115" t="s">
        <v>1419</v>
      </c>
      <c r="AB107" s="115" t="s">
        <v>1474</v>
      </c>
      <c r="AD107" s="115" t="s">
        <v>1483</v>
      </c>
    </row>
    <row r="108" spans="1:47" ht="15" customHeight="1">
      <c r="D108" s="854"/>
      <c r="F108" s="854"/>
      <c r="G108" s="854"/>
      <c r="AB108" s="115" t="s">
        <v>1475</v>
      </c>
      <c r="AD108" s="115" t="s">
        <v>917</v>
      </c>
    </row>
    <row r="109" spans="1:47" s="887" customFormat="1" ht="15" customHeight="1">
      <c r="A109" s="887" t="s">
        <v>1373</v>
      </c>
      <c r="D109" s="836"/>
      <c r="F109" s="836"/>
      <c r="G109" s="836"/>
    </row>
    <row r="110" spans="1:47" s="710" customFormat="1" ht="15" customHeight="1">
      <c r="A110" s="710" t="s">
        <v>1371</v>
      </c>
      <c r="B110" s="710" t="s">
        <v>1379</v>
      </c>
      <c r="C110" s="710" t="s">
        <v>1383</v>
      </c>
      <c r="D110" s="498"/>
      <c r="E110" s="710" t="s">
        <v>1388</v>
      </c>
      <c r="F110" s="710" t="s">
        <v>1395</v>
      </c>
      <c r="G110" s="710" t="s">
        <v>1396</v>
      </c>
      <c r="H110" s="710" t="s">
        <v>1397</v>
      </c>
      <c r="I110" s="710" t="s">
        <v>1398</v>
      </c>
      <c r="J110" s="710" t="s">
        <v>1399</v>
      </c>
      <c r="K110" s="710" t="s">
        <v>1407</v>
      </c>
      <c r="L110" s="710" t="s">
        <v>1408</v>
      </c>
      <c r="M110" s="710">
        <v>901.4</v>
      </c>
      <c r="N110" s="710" t="s">
        <v>1410</v>
      </c>
      <c r="O110" s="710" t="s">
        <v>1411</v>
      </c>
      <c r="P110" s="710" t="s">
        <v>1416</v>
      </c>
      <c r="Q110" s="710" t="s">
        <v>1417</v>
      </c>
      <c r="R110" s="710" t="s">
        <v>1420</v>
      </c>
      <c r="S110" s="710" t="s">
        <v>1422</v>
      </c>
      <c r="T110" s="710">
        <v>901.5</v>
      </c>
      <c r="V110" s="910" t="s">
        <v>1444</v>
      </c>
      <c r="W110" s="710">
        <v>901.13</v>
      </c>
      <c r="X110" s="710" t="s">
        <v>1453</v>
      </c>
      <c r="Z110" s="710" t="s">
        <v>463</v>
      </c>
      <c r="AA110" s="710" t="s">
        <v>466</v>
      </c>
      <c r="AB110" s="710" t="s">
        <v>1468</v>
      </c>
      <c r="AC110" s="710" t="s">
        <v>1469</v>
      </c>
      <c r="AD110" s="710" t="s">
        <v>1477</v>
      </c>
      <c r="AE110" s="710" t="s">
        <v>1505</v>
      </c>
      <c r="AG110" s="710">
        <v>902.4</v>
      </c>
      <c r="AI110" s="710">
        <v>903.1</v>
      </c>
      <c r="AJ110" s="710">
        <v>903.2</v>
      </c>
      <c r="AK110" s="710">
        <v>903.3</v>
      </c>
    </row>
    <row r="111" spans="1:47" ht="15" customHeight="1">
      <c r="A111" s="115" t="e">
        <f>IF(choice901.1.1="Met", 5, 0)</f>
        <v>#NAME?</v>
      </c>
      <c r="B111" s="710">
        <f>IF(choice901.1.3_1=B103,3,IF(choice901.1.3_1=B104,5,0))</f>
        <v>0</v>
      </c>
      <c r="C111" s="710">
        <f>IF(choice901.1.3_2=C103,3,IF(choice901.1.3_2=C104,5,0))</f>
        <v>0</v>
      </c>
      <c r="D111" s="854"/>
      <c r="E111" s="115">
        <f>IF(choice901.1.6=E103,2,IF(choice901.1.6=E104,5,0))</f>
        <v>0</v>
      </c>
      <c r="F111" s="854">
        <f>IF(choice901.2.1_1="Met",4,0)</f>
        <v>0</v>
      </c>
      <c r="G111" s="854">
        <f>IF(choice901.2.1_2="Met",6,0)</f>
        <v>0</v>
      </c>
      <c r="H111" s="115">
        <f>IF(choice901.2.1_3="Met",6,0)</f>
        <v>0</v>
      </c>
      <c r="I111" s="115">
        <f>IF(choice901.2.1_4="Met",6,0)</f>
        <v>0</v>
      </c>
      <c r="J111" s="115">
        <f>IF(choice901.2.1_5="Met",6,0)</f>
        <v>0</v>
      </c>
      <c r="K111" s="115">
        <f>IF(choice901.3_1_a=K103,2,0)</f>
        <v>0</v>
      </c>
      <c r="L111" s="115">
        <f>IF(choice901.3_1_b=L103,2,0)</f>
        <v>0</v>
      </c>
      <c r="O111" s="115" t="e">
        <f>IF(choice901.4_2=O103,2,IF(choice901.4_2=O104,4,IF(choice901.4_2=O105,6,IF(choice901.4_2=O106,8,IF(choice901.4_2=O107,10,0)))))</f>
        <v>#NAME?</v>
      </c>
      <c r="P111" s="115" t="e">
        <f>IF(choice901.4_3=P103,2,IF(choice901.4_3=P104,4,IF(choice901.4_3=P105,6,IF(choice901.4_3=P106,8,IF(choice901.4_3=P107,10,0)))))</f>
        <v>#NAME?</v>
      </c>
      <c r="Q111" s="115" t="e">
        <f>IF(choice901.4_4=Q103,3,IF(choice901.4_4=Q104,6,IF(choice901.4_4=Q105,9,IF(choice901.4_4=Q106,10,0))))</f>
        <v>#NAME?</v>
      </c>
      <c r="R111" s="115" t="e">
        <f>IF(choice901.4_5=R103,4,IF(choice901.4_5=R104,8,IF(choice901.4_5=R105,10,0)))</f>
        <v>#NAME?</v>
      </c>
      <c r="S111" s="115" t="e">
        <f>IF(choice901.4_6=S103,4,IF(choice901.4_6=S104,8,IF(choice901.4_6=S105,10,0)))</f>
        <v>#NAME?</v>
      </c>
      <c r="T111" s="115">
        <f>IF(OR(choice901.5=T103,choice901.5=T104),5,IF(choice901.5=T105,3,0))</f>
        <v>0</v>
      </c>
      <c r="V111" s="115">
        <f>IF(choice901.10=V103,8,IF(choice901.10=V104,5,IF(choice901.10=V105,5,0)))</f>
        <v>0</v>
      </c>
      <c r="W111" s="115">
        <f>IF(OR(choice901.13=W103,choice901.13=W104),1,0)</f>
        <v>0</v>
      </c>
      <c r="X111" s="115">
        <f>IF(choice902.1.1_1=X104,1,0)</f>
        <v>0</v>
      </c>
      <c r="Z111" s="115">
        <f>IF(choice902.1.2=Z103,5,IF(choice902.1.2=Z104,7,IF(choice902.1.2=Z105,9,IF(choice902.1.2=Z106,11,0))))</f>
        <v>0</v>
      </c>
      <c r="AA111" s="115">
        <f>IF(SUM(score902.1.4_1,score902.1.4_2)&gt;12,12,SUM(score902.1.4_1,score902.1.4_2))</f>
        <v>0</v>
      </c>
      <c r="AB111" s="115">
        <f>IF(choice902.1.4_1=AB103,2,IF(choice902.1.4_1=AB104,4,IF(choice902.1.4_1=AB105,6,IF(choice902.1.4_1=AB106,8,IF(choice902.1.4_1=AB107,10,IF(choice902.1.4_1=AB108,12,0))))))</f>
        <v>0</v>
      </c>
      <c r="AC111" s="115">
        <f>IF(choice902.1.4_2=AC103,3,IF(choice902.1.4_2=AC104,6,IF(choice902.1.4_2=AC105,9,IF(choice902.1.4_2=AC106,12,0))))</f>
        <v>0</v>
      </c>
      <c r="AD111" s="115">
        <f>IF(choice902.2.1=AD103,3,IF(choice902.2.1=AD104,6,IF(choice902.2.1=AD105,7,IF(choice902.2.1=AD106,8,IF(choice902.2.1=AD107,"N/A",0)))))</f>
        <v>0</v>
      </c>
      <c r="AE111" s="115" t="str">
        <f>IF(claim902.3="Met - Zone 1 passive system",7,IF(claim902.3="Not Zone 1","",IF(claim902.3="","",10)))</f>
        <v/>
      </c>
      <c r="AG111" s="115">
        <f>IF(choice902.4&lt;&gt;"",3,0)</f>
        <v>0</v>
      </c>
      <c r="AI111" s="115">
        <f>IF(choice903.1=AI103,2,IF(choice903.1=AI104,5,0))</f>
        <v>0</v>
      </c>
      <c r="AJ111" s="115">
        <f>IF(choice903.2=AJ103,1,IF(choice903.2=AJ104,3,0))</f>
        <v>0</v>
      </c>
      <c r="AK111" s="115">
        <f>IF(choice903.3&lt;&gt;"",'Ch9'!N161,0)</f>
        <v>0</v>
      </c>
    </row>
    <row r="112" spans="1:47" ht="15" customHeight="1">
      <c r="C112" s="854"/>
      <c r="D112" s="854"/>
      <c r="F112" s="854"/>
      <c r="G112" s="854"/>
    </row>
    <row r="113" spans="1:7" s="721" customFormat="1" ht="15" customHeight="1">
      <c r="A113" s="721" t="s">
        <v>1272</v>
      </c>
      <c r="C113" s="836"/>
      <c r="D113" s="836"/>
      <c r="F113" s="836"/>
      <c r="G113" s="836"/>
    </row>
    <row r="114" spans="1:7" s="722" customFormat="1" ht="15" customHeight="1">
      <c r="A114" s="722" t="s">
        <v>226</v>
      </c>
      <c r="B114" s="722" t="s">
        <v>230</v>
      </c>
      <c r="C114" s="837"/>
      <c r="D114" s="837" t="s">
        <v>228</v>
      </c>
      <c r="E114" s="722" t="s">
        <v>1511</v>
      </c>
      <c r="F114" s="837"/>
      <c r="G114" s="837"/>
    </row>
    <row r="115" spans="1:7" s="1039" customFormat="1" ht="15" customHeight="1">
      <c r="A115" s="1039">
        <f>IF(OR(claim602.1.1.1="Met",claim602.1.1.1="No Slabs",claim602.1.1.1="NA",'Ch6'!B50="x"), 1, 0)</f>
        <v>0</v>
      </c>
      <c r="B115" s="1039">
        <f>IF(claim701.3="Met", 1, 0)</f>
        <v>0</v>
      </c>
      <c r="C115" s="994"/>
      <c r="D115" s="994"/>
      <c r="E115" s="1039">
        <f>IF('Ch6'!P3="Met",1,0)</f>
        <v>0</v>
      </c>
      <c r="F115" s="994"/>
      <c r="G115" s="994"/>
    </row>
    <row r="116" spans="1:7" ht="15" customHeight="1">
      <c r="A116" s="115">
        <f>IF(OR(claim602.1.3.1="Met",claim602.1.3.1="No habitable or usable space below grade",'Ch6'!B55="x"), 1, 0)</f>
        <v>0</v>
      </c>
      <c r="B116" s="115">
        <f>IF(claim701.4.1.1="Met", 1, 0)</f>
        <v>0</v>
      </c>
      <c r="C116" s="700"/>
      <c r="D116" s="700">
        <f>IF(OR(claim901.1.4=D103,claim901.1.4=D105), 1, 0)</f>
        <v>0</v>
      </c>
      <c r="E116" s="115">
        <f>IF('Ch7'!P3="Met", 1, 0)</f>
        <v>0</v>
      </c>
      <c r="F116" s="700"/>
      <c r="G116" s="700"/>
    </row>
    <row r="117" spans="1:7" ht="15" customHeight="1">
      <c r="A117" s="115">
        <f>IF(OR(claim602.1.4.1_2="Met",claim602.1.4.1_2="No crawlspace",claim602.1.4.1_2="No below grade crawlspace walls",'Ch6'!B60="x"), 1, 0)</f>
        <v>0</v>
      </c>
      <c r="B117" s="115">
        <f>IF(OR(claim701.4.1.2="Met",claim701.4.1.2="N/A",'Ch7'!B21="x",claim701.4.1.2=D62), 1, 0)</f>
        <v>0</v>
      </c>
      <c r="C117" s="700"/>
      <c r="D117" s="700">
        <f>IF(OR(choice901.2.1_1=F103,choice901.2.1_1=F105), 1, 0)</f>
        <v>0</v>
      </c>
      <c r="E117" s="115">
        <f>IF('Ch9'!O3="Met",1,0)</f>
        <v>0</v>
      </c>
      <c r="F117" s="700"/>
      <c r="G117" s="700"/>
    </row>
    <row r="118" spans="1:7" ht="15" customHeight="1">
      <c r="A118" s="115">
        <f>IF(OR(claim602.1.4.2_2="Met",claim602.1.4.2_2="No Conditioned crawlspace",'Ch6'!B64="x"), 1, 0)</f>
        <v>0</v>
      </c>
      <c r="B118" s="115">
        <f>IF(OR(claim701.4.2.1="Met",claim701.4.2.1="No duct system installed"), 1, 0)</f>
        <v>0</v>
      </c>
      <c r="C118" s="700"/>
      <c r="D118" s="700">
        <f>IF(OR(choice901.2.1_1=F103,choice901.2.1_1=F105), 1, 0)</f>
        <v>0</v>
      </c>
      <c r="E118" s="115">
        <f>IF('Ch10'!O3="Met",1,0)</f>
        <v>0</v>
      </c>
      <c r="F118" s="700"/>
      <c r="G118" s="700"/>
    </row>
    <row r="119" spans="1:7" ht="15" customHeight="1">
      <c r="A119" s="115">
        <f>IF(OR(choice602.1.7.1_2="Met",choice602.1.7.1_2="N/A"), 1, 0)</f>
        <v>0</v>
      </c>
      <c r="B119" s="115">
        <f>IF(OR(claim701.4.2.2="Met",claim701.4.2.2="No Duct System",startDuctless="Yes"), 1, 0)</f>
        <v>0</v>
      </c>
      <c r="C119" s="700"/>
      <c r="D119" s="700">
        <f>IF(OR(choice901.2.1_2=G103,choice901.2.1_2=G105), 1, 0)</f>
        <v>0</v>
      </c>
      <c r="F119" s="700"/>
      <c r="G119" s="700"/>
    </row>
    <row r="120" spans="1:7" ht="15" customHeight="1">
      <c r="A120" s="115">
        <f>IF(OR(claim602.1.8="Met",claim602.1.8="N/A"), 1, 0)</f>
        <v>0</v>
      </c>
      <c r="B120" s="115">
        <f>IF(OR(claim701.4.2.3="Met",claim701.4.2.3="No Duct System",startDuctless="Yes"), 1, 0)</f>
        <v>0</v>
      </c>
      <c r="C120" s="700"/>
      <c r="D120" s="700">
        <f>IF(OR(choice901.2.1_3=H103,choice901.2.1_3=H105), 1, 0)</f>
        <v>0</v>
      </c>
      <c r="F120" s="700"/>
      <c r="G120" s="700"/>
    </row>
    <row r="121" spans="1:7" ht="15" customHeight="1">
      <c r="A121" s="115">
        <f>IF(OR(claim602.1.9_1="Met",claim602.1.9_1="N/A"), 1, 0)</f>
        <v>0</v>
      </c>
      <c r="B121" s="115">
        <f>IF(OR(claim701.4.3.1="Met",claim701.4.3.1="N/A"), 1, 0)</f>
        <v>0</v>
      </c>
      <c r="C121" s="700"/>
      <c r="D121" s="700">
        <f>IF(OR(choice901.2.1_4=I103,choice901.2.1_4=I105), 1, 0)</f>
        <v>0</v>
      </c>
      <c r="F121" s="700"/>
      <c r="G121" s="700"/>
    </row>
    <row r="122" spans="1:7" ht="15" customHeight="1">
      <c r="A122" s="115">
        <f>IF(OR(claim602.1.11="Met",claim602.1.11="No tile in wet areas"), 1, 0)</f>
        <v>0</v>
      </c>
      <c r="B122" s="115">
        <f>IF(OR(claim701.4.3.1="Met",claim701.4.3.1="N/A"), 1, 0)</f>
        <v>0</v>
      </c>
      <c r="C122" s="700"/>
      <c r="D122" s="700">
        <f>IF(OR(choice901.2.1_5=J103,choice901.2.1_5=J105), 1, 0)</f>
        <v>0</v>
      </c>
      <c r="F122" s="700"/>
      <c r="G122" s="700"/>
    </row>
    <row r="123" spans="1:7" ht="15" customHeight="1">
      <c r="A123" s="115">
        <f>IF(OR(claim602.1.13="Met",claim602.1.13="No regional history of ice dams"), 1, 0)</f>
        <v>0</v>
      </c>
      <c r="B123" s="115">
        <f>IF(claim701.4.3.2="Met", 1, 0)</f>
        <v>0</v>
      </c>
      <c r="C123" s="700"/>
      <c r="D123" s="700">
        <f>IF(OR(choice901.3_1_a=K103,choice901.3_1_a=K105,startAttachedGarage="No"), 1, 0)</f>
        <v>0</v>
      </c>
      <c r="F123" s="700"/>
      <c r="G123" s="700"/>
    </row>
    <row r="124" spans="1:7" ht="15" customHeight="1">
      <c r="A124" s="115">
        <f>IF(OR(choice602.1.14_3=P40,choice602.1.14_3=P42), 1, 0)</f>
        <v>0</v>
      </c>
      <c r="B124" s="115">
        <f>IF(claim701.4.3.3="Met", 1, 0)</f>
        <v>0</v>
      </c>
      <c r="C124" s="700"/>
      <c r="D124" s="700">
        <f>IF(OR(choice901.3_1_b=L103,choice901.3_1_b=L105,startAttachedGarage="No"), 1, 0)</f>
        <v>0</v>
      </c>
      <c r="F124" s="700"/>
      <c r="G124" s="700"/>
    </row>
    <row r="125" spans="1:7" ht="15" customHeight="1">
      <c r="A125" s="115">
        <f>IF(claim602.4.1="Met", 1, 0)</f>
        <v>0</v>
      </c>
      <c r="B125" s="115">
        <f>IF(OR(claim701.4.3.4="Met",claim701.4.3.4="No Recessed Fixtures"), 1, 0)</f>
        <v>0</v>
      </c>
      <c r="C125" s="700"/>
      <c r="D125" s="700">
        <f>IF(OR(claim901.4_1=N103,claim901.4_1=N105), 1, 0)</f>
        <v>0</v>
      </c>
      <c r="F125" s="700"/>
      <c r="G125" s="700"/>
    </row>
    <row r="126" spans="1:7" ht="15" customHeight="1">
      <c r="A126" s="838" t="str">
        <f>CONCATENATE("Sum of ch6 Mandatory: ", SUM(ch6Mandatory))</f>
        <v>Sum of ch6 Mandatory: 0</v>
      </c>
      <c r="B126" s="115">
        <f>IF(claim701.4.4="Met", 1, 0)</f>
        <v>0</v>
      </c>
      <c r="C126" s="700"/>
      <c r="D126" s="700">
        <f>IF(claim901.6_1=U103, 1, 0)</f>
        <v>0</v>
      </c>
      <c r="F126" s="700"/>
      <c r="G126" s="1812" t="b">
        <f>OR(ch7blowerdoor&lt;&gt;"",ch7ACH50&lt;&gt;"")</f>
        <v>0</v>
      </c>
    </row>
    <row r="127" spans="1:7" ht="15" customHeight="1">
      <c r="A127" s="838"/>
      <c r="B127" s="115">
        <f>IF(OR(claim701.4.5="Met",'Ch7'!B64="x"), 1, 0)</f>
        <v>0</v>
      </c>
      <c r="C127" s="888"/>
      <c r="D127" s="888">
        <f>IF(OR(choice902.1.1_1=X103,choice902.1.1_1=X104), 1, 0)</f>
        <v>0</v>
      </c>
      <c r="F127" s="888"/>
      <c r="G127" s="1812" t="b">
        <f>OR(ch7blowerdoor&lt;5,ch7ACH50&lt;5)</f>
        <v>1</v>
      </c>
    </row>
    <row r="128" spans="1:7" ht="15" customHeight="1">
      <c r="A128" s="838"/>
      <c r="B128" s="115">
        <f>IF(OR(AND(choice701.1="Performance Path",claim702.2.1="Met"),choice701.1="Alternative Bronze", choice701.1="Prescriptive Path"),1,0)</f>
        <v>0</v>
      </c>
      <c r="C128" s="888"/>
      <c r="D128" s="888">
        <f>IF(OR(claim902.1.1_2=Y103,claim902.1.1_2=Y105), 1, 0)</f>
        <v>0</v>
      </c>
      <c r="E128" s="838" t="s">
        <v>2593</v>
      </c>
      <c r="F128" s="888"/>
      <c r="G128" s="888"/>
    </row>
    <row r="129" spans="1:7" ht="15" customHeight="1">
      <c r="A129" s="838"/>
      <c r="B129" s="115">
        <f>IF(OR(AND(choice701.1="Prescriptive Path",claim703.1.6.1="Met"),choice701.1="Alternative Bronze", choice701.1="Performance Path"),1,0)</f>
        <v>0</v>
      </c>
      <c r="C129" s="888"/>
      <c r="D129" s="888">
        <f>IF(AND(E129=1,OR(choice902.2.1="",choice902.2.1="Not Met")), 0, 1)</f>
        <v>1</v>
      </c>
      <c r="E129" s="115">
        <f>IF(claim703.1.5&gt;0,1,IF(OR(ch7blowerdoor&lt;&gt;"",ch7ACH50&lt;&gt;""),IF(OR(ch7blowerdoor&lt;5,ch7ACH50&lt;5),1,0),0))</f>
        <v>0</v>
      </c>
      <c r="F129" s="888"/>
      <c r="G129" s="888"/>
    </row>
    <row r="130" spans="1:7" ht="15" customHeight="1">
      <c r="A130" s="838"/>
      <c r="B130" s="115" t="str">
        <f>CONCATENATE("ch7 man sum:",SUM(ch7Mandatory))</f>
        <v>ch7 man sum:0</v>
      </c>
      <c r="C130" s="888"/>
      <c r="D130" s="888">
        <f>IF(claim902.3&lt;&gt;"", 1, 0)</f>
        <v>0</v>
      </c>
      <c r="F130" s="888"/>
      <c r="G130" s="888"/>
    </row>
    <row r="131" spans="1:7" ht="15" customHeight="1">
      <c r="A131" s="838"/>
      <c r="C131" s="888"/>
      <c r="D131" s="888">
        <f>IF(claim902.6=AH103, 1, 0)</f>
        <v>0</v>
      </c>
      <c r="F131" s="888"/>
      <c r="G131" s="888"/>
    </row>
    <row r="132" spans="1:7" ht="15" customHeight="1">
      <c r="A132" s="838"/>
      <c r="C132" s="888"/>
      <c r="D132" s="838" t="str">
        <f>CONCATENATE("Sum of ch9 Mandatory: ", SUM(ch9MandatoryCount))</f>
        <v>Sum of ch9 Mandatory: 1</v>
      </c>
      <c r="F132" s="888"/>
      <c r="G132" s="888"/>
    </row>
    <row r="133" spans="1:7" ht="15" customHeight="1">
      <c r="C133" s="700"/>
      <c r="D133" s="700"/>
      <c r="F133" s="700"/>
      <c r="G133" s="700"/>
    </row>
    <row r="134" spans="1:7">
      <c r="A134" s="711" t="s">
        <v>215</v>
      </c>
    </row>
    <row r="135" spans="1:7" s="710" customFormat="1">
      <c r="A135" s="710" t="s">
        <v>216</v>
      </c>
      <c r="B135" s="710" t="s">
        <v>217</v>
      </c>
      <c r="C135" s="710" t="s">
        <v>219</v>
      </c>
      <c r="D135" s="710" t="s">
        <v>218</v>
      </c>
      <c r="E135" s="710" t="s">
        <v>220</v>
      </c>
    </row>
    <row r="136" spans="1:7">
      <c r="A136" s="115" t="str">
        <f>IF(finalLevelReached="Emerald","This project has met all the EMERALD requirements",IF(finalLevelReached="Gold","This project has met all the GOLD requirements",IF(finalLevelReached="Silver","This project has met all the SILVER requirements",IF(finalLevelReached="Bronze","This project has met all the BRONZE requirements", "This project has not met all the requirements for Bronze, Silver, Gold, or Emerald."))))</f>
        <v>This project has not met all the requirements for Bronze, Silver, Gold, or Emerald.</v>
      </c>
      <c r="B136" s="115">
        <f>SUM(231+additionalPoints)</f>
        <v>231</v>
      </c>
      <c r="C136" s="115">
        <f>SUM(349+additionalPoints)</f>
        <v>349</v>
      </c>
      <c r="D136" s="115">
        <f>SUM(509+additionalPoints)</f>
        <v>509</v>
      </c>
      <c r="E136" s="115">
        <f>SUM(641+additionalPoints)</f>
        <v>641</v>
      </c>
    </row>
    <row r="138" spans="1:7">
      <c r="A138" s="115" t="s">
        <v>221</v>
      </c>
    </row>
    <row r="139" spans="1:7">
      <c r="A139" s="115" t="str">
        <f>IF(AND(OR(subLevelReached="Emerald", subLevelReached="Gold"), HEToilets="Not Met"), "Silver", subLevelReached)</f>
        <v>Nothing</v>
      </c>
    </row>
    <row r="141" spans="1:7">
      <c r="A141" s="115" t="s">
        <v>222</v>
      </c>
    </row>
    <row r="142" spans="1:7">
      <c r="A142" s="115" t="str">
        <f>IF(AND(projectValue=4,projectTotal&gt;=emeraldMinimum,mandatoryStatus="Met",section702req="meets",section704req="meets"),"Emerald",IF(AND(projectValue&gt;=3,projectTotal&gt;=goldMinimum,mandatoryStatus="Met",section704req="meets",OR(section702req="meets",section703req="meets")),"Gold",IF(AND(projectValue&gt;=2,projectTotal&gt;=silverMinimum,mandatoryStatus="Met",section704req="meets",OR(section702req="meets",section703req="meets")),"Silver",IF(AND(projectValue&gt;=1,projectTotal&gt;=bronzeMinimum,mandatoryStatus="Met",OR(AND(section702req="meets",section704req="meets"),AND(section703req="meets",section704req="meets"),energypath="Alternative Bronze")),"Bronze","Nothing"))))</f>
        <v>Nothing</v>
      </c>
    </row>
    <row r="144" spans="1:7">
      <c r="A144" s="115" t="s">
        <v>223</v>
      </c>
    </row>
    <row r="145" spans="1:10">
      <c r="A145" s="724">
        <f>ch5Total</f>
        <v>0</v>
      </c>
      <c r="B145" s="115" t="s">
        <v>225</v>
      </c>
    </row>
    <row r="146" spans="1:10">
      <c r="A146" s="115">
        <f>ch6Total</f>
        <v>0</v>
      </c>
      <c r="B146" s="115" t="s">
        <v>226</v>
      </c>
    </row>
    <row r="147" spans="1:10">
      <c r="A147" s="115">
        <f>ch7TotalScore</f>
        <v>0</v>
      </c>
      <c r="B147" s="115" t="s">
        <v>230</v>
      </c>
      <c r="E147" s="1039" t="s">
        <v>1979</v>
      </c>
      <c r="F147" s="1039" t="str">
        <f>IF(SUM(projectMandatoryCount)=4, "Met", "Not Met")</f>
        <v>Not Met</v>
      </c>
    </row>
    <row r="148" spans="1:10">
      <c r="A148" s="115">
        <f>ch8TotalScore</f>
        <v>0</v>
      </c>
      <c r="B148" s="115" t="s">
        <v>227</v>
      </c>
      <c r="E148" s="1039" t="s">
        <v>1980</v>
      </c>
      <c r="F148" s="1039" t="str">
        <f>IF(claim801.5_1="Met","Met", "Not Met")</f>
        <v>Not Met</v>
      </c>
    </row>
    <row r="149" spans="1:10">
      <c r="A149" s="115">
        <f>ch9TotalScore</f>
        <v>0</v>
      </c>
      <c r="B149" s="115" t="s">
        <v>228</v>
      </c>
    </row>
    <row r="150" spans="1:10">
      <c r="A150" s="115">
        <f>ch10TotalScore</f>
        <v>0</v>
      </c>
      <c r="B150" s="115" t="s">
        <v>229</v>
      </c>
    </row>
    <row r="151" spans="1:10">
      <c r="A151" s="115">
        <f>SUM(A145:A150)</f>
        <v>0</v>
      </c>
      <c r="B151" s="115" t="s">
        <v>224</v>
      </c>
    </row>
    <row r="152" spans="1:10">
      <c r="F152" s="1039"/>
      <c r="G152" s="838"/>
      <c r="H152" s="1039"/>
    </row>
    <row r="153" spans="1:10">
      <c r="A153" s="115" t="s">
        <v>326</v>
      </c>
      <c r="F153" s="1039"/>
      <c r="G153" s="838"/>
      <c r="H153" s="1039"/>
      <c r="I153" s="838"/>
      <c r="J153" s="1039"/>
    </row>
    <row r="154" spans="1:10">
      <c r="A154" s="115">
        <f>IF(startSquareFootage&gt;4000,(startSquareFootage-4000),0)</f>
        <v>0</v>
      </c>
      <c r="H154" s="1039"/>
      <c r="I154" s="838"/>
      <c r="J154" s="1039"/>
    </row>
    <row r="155" spans="1:10">
      <c r="A155" s="115">
        <f>IF(A154&gt;0,A154/100,0)</f>
        <v>0</v>
      </c>
    </row>
    <row r="156" spans="1:10">
      <c r="A156" s="115">
        <f>ROUNDUP(A155,0)</f>
        <v>0</v>
      </c>
    </row>
    <row r="158" spans="1:10" s="1039" customFormat="1">
      <c r="A158" s="1252"/>
    </row>
    <row r="159" spans="1:10" s="1039" customFormat="1">
      <c r="A159" s="1255" t="s">
        <v>1988</v>
      </c>
      <c r="C159" s="1032"/>
    </row>
    <row r="160" spans="1:10" s="1039" customFormat="1">
      <c r="A160" s="838">
        <f>choice701.1</f>
        <v>0</v>
      </c>
      <c r="C160" s="838"/>
    </row>
    <row r="162" spans="1:5">
      <c r="A162" s="115" t="s">
        <v>1983</v>
      </c>
    </row>
    <row r="163" spans="1:5">
      <c r="A163" s="115" t="s">
        <v>1984</v>
      </c>
      <c r="C163" s="115" t="s">
        <v>1985</v>
      </c>
      <c r="E163" s="115" t="s">
        <v>1986</v>
      </c>
    </row>
    <row r="164" spans="1:5">
      <c r="A164" s="115">
        <f>claim703.1.1</f>
        <v>0</v>
      </c>
      <c r="C164" s="115">
        <f>IF(claim704.2.1&gt;0, 1, 0)</f>
        <v>0</v>
      </c>
      <c r="E164" s="115">
        <f>IF(claim702.2.2&gt;0, 1, 0)</f>
        <v>0</v>
      </c>
    </row>
    <row r="165" spans="1:5">
      <c r="A165" s="115">
        <f>score703.1.2</f>
        <v>0</v>
      </c>
      <c r="C165" s="115">
        <f>IF(claim704.2.2&gt;0, 1, 0)</f>
        <v>0</v>
      </c>
      <c r="E165" s="115" t="str">
        <f>IF(E164=1, "meets", "does not meet")</f>
        <v>does not meet</v>
      </c>
    </row>
    <row r="166" spans="1:5">
      <c r="A166" s="115">
        <f>claim703.1.3</f>
        <v>0</v>
      </c>
      <c r="C166" s="115">
        <f>IF(claim704.2.3&gt;0, 1, 0)</f>
        <v>0</v>
      </c>
    </row>
    <row r="167" spans="1:5">
      <c r="A167" s="115">
        <f>claim703.1.4</f>
        <v>0</v>
      </c>
      <c r="C167" s="115">
        <f>IF(claim704.3&gt;0, 1, 0)</f>
        <v>0</v>
      </c>
    </row>
    <row r="168" spans="1:5">
      <c r="A168" s="115">
        <f>claim703.1.5</f>
        <v>0</v>
      </c>
      <c r="C168" s="115">
        <f>IF(claim704.4.1&gt;0, 1, 0)</f>
        <v>0</v>
      </c>
    </row>
    <row r="169" spans="1:5">
      <c r="A169" s="115">
        <f>claim703.1.6.2</f>
        <v>0</v>
      </c>
      <c r="C169" s="115">
        <f>IF(claim704.4.2&gt;0, 1, 0)</f>
        <v>0</v>
      </c>
    </row>
    <row r="170" spans="1:5">
      <c r="A170" s="115">
        <f>claim703.2.1</f>
        <v>0</v>
      </c>
      <c r="C170" s="115">
        <f>IF(claim704.4.3&gt;0, 1, 0)</f>
        <v>0</v>
      </c>
    </row>
    <row r="171" spans="1:5">
      <c r="A171" s="115">
        <f>claim703.2.2</f>
        <v>0</v>
      </c>
      <c r="C171" s="115">
        <f>IF(claim704.5.1&gt;0, 1, 0)</f>
        <v>0</v>
      </c>
    </row>
    <row r="172" spans="1:5">
      <c r="A172" s="115">
        <f>claim703.2.3</f>
        <v>0</v>
      </c>
      <c r="C172" s="115">
        <f>IF(claim704.5.2.1_1&gt;0, 1, 0)</f>
        <v>0</v>
      </c>
    </row>
    <row r="173" spans="1:5">
      <c r="A173" s="115">
        <f>claim703.2.4</f>
        <v>0</v>
      </c>
      <c r="C173" s="115">
        <f>IF(AND(claim704.5.2.1_2&gt;0,claim704.5.2.1_1&gt;0), 1, 0)</f>
        <v>0</v>
      </c>
    </row>
    <row r="174" spans="1:5">
      <c r="A174" s="724">
        <f>claim703.2.5</f>
        <v>0</v>
      </c>
      <c r="C174" s="115">
        <f>IF(claim704.5.2.2&gt;0, 1, 0)</f>
        <v>0</v>
      </c>
    </row>
    <row r="175" spans="1:5">
      <c r="A175" s="115">
        <f>claim703.2.6</f>
        <v>0</v>
      </c>
      <c r="C175" s="115">
        <f>IF(claim704.5.3&gt;0, 1, 0)</f>
        <v>0</v>
      </c>
    </row>
    <row r="176" spans="1:5">
      <c r="A176" s="115">
        <f>claim703.2.7</f>
        <v>0</v>
      </c>
      <c r="C176" s="115">
        <f>SUM(C164:C175)</f>
        <v>0</v>
      </c>
      <c r="D176" s="1254" t="s">
        <v>1987</v>
      </c>
    </row>
    <row r="177" spans="1:4">
      <c r="A177" s="115">
        <f>claim703.2.8</f>
        <v>0</v>
      </c>
      <c r="C177" s="115" t="str">
        <f>IF(C176&lt;2, "does not meet", "meets")</f>
        <v>does not meet</v>
      </c>
    </row>
    <row r="178" spans="1:4">
      <c r="A178" s="115">
        <f>IF(AND(claim703.2.9&gt;0,startSingleorMulti="Multi-Unit",startMultiUnits&gt;1),1,0)</f>
        <v>0</v>
      </c>
    </row>
    <row r="179" spans="1:4">
      <c r="A179" s="115">
        <f>claim703.3.1</f>
        <v>0</v>
      </c>
      <c r="C179" s="838" t="s">
        <v>2631</v>
      </c>
    </row>
    <row r="180" spans="1:4">
      <c r="A180" s="115">
        <f>claim703.3.2</f>
        <v>0</v>
      </c>
      <c r="C180" s="724">
        <f>IF('Verification Rpt'!I481&gt;0,1,)</f>
        <v>0</v>
      </c>
    </row>
    <row r="181" spans="1:4">
      <c r="A181" s="115">
        <f>claim703.3.3</f>
        <v>0</v>
      </c>
      <c r="C181" s="724">
        <f>IF(SUM('Verification Rpt'!H483,af704.2.2)&gt;0,1,)</f>
        <v>0</v>
      </c>
    </row>
    <row r="182" spans="1:4">
      <c r="A182" s="115">
        <f>claim703.3.4</f>
        <v>0</v>
      </c>
      <c r="C182" s="724">
        <f>IF('Verification Rpt'!H484&gt;0,1,)</f>
        <v>0</v>
      </c>
    </row>
    <row r="183" spans="1:4">
      <c r="A183" s="115">
        <f>claim703.4.1</f>
        <v>0</v>
      </c>
      <c r="C183" s="724">
        <f>IF(SUM('Verification Rpt'!H485,af704.3)&gt;0,1,)</f>
        <v>0</v>
      </c>
    </row>
    <row r="184" spans="1:4">
      <c r="A184" s="115">
        <f>claim703.4.2</f>
        <v>0</v>
      </c>
      <c r="C184" s="724">
        <f>IF(SUM('Verification Rpt'!H487,af704.4.1)&gt;0,1,)</f>
        <v>0</v>
      </c>
    </row>
    <row r="185" spans="1:4">
      <c r="A185" s="115">
        <f>IF(AND(claim703.4.3&gt;0,startSingleorMulti="Multi-Unit",startMultiUnits&gt;1),2,0)</f>
        <v>0</v>
      </c>
      <c r="C185" s="724">
        <f>IF(SUM('Verification Rpt'!H488,af704.4.2)&gt;0,1,)</f>
        <v>0</v>
      </c>
    </row>
    <row r="186" spans="1:4">
      <c r="A186" s="115">
        <f>IF(AND(claim703.4.4&gt;0,OR(startHVAC1="Boiler",startHVAC2="Boiler",startHVAC3="Boiler")),1,0)</f>
        <v>0</v>
      </c>
      <c r="C186" s="724">
        <f>IF(SUM('Verification Rpt'!H489,af704.4.3)&gt;0,1,)</f>
        <v>0</v>
      </c>
    </row>
    <row r="187" spans="1:4">
      <c r="A187" s="115">
        <f>claim703.4.5</f>
        <v>0</v>
      </c>
      <c r="C187" s="724">
        <f>IF(SUM('Verification Rpt'!I491,ar704.5.1)&gt;0,1,)</f>
        <v>0</v>
      </c>
    </row>
    <row r="188" spans="1:4">
      <c r="A188" s="115">
        <f>claim703.5.1</f>
        <v>0</v>
      </c>
      <c r="C188" s="724">
        <f>IF(SUM('Verification Rpt'!I499,af704.5.2.1_2)&gt;0,1,)</f>
        <v>0</v>
      </c>
    </row>
    <row r="189" spans="1:4">
      <c r="A189" s="724">
        <f>'Ch7'!P233</f>
        <v>0</v>
      </c>
      <c r="C189" s="724">
        <f>IF('Verification Rpt'!I501&gt;0,1,)</f>
        <v>0</v>
      </c>
    </row>
    <row r="190" spans="1:4">
      <c r="A190" s="115">
        <f>claim703.5.2</f>
        <v>0</v>
      </c>
      <c r="C190" s="724">
        <f>IF(SUM('Verification Rpt'!I504,ar704.5.3)&gt;0,1,)</f>
        <v>0</v>
      </c>
    </row>
    <row r="191" spans="1:4">
      <c r="A191" s="115">
        <f>claim703.5.3_1</f>
        <v>0</v>
      </c>
      <c r="C191" s="724">
        <f>IF('Verification Rpt'!I495&gt;0,1,)</f>
        <v>0</v>
      </c>
    </row>
    <row r="192" spans="1:4">
      <c r="A192" s="115">
        <f>claim703.5.3_2</f>
        <v>0</v>
      </c>
      <c r="C192" s="724">
        <f>SUM(C180:C191)</f>
        <v>0</v>
      </c>
      <c r="D192" s="1254" t="s">
        <v>1987</v>
      </c>
    </row>
    <row r="193" spans="1:5">
      <c r="A193" s="115">
        <f>claim703.5.3_3</f>
        <v>0</v>
      </c>
    </row>
    <row r="194" spans="1:5">
      <c r="A194" s="115">
        <f>claim703.5.4</f>
        <v>0</v>
      </c>
    </row>
    <row r="195" spans="1:5" s="1039" customFormat="1">
      <c r="A195" s="1039">
        <f>claim703.6.1</f>
        <v>0</v>
      </c>
    </row>
    <row r="196" spans="1:5" s="1039" customFormat="1">
      <c r="A196" s="1039">
        <f>claim703.6.2</f>
        <v>0</v>
      </c>
    </row>
    <row r="197" spans="1:5" s="1039" customFormat="1">
      <c r="A197" s="1039">
        <f>claim703.6.3_1</f>
        <v>0</v>
      </c>
    </row>
    <row r="198" spans="1:5" s="1039" customFormat="1">
      <c r="A198" s="1039">
        <f>IF(AND(claim703.6.3_2&gt;0,claim703.6.1=0),1,0)</f>
        <v>0</v>
      </c>
    </row>
    <row r="199" spans="1:5" s="1039" customFormat="1">
      <c r="A199" s="1039">
        <f>claim703.6.3_3</f>
        <v>0</v>
      </c>
    </row>
    <row r="200" spans="1:5" s="1039" customFormat="1">
      <c r="A200" s="1039">
        <f>claim703.6.3_4</f>
        <v>0</v>
      </c>
    </row>
    <row r="201" spans="1:5" s="1039" customFormat="1">
      <c r="A201" s="1039">
        <f>claim703.6.3_5</f>
        <v>0</v>
      </c>
    </row>
    <row r="202" spans="1:5" s="1039" customFormat="1">
      <c r="A202" s="1039">
        <f>claim703.6.3_6</f>
        <v>0</v>
      </c>
    </row>
    <row r="203" spans="1:5" s="1039" customFormat="1">
      <c r="A203" s="1039">
        <f>IF(AND(claim703.6.4&gt;0,claim703.6.1&gt;0),4,0)</f>
        <v>0</v>
      </c>
    </row>
    <row r="204" spans="1:5" s="1039" customFormat="1">
      <c r="A204" s="115">
        <f>SUM(A164:A203)</f>
        <v>0</v>
      </c>
      <c r="B204" s="1254" t="s">
        <v>1987</v>
      </c>
    </row>
    <row r="205" spans="1:5" s="1039" customFormat="1">
      <c r="A205" s="115" t="str">
        <f>IF(A204&lt;30, "does not meet", "meets")</f>
        <v>does not meet</v>
      </c>
    </row>
    <row r="207" spans="1:5" s="1032" customFormat="1">
      <c r="A207" s="1032" t="s">
        <v>1989</v>
      </c>
    </row>
    <row r="208" spans="1:5">
      <c r="C208" s="115" t="s">
        <v>1990</v>
      </c>
      <c r="D208" s="115" t="str">
        <f>IF(ch10TotalScore&gt;=ch10EmeraldMin, "Emerald", IF(ch10TotalScore&gt;=ch10GoldMin, "Gold", IF(ch10TotalScore&gt;=ch10SilverMin, "Silver", IF(ch10TotalScore&gt;=ch10BronzeMin, "Bronze", "Nothing"))))</f>
        <v>Nothing</v>
      </c>
      <c r="E208" s="115">
        <f>IF(ch10Level="Emerald", 4, IF(ch10Level="Gold", 3, IF(ch10Level="Silver", 2, IF(ch10Level="Bronze", 1, 0))))</f>
        <v>0</v>
      </c>
    </row>
    <row r="209" spans="1:9">
      <c r="C209" s="115" t="s">
        <v>1991</v>
      </c>
      <c r="D209" s="115" t="str">
        <f>IF(ch9TotalScore&gt;=ch9EmeraldMin, "Emerald", IF(ch9TotalScore&gt;=ch9GoldMin, "Gold", IF(ch9TotalScore&gt;=ch9SilverMin, "Silver", IF(ch9TotalScore&gt;=ch9BronzeMin, "Bronze", "Nothing"))))</f>
        <v>Nothing</v>
      </c>
      <c r="E209" s="115">
        <f>IF(ch9Level="Emerald", 4, IF(ch9Level="Gold", 3, IF(ch9Level="Silver", 2, IF(ch9Level="Bronze", 1, 0))))</f>
        <v>0</v>
      </c>
    </row>
    <row r="210" spans="1:9">
      <c r="C210" s="115" t="s">
        <v>1992</v>
      </c>
      <c r="D210" s="115" t="str">
        <f>IF(ch8TotalScore&gt;=ch8EmeraldMin, "Emerald", IF(ch8TotalScore&gt;=ch8GoldMin, "Gold", IF(ch8TotalScore&gt;=ch8SilverMin, "Silver", IF(ch8TotalScore&gt;=ch8BronzeMin, "Bronze", "Nothing"))))</f>
        <v>Nothing</v>
      </c>
      <c r="E210" s="115">
        <f>IF(ch8Level="Emerald", 4, IF(ch8Level="Gold", 3, IF(ch8Level="Silver", 2, IF(ch8Level="Bronze", 1, 0))))</f>
        <v>0</v>
      </c>
    </row>
    <row r="211" spans="1:9">
      <c r="C211" s="115" t="s">
        <v>1993</v>
      </c>
      <c r="D211" s="115" t="str">
        <f>IF(OR(choice701.1="Alternative Bronze",choice703.1.2="Grade 2"), "Bronze", IF(ch7TotalScore&gt;=ch7EmeraldMin, "Emerald", IF(ch7TotalScore&gt;=ch7GoldMin, "Gold", IF(ch7TotalScore&gt;=ch7SilverMin, "Silver", IF(ch7TotalScore&gt;=ch7BronzeMin, "Bronze", "Nothing")))))</f>
        <v>Nothing</v>
      </c>
      <c r="E211" s="115">
        <f>IF(ch7Level="Emerald", 4, IF(ch7Level="Gold", 3, IF(ch7Level="Silver", 2, IF(ch7Level="Bronze", 1, 0))))</f>
        <v>0</v>
      </c>
    </row>
    <row r="212" spans="1:9">
      <c r="C212" s="115" t="s">
        <v>1994</v>
      </c>
      <c r="D212" s="115" t="str">
        <f>IF(ch6TotalScore&gt;=ch6EmeraldMin, "Emerald", IF(ch6TotalScore&gt;=ch6GoldMin, "Gold", IF(ch6TotalScore&gt;=ch6SilverMin, "Silver", IF(ch6TotalScore&gt;=ch6BronzeMin, "Bronze", "Nothing"))))</f>
        <v>Nothing</v>
      </c>
      <c r="E212" s="115">
        <f>IF(ch6Level="Emerald", 4, IF(ch6Level="Gold", 3, IF(ch6Level="Silver", 2, IF(ch6Level="Bronze", 1, 0))))</f>
        <v>0</v>
      </c>
    </row>
    <row r="213" spans="1:9">
      <c r="C213" s="115" t="s">
        <v>1995</v>
      </c>
      <c r="D213" s="115" t="str">
        <f>IF(ch5TotalScore&gt;=ch5EmeraldMin, "Emerald", IF(ch5TotalScore&gt;=ch5GoldMin, "Gold", IF(ch5TotalScore&gt;=ch5SilverMin, "Silver", IF(ch5TotalScore&gt;=ch5BronzeMin, "Bronze", "Nothing"))))</f>
        <v>Nothing</v>
      </c>
      <c r="E213" s="115">
        <f>IF(ch5Level="Emerald", 4, IF(ch5Level="Gold", 3, IF(ch5Level="Silver", 2, IF(ch5Level="Bronze", 1, 0))))</f>
        <v>0</v>
      </c>
    </row>
    <row r="214" spans="1:9">
      <c r="C214" s="115" t="s">
        <v>1996</v>
      </c>
      <c r="D214" s="115" t="str">
        <f>IF(projectValue=4,"Emerald",IF(projectValue=3,"Gold",IF(projectValue=2,"Silver",IF(projectValue=1,"Bronze","Nothing"))))</f>
        <v>Nothing</v>
      </c>
      <c r="E214" s="115">
        <f>MIN(E208:E213)</f>
        <v>0</v>
      </c>
      <c r="F214" s="1256" t="s">
        <v>2002</v>
      </c>
    </row>
    <row r="216" spans="1:9">
      <c r="C216" s="115" t="s">
        <v>1997</v>
      </c>
      <c r="D216" s="115">
        <f>projectTotal</f>
        <v>0</v>
      </c>
    </row>
    <row r="217" spans="1:9">
      <c r="C217" s="115" t="s">
        <v>1998</v>
      </c>
      <c r="D217" s="115">
        <f>bronzeMinimum</f>
        <v>231</v>
      </c>
    </row>
    <row r="218" spans="1:9">
      <c r="C218" s="115" t="s">
        <v>1999</v>
      </c>
      <c r="D218" s="115">
        <f>silverMinimum</f>
        <v>349</v>
      </c>
    </row>
    <row r="219" spans="1:9">
      <c r="C219" s="115" t="s">
        <v>2000</v>
      </c>
      <c r="D219" s="115">
        <f>goldMinimum</f>
        <v>509</v>
      </c>
    </row>
    <row r="220" spans="1:9">
      <c r="C220" s="115" t="s">
        <v>2001</v>
      </c>
      <c r="D220" s="115">
        <f>emeraldMinimum</f>
        <v>641</v>
      </c>
    </row>
    <row r="224" spans="1:9">
      <c r="A224" s="1957" t="s">
        <v>2639</v>
      </c>
      <c r="B224" s="1958"/>
      <c r="C224" s="1958"/>
      <c r="D224" s="1958"/>
      <c r="E224" s="1962"/>
      <c r="F224" s="1959" t="s">
        <v>2641</v>
      </c>
      <c r="G224" s="1958"/>
      <c r="I224" s="1811" t="s">
        <v>2773</v>
      </c>
    </row>
    <row r="225" spans="1:9">
      <c r="A225" s="1955" t="s">
        <v>1272</v>
      </c>
      <c r="B225" s="1955"/>
      <c r="C225" s="836"/>
      <c r="D225" s="836"/>
      <c r="E225" s="1955"/>
      <c r="F225" s="836"/>
      <c r="G225" s="836"/>
      <c r="I225" s="115">
        <f>IF('Verification Rpt'!I768="",0,1)</f>
        <v>0</v>
      </c>
    </row>
    <row r="226" spans="1:9" ht="120">
      <c r="A226" s="722" t="s">
        <v>226</v>
      </c>
      <c r="B226" s="722" t="s">
        <v>230</v>
      </c>
      <c r="C226" s="837"/>
      <c r="D226" s="837" t="s">
        <v>228</v>
      </c>
      <c r="E226" s="722" t="s">
        <v>1511</v>
      </c>
      <c r="F226" s="1960" t="s">
        <v>2642</v>
      </c>
      <c r="G226" s="837"/>
      <c r="I226" s="1811">
        <f>IF('Verification Rpt'!I769="",0,1)</f>
        <v>0</v>
      </c>
    </row>
    <row r="227" spans="1:9" ht="45">
      <c r="A227" s="1811">
        <f>IF(OR(claim602.1.1.1="Met",claim602.1.1.1="No Slabs",'Ch6'!B161="x"), 1, 0)</f>
        <v>0</v>
      </c>
      <c r="B227" s="1811">
        <f>IF(claim701.3="Met", 1, 0)</f>
        <v>0</v>
      </c>
      <c r="C227" s="1812"/>
      <c r="D227" s="1812" t="e">
        <f>IF(choice901.1.1="",0,1)</f>
        <v>#NAME?</v>
      </c>
      <c r="E227" s="1811">
        <f>IF('Ch6'!P114="Met",1,0)</f>
        <v>0</v>
      </c>
      <c r="F227" s="1961" t="s">
        <v>2643</v>
      </c>
      <c r="G227" s="1812"/>
      <c r="I227" s="1811">
        <f>IF('Verification Rpt'!I770="",0,1)</f>
        <v>0</v>
      </c>
    </row>
    <row r="228" spans="1:9" ht="45">
      <c r="A228" s="1811">
        <f>IF(OR(claim602.1.3.1="Met",claim602.1.3.1="No habitable or usable space below grade",'Ch6'!B166="x"), 1, 0)</f>
        <v>0</v>
      </c>
      <c r="B228" s="1811">
        <f>IF(claim701.4.1.1="Met", 1, 0)</f>
        <v>0</v>
      </c>
      <c r="C228" s="1812"/>
      <c r="D228" s="1812">
        <f>IF(OR(claim901.1.4=D215,claim901.1.4=D217), 1, 0)</f>
        <v>1</v>
      </c>
      <c r="E228" s="1811">
        <f>IF('Ch7'!P114="Met", 1, 0)</f>
        <v>0</v>
      </c>
      <c r="F228" s="1961" t="s">
        <v>2645</v>
      </c>
      <c r="G228" s="1812"/>
      <c r="I228" s="1811">
        <f>IF('Verification Rpt'!I771="",0,1)</f>
        <v>0</v>
      </c>
    </row>
    <row r="229" spans="1:9" ht="60">
      <c r="A229" s="1811">
        <f>IF(OR(claim602.1.4.1_2="Met",claim602.1.4.1_2="No crawlspace",claim602.1.4.1_2="No below grade crawlspace walls",'Ch6'!B171="x"), 1, 0)</f>
        <v>0</v>
      </c>
      <c r="B229" s="1811">
        <f>IF(OR(claim701.4.1.2="Met",claim701.4.1.2="N/A",'Ch7'!B132="x",claim701.4.1.2=D174), 1, 0)</f>
        <v>1</v>
      </c>
      <c r="C229" s="1812"/>
      <c r="D229" s="1812">
        <f>IF(OR(choice901.2.1_1=F215,choice901.2.1_1=F217), 1, 0)</f>
        <v>1</v>
      </c>
      <c r="E229" s="1811">
        <f>IF('Ch9'!O117="Met",1,0)</f>
        <v>0</v>
      </c>
      <c r="F229" s="1961" t="s">
        <v>2644</v>
      </c>
      <c r="G229" s="1812"/>
      <c r="I229" s="1811">
        <f>IF('Verification Rpt'!I772="",0,1)</f>
        <v>0</v>
      </c>
    </row>
    <row r="230" spans="1:9">
      <c r="A230" s="1811">
        <f>IF(OR(claim602.1.4.2_2="Met",claim602.1.4.2_2="No crawlspace",'Ch6'!B176="x"), 1, 0)</f>
        <v>0</v>
      </c>
      <c r="B230" s="1811">
        <f>IF(OR(claim701.4.2.1="Met",claim701.4.2.1="No duct system installed"), 1, 0)</f>
        <v>0</v>
      </c>
      <c r="C230" s="1812"/>
      <c r="D230" s="1812">
        <f>IF(OR(choice901.2.1_1=F215,choice901.2.1_1=F217), 1, 0)</f>
        <v>1</v>
      </c>
      <c r="E230" s="1811" t="e">
        <f>IF('Ch10'!#REF!="Met",1,0)</f>
        <v>#REF!</v>
      </c>
      <c r="F230" s="1812"/>
      <c r="G230" s="1812"/>
      <c r="I230" s="1811">
        <f>IF('Verification Rpt'!I773="",0,1)</f>
        <v>0</v>
      </c>
    </row>
    <row r="231" spans="1:9">
      <c r="A231" s="1811">
        <f>IF(OR(choice602.1.7.1_2="Met",choice602.1.7.1_2="N/A"), 1, 0)</f>
        <v>0</v>
      </c>
      <c r="B231" s="1811">
        <f>IF(OR(claim701.4.2.2="Met",claim701.4.2.2="No Duct System",startDuctless="Yes"), 1, 0)</f>
        <v>0</v>
      </c>
      <c r="C231" s="1812"/>
      <c r="D231" s="1812">
        <f>IF(OR(choice901.2.1_2=G215,choice901.2.1_2=G217), 1, 0)</f>
        <v>1</v>
      </c>
      <c r="E231" s="1811"/>
      <c r="F231" s="1812"/>
      <c r="G231" s="1812"/>
      <c r="I231" s="1811">
        <f>IF('Verification Rpt'!I774="",0,1)</f>
        <v>0</v>
      </c>
    </row>
    <row r="232" spans="1:9">
      <c r="A232" s="1811">
        <f>IF(OR(claim602.1.8="Met",claim602.1.8="N/A"), 1, 0)</f>
        <v>0</v>
      </c>
      <c r="B232" s="1811">
        <f>IF(OR(claim701.4.2.3="Met",claim701.4.2.3="No Duct System",startDuctless="Yes"), 1, 0)</f>
        <v>0</v>
      </c>
      <c r="C232" s="1812"/>
      <c r="D232" s="1812">
        <f>IF(OR(choice901.2.1_3=H215,choice901.2.1_3=H217), 1, 0)</f>
        <v>1</v>
      </c>
      <c r="E232" s="1811"/>
      <c r="F232" s="1812"/>
      <c r="G232" s="1812"/>
      <c r="I232" s="1811">
        <f>IF('Verification Rpt'!I775="",0,1)</f>
        <v>0</v>
      </c>
    </row>
    <row r="233" spans="1:9">
      <c r="A233" s="1811">
        <f>IF(OR(claim602.1.9_1="Met",claim602.1.9_1="N/A"), 1, 0)</f>
        <v>0</v>
      </c>
      <c r="B233" s="1811">
        <f>IF(OR(claim701.4.3.1="Met",claim701.4.3.1="N/A"), 1, 0)</f>
        <v>0</v>
      </c>
      <c r="C233" s="1812"/>
      <c r="D233" s="1812">
        <f>IF(OR(choice901.2.1_4=I215,choice901.2.1_4=I217), 1, 0)</f>
        <v>1</v>
      </c>
      <c r="E233" s="1811"/>
      <c r="F233" s="1812"/>
      <c r="G233" s="1812"/>
      <c r="I233" s="1811">
        <f>IF('Verification Rpt'!I776="",0,1)</f>
        <v>0</v>
      </c>
    </row>
    <row r="234" spans="1:9">
      <c r="A234" s="1811">
        <f>IF(OR(claim602.1.11="Met",claim602.1.11="No tile in wet areas"), 1, 0)</f>
        <v>0</v>
      </c>
      <c r="B234" s="1811">
        <f>IF(OR(claim701.4.3.1="Met",claim701.4.3.1="N/A"), 1, 0)</f>
        <v>0</v>
      </c>
      <c r="C234" s="1812"/>
      <c r="D234" s="1812">
        <f>IF(OR(choice901.2.1_5=J215,choice901.2.1_5=J217), 1, 0)</f>
        <v>1</v>
      </c>
      <c r="E234" s="1811"/>
      <c r="F234" s="1812"/>
      <c r="G234" s="1812"/>
      <c r="I234" s="1811">
        <f>IF('Verification Rpt'!I777="",0,1)</f>
        <v>0</v>
      </c>
    </row>
    <row r="235" spans="1:9">
      <c r="A235" s="1811">
        <f>IF(OR(claim602.1.13="Met",claim602.1.13="No regional history of ice dams"), 1, 0)</f>
        <v>0</v>
      </c>
      <c r="B235" s="1811">
        <f>IF(claim701.4.3.2="Met", 1, 0)</f>
        <v>0</v>
      </c>
      <c r="C235" s="1812"/>
      <c r="D235" s="1812">
        <f>IF(OR(choice901.3_1_a=K215,choice901.3_1_a=K217,startAttachedGarage="No"), 1, 0)</f>
        <v>1</v>
      </c>
      <c r="E235" s="1811"/>
      <c r="F235" s="1812"/>
      <c r="G235" s="1812"/>
      <c r="I235" s="1811">
        <f>IF('Verification Rpt'!I778="",0,1)</f>
        <v>0</v>
      </c>
    </row>
    <row r="236" spans="1:9">
      <c r="A236" s="1811">
        <f>IF(OR(choice602.1.14_3=P152,choice602.1.14_3=P154), 1, 0)</f>
        <v>1</v>
      </c>
      <c r="B236" s="1811">
        <f>IF(claim701.4.3.3="Met", 1, 0)</f>
        <v>0</v>
      </c>
      <c r="C236" s="1812"/>
      <c r="D236" s="1812">
        <f>IF(OR(choice901.3_1_b=L215,choice901.3_1_b=L217,startAttachedGarage="No"), 1, 0)</f>
        <v>1</v>
      </c>
      <c r="E236" s="1811"/>
      <c r="F236" s="1812"/>
      <c r="G236" s="1812"/>
      <c r="I236" s="1811">
        <f>IF('Verification Rpt'!I779="",0,1)</f>
        <v>0</v>
      </c>
    </row>
    <row r="237" spans="1:9">
      <c r="A237" s="1811">
        <f>IF(claim602.4.1="Met", 1, 0)</f>
        <v>0</v>
      </c>
      <c r="B237" s="1811">
        <f>IF(OR(claim701.4.3.4="Met",claim701.4.3.4="No Recessed Fixtures"), 1, 0)</f>
        <v>0</v>
      </c>
      <c r="C237" s="1812"/>
      <c r="D237" s="1812">
        <f>IF(OR(claim901.4_1=N215,claim901.4_1=N217), 1, 0)</f>
        <v>1</v>
      </c>
      <c r="E237" s="1811"/>
      <c r="F237" s="1812"/>
      <c r="G237" s="1812"/>
      <c r="I237" s="1811">
        <f>IF('Verification Rpt'!I780="",0,1)</f>
        <v>0</v>
      </c>
    </row>
    <row r="238" spans="1:9">
      <c r="A238" s="838" t="str">
        <f>CONCATENATE("Sum of ch6 Mandatory: ", SUM(ch6Mandatory))</f>
        <v>Sum of ch6 Mandatory: 0</v>
      </c>
      <c r="B238" s="1811">
        <f>IF(claim701.4.4="Met", 1, 0)</f>
        <v>0</v>
      </c>
      <c r="C238" s="1812"/>
      <c r="D238" s="1812">
        <f>IF(claim901.6_1=U215, 1, 0)</f>
        <v>1</v>
      </c>
      <c r="E238" s="1811"/>
      <c r="F238" s="1812"/>
      <c r="G238" s="1812" t="b">
        <f>OR(ch7blowerdoor&lt;&gt;"",ch7ACH50&lt;&gt;"")</f>
        <v>0</v>
      </c>
      <c r="I238" s="1811">
        <f>IF('Verification Rpt'!I781="",0,1)</f>
        <v>0</v>
      </c>
    </row>
    <row r="239" spans="1:9">
      <c r="A239" s="838"/>
      <c r="B239" s="1811">
        <f>IF(OR(claim701.4.5="Met",'Ch7'!B176="x"), 1, 0)</f>
        <v>0</v>
      </c>
      <c r="C239" s="1812"/>
      <c r="D239" s="1812">
        <f>IF(OR(choice902.1.1_1=X215,choice902.1.1_1=X216), 1, 0)</f>
        <v>1</v>
      </c>
      <c r="E239" s="1811"/>
      <c r="F239" s="1812"/>
      <c r="G239" s="1812" t="b">
        <f>OR(ch7blowerdoor&lt;5,ch7ACH50&lt;5)</f>
        <v>1</v>
      </c>
      <c r="I239" s="1811">
        <f>IF('Verification Rpt'!I782="",0,1)</f>
        <v>0</v>
      </c>
    </row>
    <row r="240" spans="1:9">
      <c r="A240" s="838"/>
      <c r="B240" s="1811">
        <f>IF(OR(AND(choice701.1="Performance Path",claim702.2.1="Met"),choice701.1="Alternative Bronze", choice701.1="Prescriptive Path"),1,0)</f>
        <v>0</v>
      </c>
      <c r="C240" s="1812"/>
      <c r="D240" s="1812">
        <f>IF(OR(claim902.1.1_2=Y215,claim902.1.1_2=Y217), 1, 0)</f>
        <v>1</v>
      </c>
      <c r="E240" s="838" t="s">
        <v>2593</v>
      </c>
      <c r="F240" s="1812"/>
      <c r="G240" s="1812"/>
      <c r="I240" s="1811">
        <f>IF('Verification Rpt'!I783="",0,1)</f>
        <v>0</v>
      </c>
    </row>
    <row r="241" spans="1:9">
      <c r="A241" s="838"/>
      <c r="B241" s="1811">
        <f>IF(OR(AND(choice701.1="Prescriptive Path",claim703.1.6.1="Met"),choice701.1="Alternative Bronze", choice701.1="Performance Path"),1,0)</f>
        <v>0</v>
      </c>
      <c r="C241" s="1812"/>
      <c r="D241" s="1812">
        <f>IF(AND(E241=1,OR(choice902.2.1="",choice902.2.1="Not Met")), 0, 1)</f>
        <v>1</v>
      </c>
      <c r="E241" s="1811">
        <f>IF(OR(ch7blowerdoor&lt;&gt;"",ch7ACH50&lt;&gt;""),IF(OR(ch7blowerdoor&lt;5,ch7ACH50&lt;5),1,0),0)</f>
        <v>0</v>
      </c>
      <c r="F241" s="1812"/>
      <c r="G241" s="1812"/>
      <c r="I241" s="1811">
        <f>IF('Verification Rpt'!I784="",0,1)</f>
        <v>0</v>
      </c>
    </row>
    <row r="242" spans="1:9">
      <c r="A242" s="838"/>
      <c r="B242" s="1811" t="str">
        <f>CONCATENATE("ch7 man sum:",SUM(ch7Mandatory))</f>
        <v>ch7 man sum:0</v>
      </c>
      <c r="C242" s="1812"/>
      <c r="D242" s="1812">
        <f>IF(claim902.3&lt;&gt;"", 1, 0)</f>
        <v>0</v>
      </c>
      <c r="E242" s="1811"/>
      <c r="F242" s="1812"/>
      <c r="G242" s="1812"/>
      <c r="I242" s="1811">
        <f>IF('Verification Rpt'!I785="",0,1)</f>
        <v>0</v>
      </c>
    </row>
    <row r="243" spans="1:9">
      <c r="A243" s="838"/>
      <c r="B243" s="1811"/>
      <c r="C243" s="1812"/>
      <c r="D243" s="1812">
        <f>IF(claim902.6=AH215, 1, 0)</f>
        <v>1</v>
      </c>
      <c r="E243" s="1811"/>
      <c r="F243" s="1812"/>
      <c r="G243" s="1812"/>
      <c r="I243" s="1811">
        <f>IF('Verification Rpt'!I786="",0,1)</f>
        <v>0</v>
      </c>
    </row>
    <row r="244" spans="1:9">
      <c r="A244" s="838"/>
      <c r="B244" s="1811"/>
      <c r="C244" s="1812"/>
      <c r="D244" s="838" t="str">
        <f>CONCATENATE("Sum of ch9 Mandatory: ", SUM(ch9MandatoryCount))</f>
        <v>Sum of ch9 Mandatory: 1</v>
      </c>
      <c r="E244" s="1811"/>
      <c r="F244" s="1812"/>
      <c r="G244" s="1812"/>
      <c r="I244" s="1811">
        <f>IF('Verification Rpt'!I787="",0,1)</f>
        <v>0</v>
      </c>
    </row>
    <row r="245" spans="1:9">
      <c r="A245" s="1811"/>
      <c r="B245" s="1811"/>
      <c r="C245" s="1812"/>
      <c r="D245" s="1812"/>
      <c r="E245" s="1811"/>
      <c r="F245" s="1812"/>
      <c r="G245" s="1812"/>
      <c r="I245" s="1811">
        <f>IF('Verification Rpt'!I788="",0,1)</f>
        <v>0</v>
      </c>
    </row>
    <row r="246" spans="1:9">
      <c r="A246" s="1955" t="s">
        <v>215</v>
      </c>
      <c r="B246" s="1811"/>
      <c r="C246" s="1811"/>
      <c r="D246" s="1811"/>
      <c r="E246" s="1811"/>
      <c r="F246" s="1811"/>
      <c r="G246" s="1811"/>
      <c r="I246" s="838" t="s">
        <v>2774</v>
      </c>
    </row>
    <row r="247" spans="1:9">
      <c r="A247" s="710" t="s">
        <v>216</v>
      </c>
      <c r="B247" s="710" t="s">
        <v>217</v>
      </c>
      <c r="C247" s="710" t="s">
        <v>219</v>
      </c>
      <c r="D247" s="710" t="s">
        <v>218</v>
      </c>
      <c r="E247" s="710" t="s">
        <v>220</v>
      </c>
      <c r="F247" s="710"/>
      <c r="G247" s="710"/>
      <c r="I247" s="115">
        <f>SUM(I225:I245)</f>
        <v>0</v>
      </c>
    </row>
    <row r="248" spans="1:9">
      <c r="A248" s="1811" t="str">
        <f>IF(finalLevelReached="Emerald","This project has met all the EMERALD requirements",IF(finalLevelReached="Gold","This project has met all the GOLD requirements",IF(finalLevelReached="Silver","This project has met all the SILVER requirements",IF(finalLevelReached="Bronze","This project has met all the BRONZE requirements", "This project has not met all the requirements for Bronze, Silver, Gold, or Emerald."))))</f>
        <v>This project has not met all the requirements for Bronze, Silver, Gold, or Emerald.</v>
      </c>
      <c r="B248" s="1811">
        <f>SUM(231+Vadditionalpoints)</f>
        <v>231</v>
      </c>
      <c r="C248" s="1811">
        <f>SUM(349+Vadditionalpoints)</f>
        <v>349</v>
      </c>
      <c r="D248" s="1811">
        <f>SUM(509+Vadditionalpoints)</f>
        <v>509</v>
      </c>
      <c r="E248" s="1811">
        <f>SUM(641+Vadditionalpoints)</f>
        <v>641</v>
      </c>
      <c r="F248" s="1811"/>
      <c r="G248" s="1811"/>
      <c r="I248" s="1811" t="s">
        <v>2778</v>
      </c>
    </row>
    <row r="249" spans="1:9">
      <c r="A249" s="1811"/>
      <c r="B249" s="1811"/>
      <c r="C249" s="1811"/>
      <c r="D249" s="1811"/>
      <c r="E249" s="1811"/>
      <c r="F249" s="1811"/>
      <c r="G249" s="1811"/>
      <c r="I249" s="1811">
        <f>IF('Verification Rpt'!I794="",0,1)</f>
        <v>0</v>
      </c>
    </row>
    <row r="250" spans="1:9">
      <c r="A250" s="1811" t="s">
        <v>221</v>
      </c>
      <c r="B250" s="1811"/>
      <c r="C250" s="1811"/>
      <c r="D250" s="1811"/>
      <c r="E250" s="1811"/>
      <c r="F250" s="1811"/>
      <c r="G250" s="1811"/>
      <c r="I250" s="1811">
        <f>IF('Verification Rpt'!I795="",0,1)</f>
        <v>0</v>
      </c>
    </row>
    <row r="251" spans="1:9">
      <c r="A251" s="1811" t="str">
        <f>IF(AND(OR(subLevelReached="Emerald", subLevelReached="Gold"), HEToilets="Not Met"), "Silver", subLevelReached)</f>
        <v>Nothing</v>
      </c>
      <c r="B251" s="1811"/>
      <c r="C251" s="1811"/>
      <c r="D251" s="1811"/>
      <c r="E251" s="1811"/>
      <c r="F251" s="1811"/>
      <c r="G251" s="1811"/>
      <c r="I251" s="1811">
        <f>IF('Verification Rpt'!I796="",0,1)</f>
        <v>0</v>
      </c>
    </row>
    <row r="252" spans="1:9">
      <c r="A252" s="1811"/>
      <c r="B252" s="1811"/>
      <c r="C252" s="1811"/>
      <c r="D252" s="1811"/>
      <c r="E252" s="1811"/>
      <c r="F252" s="1811"/>
      <c r="G252" s="1811"/>
      <c r="I252" s="1811">
        <f>IF('Verification Rpt'!I797="",0,1)</f>
        <v>0</v>
      </c>
    </row>
    <row r="253" spans="1:9">
      <c r="A253" s="1811" t="s">
        <v>222</v>
      </c>
      <c r="B253" s="1811"/>
      <c r="C253" s="1811"/>
      <c r="D253" s="1811"/>
      <c r="E253" s="1811"/>
      <c r="F253" s="1811"/>
      <c r="G253" s="1811"/>
      <c r="I253" s="1811">
        <f>IF('Verification Rpt'!I798="",0,1)</f>
        <v>0</v>
      </c>
    </row>
    <row r="254" spans="1:9">
      <c r="A254" s="1811" t="str">
        <f>IF(AND(projectValue=4,projectTotal&gt;=emeraldMinimum,mandatoryStatus="Met",section702req="meets",section704req="meets"),"Emerald",IF(AND(projectValue&gt;=3,projectTotal&gt;=goldMinimum,mandatoryStatus="Met",section704req="meets",OR(section702req="meets",section703req="meets")),"Gold",IF(AND(projectValue&gt;=2,projectTotal&gt;=silverMinimum,mandatoryStatus="Met",section704req="meets",OR(section702req="meets",section703req="meets")),"Silver",IF(AND(projectValue&gt;=1,projectTotal&gt;=bronzeMinimum,mandatoryStatus="Met",OR(AND(section702req="meets",section704req="meets"),AND(section703req="meets",section704req="meets"),energypath="Alternative Bronze")),"Bronze","Nothing"))))</f>
        <v>Nothing</v>
      </c>
      <c r="B254" s="1811"/>
      <c r="C254" s="1811"/>
      <c r="D254" s="1811"/>
      <c r="E254" s="1811"/>
      <c r="F254" s="1811"/>
      <c r="G254" s="1811"/>
      <c r="I254" s="1811">
        <f>IF('Verification Rpt'!I799="",0,1)</f>
        <v>0</v>
      </c>
    </row>
    <row r="255" spans="1:9">
      <c r="A255" s="1811"/>
      <c r="B255" s="1811"/>
      <c r="C255" s="1811"/>
      <c r="D255" s="1811"/>
      <c r="E255" s="1811"/>
      <c r="F255" s="1811"/>
      <c r="G255" s="1811"/>
      <c r="I255" s="1811">
        <f>IF('Verification Rpt'!I800="",0,1)</f>
        <v>0</v>
      </c>
    </row>
    <row r="256" spans="1:9">
      <c r="A256" s="1811" t="s">
        <v>223</v>
      </c>
      <c r="B256" s="1811"/>
      <c r="C256" s="1811"/>
      <c r="D256" s="1811"/>
      <c r="E256" s="1811"/>
      <c r="F256" s="1811"/>
      <c r="G256" s="1811"/>
      <c r="I256" s="1811">
        <f>IF('Verification Rpt'!I801="",0,1)</f>
        <v>0</v>
      </c>
    </row>
    <row r="257" spans="1:9">
      <c r="A257" s="724">
        <f>ch5Total</f>
        <v>0</v>
      </c>
      <c r="B257" s="1811" t="s">
        <v>225</v>
      </c>
      <c r="C257" s="1811"/>
      <c r="D257" s="1811"/>
      <c r="E257" s="1811"/>
      <c r="F257" s="1811"/>
      <c r="G257" s="1811"/>
      <c r="I257" s="838" t="s">
        <v>2774</v>
      </c>
    </row>
    <row r="258" spans="1:9">
      <c r="A258" s="1811">
        <f>ch6Total</f>
        <v>0</v>
      </c>
      <c r="B258" s="1811" t="s">
        <v>226</v>
      </c>
      <c r="C258" s="1811"/>
      <c r="D258" s="1811"/>
      <c r="E258" s="1811"/>
      <c r="F258" s="1811"/>
      <c r="G258" s="1811"/>
      <c r="I258" s="115">
        <f>SUM(I249:I256)</f>
        <v>0</v>
      </c>
    </row>
    <row r="259" spans="1:9">
      <c r="A259" s="1811">
        <f>ch7TotalScore</f>
        <v>0</v>
      </c>
      <c r="B259" s="1811" t="s">
        <v>230</v>
      </c>
      <c r="C259" s="1811"/>
      <c r="D259" s="1811"/>
      <c r="E259" s="1811" t="s">
        <v>1979</v>
      </c>
      <c r="F259" s="1811" t="str">
        <f>IF(SUM(projectMandatoryCount)=4, "Met", "Not Met")</f>
        <v>Not Met</v>
      </c>
      <c r="G259" s="1811"/>
    </row>
    <row r="260" spans="1:9">
      <c r="A260" s="1811">
        <f>ch8TotalScore</f>
        <v>0</v>
      </c>
      <c r="B260" s="1811" t="s">
        <v>227</v>
      </c>
      <c r="C260" s="1811"/>
      <c r="D260" s="1811"/>
      <c r="E260" s="1811" t="s">
        <v>1980</v>
      </c>
      <c r="F260" s="1811" t="str">
        <f>IF(claim801.5_1="Met - Project eligible for Gold or Emerald","Met", "Not Met")</f>
        <v>Not Met</v>
      </c>
      <c r="G260" s="1811"/>
      <c r="I260" s="1811" t="s">
        <v>2783</v>
      </c>
    </row>
    <row r="261" spans="1:9">
      <c r="A261" s="1811">
        <f>ch9TotalScore</f>
        <v>0</v>
      </c>
      <c r="B261" s="1811" t="s">
        <v>228</v>
      </c>
      <c r="C261" s="1811"/>
      <c r="D261" s="1811"/>
      <c r="E261" s="1811"/>
      <c r="F261" s="1811"/>
      <c r="G261" s="1811"/>
      <c r="I261" s="1811">
        <f>IF('Verification Rpt'!I803="",0,1)</f>
        <v>0</v>
      </c>
    </row>
    <row r="262" spans="1:9">
      <c r="A262" s="1811">
        <f>ch10TotalScore</f>
        <v>0</v>
      </c>
      <c r="B262" s="1811" t="s">
        <v>229</v>
      </c>
      <c r="C262" s="1811"/>
      <c r="D262" s="1811"/>
      <c r="E262" s="1811"/>
      <c r="F262" s="1811"/>
      <c r="G262" s="1811"/>
      <c r="I262" s="1811">
        <f>IF('Verification Rpt'!I804="",0,1)</f>
        <v>0</v>
      </c>
    </row>
    <row r="263" spans="1:9">
      <c r="A263" s="1811">
        <f>SUM(A257:A262)</f>
        <v>0</v>
      </c>
      <c r="B263" s="1811" t="s">
        <v>224</v>
      </c>
      <c r="C263" s="1811"/>
      <c r="D263" s="1811"/>
      <c r="E263" s="1811"/>
      <c r="F263" s="1811"/>
      <c r="G263" s="1811"/>
      <c r="I263" s="1811">
        <f>IF('Verification Rpt'!I805="",0,1)</f>
        <v>0</v>
      </c>
    </row>
    <row r="264" spans="1:9">
      <c r="A264" s="1811"/>
      <c r="B264" s="1811"/>
      <c r="C264" s="1811"/>
      <c r="D264" s="1811"/>
      <c r="E264" s="1811"/>
      <c r="F264" s="1811"/>
      <c r="G264" s="838"/>
      <c r="I264" s="1811">
        <f>IF('Verification Rpt'!I806="",0,1)</f>
        <v>0</v>
      </c>
    </row>
    <row r="265" spans="1:9">
      <c r="A265" s="1811" t="s">
        <v>326</v>
      </c>
      <c r="B265" s="1811"/>
      <c r="C265" s="1811"/>
      <c r="D265" s="1811"/>
      <c r="E265" s="1811"/>
      <c r="F265" s="1811"/>
      <c r="G265" s="838"/>
      <c r="I265" s="1811">
        <f>IF('Verification Rpt'!I807="",0,1)</f>
        <v>0</v>
      </c>
    </row>
    <row r="266" spans="1:9">
      <c r="A266" s="1811">
        <f>IF(VSqFt&gt;4000,(VSqFt-4000),0)</f>
        <v>0</v>
      </c>
      <c r="B266" s="1811"/>
      <c r="C266" s="1811"/>
      <c r="D266" s="1811"/>
      <c r="E266" s="1811"/>
      <c r="F266" s="1811"/>
      <c r="G266" s="1811"/>
      <c r="I266" s="1811">
        <f>IF('Verification Rpt'!I808="",0,1)</f>
        <v>0</v>
      </c>
    </row>
    <row r="267" spans="1:9">
      <c r="A267" s="1811">
        <f>IF(A266&gt;0,A266/100,0)</f>
        <v>0</v>
      </c>
      <c r="B267" s="1811"/>
      <c r="C267" s="1811"/>
      <c r="D267" s="1811"/>
      <c r="E267" s="1811"/>
      <c r="F267" s="1811"/>
      <c r="G267" s="1811"/>
      <c r="I267" s="1811">
        <f>IF('Verification Rpt'!I809="",0,1)</f>
        <v>0</v>
      </c>
    </row>
    <row r="268" spans="1:9">
      <c r="A268" s="1811">
        <f>ROUNDUP(A267,0)</f>
        <v>0</v>
      </c>
      <c r="B268" s="1811"/>
      <c r="C268" s="1811"/>
      <c r="D268" s="1811"/>
      <c r="E268" s="1811"/>
      <c r="F268" s="1811"/>
      <c r="G268" s="1811"/>
      <c r="I268" s="1811">
        <f>IF('Verification Rpt'!I810="",0,1)</f>
        <v>0</v>
      </c>
    </row>
    <row r="269" spans="1:9">
      <c r="A269" s="1811"/>
      <c r="B269" s="1811"/>
      <c r="C269" s="1811"/>
      <c r="D269" s="1811"/>
      <c r="E269" s="1811"/>
      <c r="F269" s="1811"/>
      <c r="G269" s="1811"/>
      <c r="I269" s="1811">
        <f>IF('Verification Rpt'!I811="",0,1)</f>
        <v>0</v>
      </c>
    </row>
    <row r="270" spans="1:9">
      <c r="A270" s="1252"/>
      <c r="B270" s="1811"/>
      <c r="C270" s="1811"/>
      <c r="D270" s="1811"/>
      <c r="E270" s="1811"/>
      <c r="F270" s="1811"/>
      <c r="G270" s="1811"/>
      <c r="I270" s="1811">
        <f>IF('Verification Rpt'!I812="",0,1)</f>
        <v>0</v>
      </c>
    </row>
    <row r="271" spans="1:9">
      <c r="A271" s="1255" t="s">
        <v>1988</v>
      </c>
      <c r="B271" s="1811"/>
      <c r="C271" s="1955"/>
      <c r="D271" s="1811"/>
      <c r="E271" s="1811"/>
      <c r="F271" s="1811"/>
      <c r="G271" s="1811"/>
      <c r="I271" s="838" t="s">
        <v>2774</v>
      </c>
    </row>
    <row r="272" spans="1:9">
      <c r="A272" s="838">
        <f>choice701.1</f>
        <v>0</v>
      </c>
      <c r="B272" s="1811"/>
      <c r="C272" s="838"/>
      <c r="D272" s="1811"/>
      <c r="E272" s="1811"/>
      <c r="F272" s="1811"/>
      <c r="G272" s="1811"/>
      <c r="I272" s="115">
        <f>SUM(I261:I270)</f>
        <v>0</v>
      </c>
    </row>
    <row r="273" spans="1:9">
      <c r="A273" s="1811"/>
      <c r="B273" s="1811"/>
      <c r="C273" s="1811"/>
      <c r="D273" s="1811"/>
      <c r="E273" s="1811"/>
      <c r="F273" s="1811"/>
      <c r="G273" s="1811"/>
    </row>
    <row r="274" spans="1:9">
      <c r="A274" s="1811" t="s">
        <v>1983</v>
      </c>
      <c r="B274" s="1811"/>
      <c r="C274" s="1811"/>
      <c r="D274" s="1811"/>
      <c r="E274" s="1811"/>
      <c r="F274" s="1811"/>
      <c r="G274" s="1811"/>
    </row>
    <row r="275" spans="1:9">
      <c r="A275" s="1811" t="s">
        <v>1984</v>
      </c>
      <c r="B275" s="1811"/>
      <c r="C275" s="1811" t="s">
        <v>1985</v>
      </c>
      <c r="D275" s="1811"/>
      <c r="E275" s="1811" t="s">
        <v>1986</v>
      </c>
      <c r="F275" s="1811"/>
      <c r="G275" s="1811"/>
      <c r="I275" s="1811" t="s">
        <v>2778</v>
      </c>
    </row>
    <row r="276" spans="1:9">
      <c r="A276" s="1811">
        <f>claim703.1.1</f>
        <v>0</v>
      </c>
      <c r="B276" s="1811"/>
      <c r="C276" s="1811">
        <f>IF(claim704.2.1&gt;0, 1, 0)</f>
        <v>0</v>
      </c>
      <c r="D276" s="1811"/>
      <c r="E276" s="1811">
        <f>IF(claim702.2.2&gt;0, 1, 0)</f>
        <v>0</v>
      </c>
      <c r="F276" s="1811"/>
      <c r="G276" s="1811"/>
      <c r="I276" s="1811"/>
    </row>
    <row r="277" spans="1:9">
      <c r="A277" s="1811">
        <f>IF(AND(claim703.1.2=7,claim703.1.1=0),claim703.1.2,0)</f>
        <v>0</v>
      </c>
      <c r="B277" s="1811"/>
      <c r="C277" s="1811">
        <f>IF(claim704.2.2&gt;0, 1, 0)</f>
        <v>0</v>
      </c>
      <c r="D277" s="1811"/>
      <c r="E277" s="1811" t="str">
        <f>IF(E276=1, "meets", "does not meet")</f>
        <v>does not meet</v>
      </c>
      <c r="F277" s="1811"/>
      <c r="G277" s="1811"/>
      <c r="I277" s="1811">
        <f>IF('Verification Rpt'!I814="",0,1)</f>
        <v>0</v>
      </c>
    </row>
    <row r="278" spans="1:9">
      <c r="A278" s="1811">
        <f>claim703.1.3</f>
        <v>0</v>
      </c>
      <c r="B278" s="1811"/>
      <c r="C278" s="1811">
        <f>IF(claim704.2.3&gt;0, 1, 0)</f>
        <v>0</v>
      </c>
      <c r="D278" s="1811"/>
      <c r="E278" s="1811"/>
      <c r="F278" s="1811" t="s">
        <v>2849</v>
      </c>
      <c r="G278" s="1811"/>
      <c r="I278" s="1811">
        <f>IF('Verification Rpt'!I815="",0,1)</f>
        <v>0</v>
      </c>
    </row>
    <row r="279" spans="1:9">
      <c r="A279" s="1811">
        <f>claim703.1.4</f>
        <v>0</v>
      </c>
      <c r="B279" s="1811"/>
      <c r="C279" s="1811">
        <f>IF(claim704.3&gt;0, 1, 0)</f>
        <v>0</v>
      </c>
      <c r="D279" s="1811"/>
      <c r="E279" s="1811"/>
      <c r="F279" s="1811" t="str">
        <f>IF(VCZ=1, "5", IF(VCZ=2,"5",IF(VCZ=3, "5", IF(VCZ=4, "5", IF(VCZ=5, "4", IF(VCZ=6, "3", "0"))))))</f>
        <v>0</v>
      </c>
      <c r="G279" s="1811"/>
      <c r="I279" s="1811">
        <f>IF('Verification Rpt'!I816="",0,1)</f>
        <v>0</v>
      </c>
    </row>
    <row r="280" spans="1:9">
      <c r="A280" s="1811">
        <f>claim703.1.5</f>
        <v>0</v>
      </c>
      <c r="B280" s="1811"/>
      <c r="C280" s="1811">
        <f>IF(claim704.4.1&gt;0, 1, 0)</f>
        <v>0</v>
      </c>
      <c r="D280" s="1811"/>
      <c r="E280" s="1811"/>
      <c r="F280" s="1811" t="str">
        <f>IF(VCZ=1, "3", IF(VCZ=2,"3",IF(VCZ=3, "3", IF(VCZ=4, "3", IF(VCZ=5, "2", IF(VCZ=6, "2", "0 points"))))))</f>
        <v>0 points</v>
      </c>
      <c r="G280" s="1811"/>
      <c r="I280" s="1811">
        <f>IF('Verification Rpt'!I817="",0,1)</f>
        <v>0</v>
      </c>
    </row>
    <row r="281" spans="1:9">
      <c r="A281" s="1811">
        <f>claim703.1.6.2</f>
        <v>0</v>
      </c>
      <c r="B281" s="1811"/>
      <c r="C281" s="1811">
        <f>IF(claim704.4.2&gt;0, 1, 0)</f>
        <v>0</v>
      </c>
      <c r="D281" s="1811"/>
      <c r="E281" s="1811"/>
      <c r="F281" s="1811"/>
      <c r="G281" s="1811"/>
      <c r="I281" s="1811">
        <f>IF('Verification Rpt'!I818="",0,1)</f>
        <v>0</v>
      </c>
    </row>
    <row r="282" spans="1:9">
      <c r="A282" s="1811">
        <f>claim703.2.1</f>
        <v>0</v>
      </c>
      <c r="B282" s="1811"/>
      <c r="C282" s="1811">
        <f>IF(claim704.4.3&gt;0, 1, 0)</f>
        <v>0</v>
      </c>
      <c r="D282" s="1811"/>
      <c r="E282" s="1811"/>
      <c r="F282" s="1811"/>
      <c r="G282" s="1811"/>
      <c r="I282" s="1811">
        <f>IF('Verification Rpt'!I819="",0,1)</f>
        <v>0</v>
      </c>
    </row>
    <row r="283" spans="1:9">
      <c r="A283" s="1811">
        <f>claim703.2.2</f>
        <v>0</v>
      </c>
      <c r="B283" s="1811"/>
      <c r="C283" s="1811">
        <f>IF(claim704.5.1&gt;0, 1, 0)</f>
        <v>0</v>
      </c>
      <c r="D283" s="1811"/>
      <c r="E283" s="1811"/>
      <c r="F283" s="1811"/>
      <c r="G283" s="1811"/>
      <c r="I283" s="1811">
        <f>IF('Verification Rpt'!I820="",0,1)</f>
        <v>0</v>
      </c>
    </row>
    <row r="284" spans="1:9">
      <c r="A284" s="1811">
        <f>claim703.2.3</f>
        <v>0</v>
      </c>
      <c r="B284" s="1811"/>
      <c r="C284" s="1811">
        <f>IF(claim704.5.2.1_1&gt;0, 1, 0)</f>
        <v>0</v>
      </c>
      <c r="D284" s="1811"/>
      <c r="E284" s="1811"/>
      <c r="F284" s="1811"/>
      <c r="G284" s="1811"/>
      <c r="I284" s="1811">
        <f>IF('Verification Rpt'!I821="",0,1)</f>
        <v>0</v>
      </c>
    </row>
    <row r="285" spans="1:9">
      <c r="A285" s="1811">
        <f>claim703.2.4</f>
        <v>0</v>
      </c>
      <c r="B285" s="1811"/>
      <c r="C285" s="1811">
        <f>IF(AND(claim704.5.2.1_2&gt;0,claim704.5.2.1_1&gt;0), 1, 0)</f>
        <v>0</v>
      </c>
      <c r="D285" s="1811"/>
      <c r="E285" s="1811"/>
      <c r="F285" s="1811"/>
      <c r="G285" s="1811"/>
      <c r="I285" s="1811">
        <f>IF('Verification Rpt'!I822="",0,1)</f>
        <v>0</v>
      </c>
    </row>
    <row r="286" spans="1:9">
      <c r="A286" s="724">
        <f>claim703.2.5</f>
        <v>0</v>
      </c>
      <c r="B286" s="1811"/>
      <c r="C286" s="1811">
        <f>IF(claim704.5.2.2&gt;0, 1, 0)</f>
        <v>0</v>
      </c>
      <c r="D286" s="1811"/>
      <c r="E286" s="1811"/>
      <c r="F286" s="1811"/>
      <c r="G286" s="1811"/>
      <c r="I286" s="838" t="s">
        <v>2774</v>
      </c>
    </row>
    <row r="287" spans="1:9">
      <c r="A287" s="1811">
        <f>claim703.2.6</f>
        <v>0</v>
      </c>
      <c r="B287" s="1811"/>
      <c r="C287" s="1811">
        <f>IF(claim704.5.3&gt;0, 1, 0)</f>
        <v>0</v>
      </c>
      <c r="D287" s="1811"/>
      <c r="E287" s="1811"/>
      <c r="F287" s="1811"/>
      <c r="G287" s="1811"/>
      <c r="I287" s="1811">
        <f>SUM(I276:I285)</f>
        <v>0</v>
      </c>
    </row>
    <row r="288" spans="1:9">
      <c r="A288" s="1811">
        <f>claim703.2.7</f>
        <v>0</v>
      </c>
      <c r="B288" s="1811"/>
      <c r="C288" s="1811">
        <f>SUM(C276:C287)</f>
        <v>0</v>
      </c>
      <c r="D288" s="1254" t="s">
        <v>1987</v>
      </c>
      <c r="E288" s="1811"/>
      <c r="F288" s="1811"/>
      <c r="G288" s="1811"/>
    </row>
    <row r="289" spans="1:7">
      <c r="A289" s="1811">
        <f>claim703.2.8</f>
        <v>0</v>
      </c>
      <c r="B289" s="1811"/>
      <c r="C289" s="1811" t="str">
        <f>IF(C288&lt;2, "does not meet", "meets")</f>
        <v>does not meet</v>
      </c>
      <c r="D289" s="1811"/>
      <c r="E289" s="1811"/>
      <c r="F289" s="1811"/>
      <c r="G289" s="1811"/>
    </row>
    <row r="290" spans="1:7">
      <c r="A290" s="1811">
        <f>IF(AND(claim703.2.9&gt;0,startSingleorMulti="Multi-Unit",startMultiUnits&gt;1),1,0)</f>
        <v>0</v>
      </c>
      <c r="B290" s="1811"/>
      <c r="C290" s="1811"/>
      <c r="D290" s="1811"/>
      <c r="E290" s="1811"/>
      <c r="F290" s="1811"/>
      <c r="G290" s="1811"/>
    </row>
    <row r="291" spans="1:7">
      <c r="A291" s="1811">
        <f>claim703.3.1</f>
        <v>0</v>
      </c>
      <c r="B291" s="1811"/>
      <c r="C291" s="838" t="s">
        <v>2631</v>
      </c>
      <c r="D291" s="1811"/>
      <c r="E291" s="1811"/>
      <c r="F291" s="1811"/>
      <c r="G291" s="1811"/>
    </row>
    <row r="292" spans="1:7">
      <c r="A292" s="1811">
        <f>claim703.3.2</f>
        <v>0</v>
      </c>
      <c r="B292" s="1811"/>
      <c r="C292" s="1811">
        <f>IF(claim704.2.1&gt;0, 1, 0)</f>
        <v>0</v>
      </c>
      <c r="D292" s="1811"/>
      <c r="E292" s="1811"/>
      <c r="F292" s="1811"/>
      <c r="G292" s="1811"/>
    </row>
    <row r="293" spans="1:7">
      <c r="A293" s="1811">
        <f>claim703.3.3</f>
        <v>0</v>
      </c>
      <c r="B293" s="1811"/>
      <c r="C293" s="1811">
        <f>IF(claim704.2.2&gt;0, 1, 0)</f>
        <v>0</v>
      </c>
      <c r="D293" s="1811"/>
      <c r="E293" s="1811"/>
      <c r="F293" s="1811"/>
      <c r="G293" s="1811"/>
    </row>
    <row r="294" spans="1:7">
      <c r="A294" s="1811">
        <f>claim703.3.4</f>
        <v>0</v>
      </c>
      <c r="B294" s="1811"/>
      <c r="C294" s="1811">
        <f>IF(claim704.2.3&gt;0, 1, 0)</f>
        <v>0</v>
      </c>
      <c r="D294" s="1811"/>
      <c r="E294" s="1811"/>
      <c r="F294" s="1811"/>
      <c r="G294" s="1811"/>
    </row>
    <row r="295" spans="1:7">
      <c r="A295" s="1811">
        <f>claim703.4.1</f>
        <v>0</v>
      </c>
      <c r="B295" s="1811"/>
      <c r="C295" s="1811">
        <f>IF(claim704.3&gt;0, 1, 0)</f>
        <v>0</v>
      </c>
      <c r="D295" s="1811"/>
      <c r="E295" s="1811"/>
      <c r="F295" s="1811"/>
      <c r="G295" s="1811"/>
    </row>
    <row r="296" spans="1:7">
      <c r="A296" s="1811">
        <f>claim703.4.2</f>
        <v>0</v>
      </c>
      <c r="B296" s="1811"/>
      <c r="C296" s="1811">
        <f>IF(claim704.4.1&gt;0, 1, 0)</f>
        <v>0</v>
      </c>
      <c r="D296" s="1811"/>
      <c r="E296" s="1811"/>
      <c r="F296" s="1811"/>
      <c r="G296" s="1811"/>
    </row>
    <row r="297" spans="1:7">
      <c r="A297" s="1811">
        <f>IF(AND(claim703.4.3&gt;0,startSingleorMulti="Multi-Unit",startMultiUnits&gt;1),2,0)</f>
        <v>0</v>
      </c>
      <c r="B297" s="1811"/>
      <c r="C297" s="1811">
        <f>IF(claim704.4.2&gt;0, 1, 0)</f>
        <v>0</v>
      </c>
      <c r="D297" s="1811"/>
      <c r="E297" s="1811"/>
      <c r="F297" s="1811"/>
      <c r="G297" s="1811"/>
    </row>
    <row r="298" spans="1:7">
      <c r="A298" s="1811">
        <f>IF(AND(claim703.4.4&gt;0,OR(startHVAC1="Boiler",startHVAC2="Boiler",startHVAC3="Boiler")),1,0)</f>
        <v>0</v>
      </c>
      <c r="B298" s="1811"/>
      <c r="C298" s="1811">
        <f>IF(claim704.4.3&gt;0, 1, 0)</f>
        <v>0</v>
      </c>
      <c r="D298" s="1811"/>
      <c r="E298" s="1811"/>
      <c r="F298" s="1811"/>
      <c r="G298" s="1811"/>
    </row>
    <row r="299" spans="1:7">
      <c r="A299" s="1811">
        <f>claim703.4.5</f>
        <v>0</v>
      </c>
      <c r="B299" s="1811"/>
      <c r="C299" s="1811">
        <f>IF(claim704.5.1&gt;0, 1, 0)</f>
        <v>0</v>
      </c>
      <c r="D299" s="1811"/>
      <c r="E299" s="1811"/>
      <c r="F299" s="1811"/>
      <c r="G299" s="1811"/>
    </row>
    <row r="300" spans="1:7">
      <c r="A300" s="1811">
        <f>claim703.5.1</f>
        <v>0</v>
      </c>
      <c r="B300" s="1811"/>
      <c r="C300" s="1811">
        <f>IF(claim704.5.2.1_1&gt;0, 1, 0)</f>
        <v>0</v>
      </c>
      <c r="D300" s="1811"/>
      <c r="E300" s="1811"/>
      <c r="F300" s="1811"/>
      <c r="G300" s="1811"/>
    </row>
    <row r="301" spans="1:7">
      <c r="A301" s="724">
        <f>'Ch7'!P346</f>
        <v>0</v>
      </c>
      <c r="B301" s="1811"/>
      <c r="C301" s="1811">
        <f>IF(AND(claim704.5.2.1_2&gt;0,claim704.5.2.1_1&gt;0), 1, 0)</f>
        <v>0</v>
      </c>
      <c r="D301" s="1811"/>
      <c r="E301" s="1811"/>
      <c r="F301" s="1811"/>
      <c r="G301" s="1811"/>
    </row>
    <row r="302" spans="1:7">
      <c r="A302" s="1811">
        <f>claim703.5.2</f>
        <v>0</v>
      </c>
      <c r="B302" s="1811"/>
      <c r="C302" s="1811">
        <f>IF(claim704.5.2.2&gt;0, 1, 0)</f>
        <v>0</v>
      </c>
      <c r="D302" s="1811"/>
      <c r="E302" s="1811"/>
      <c r="F302" s="1811"/>
      <c r="G302" s="1811"/>
    </row>
    <row r="303" spans="1:7">
      <c r="A303" s="1811">
        <f>claim703.5.3_1</f>
        <v>0</v>
      </c>
      <c r="B303" s="1811"/>
      <c r="C303" s="1811">
        <f>IF(claim704.5.3&gt;0, 1, 0)</f>
        <v>0</v>
      </c>
      <c r="D303" s="1811"/>
      <c r="E303" s="1811"/>
      <c r="F303" s="1811"/>
      <c r="G303" s="1811"/>
    </row>
    <row r="304" spans="1:7">
      <c r="A304" s="1811">
        <f>claim703.5.3_2</f>
        <v>0</v>
      </c>
      <c r="B304" s="1811"/>
      <c r="C304" s="1811">
        <f>SUM(C292:C303)</f>
        <v>0</v>
      </c>
      <c r="D304" s="1254" t="s">
        <v>1987</v>
      </c>
      <c r="E304" s="1811"/>
      <c r="F304" s="1811"/>
      <c r="G304" s="1811"/>
    </row>
    <row r="305" spans="1:7">
      <c r="A305" s="1811">
        <f>claim703.5.3_3</f>
        <v>0</v>
      </c>
      <c r="B305" s="1811"/>
      <c r="C305" s="1811"/>
      <c r="D305" s="1811"/>
      <c r="E305" s="1811"/>
      <c r="F305" s="1811"/>
      <c r="G305" s="1811"/>
    </row>
    <row r="306" spans="1:7">
      <c r="A306" s="1811">
        <f>claim703.5.4</f>
        <v>0</v>
      </c>
      <c r="B306" s="1811"/>
      <c r="C306" s="1811"/>
      <c r="D306" s="1811"/>
      <c r="E306" s="1811"/>
      <c r="F306" s="1811"/>
      <c r="G306" s="1811"/>
    </row>
    <row r="307" spans="1:7">
      <c r="A307" s="1811">
        <f>claim703.6.1</f>
        <v>0</v>
      </c>
      <c r="B307" s="1811"/>
      <c r="C307" s="1811"/>
      <c r="D307" s="1811"/>
      <c r="E307" s="1811"/>
      <c r="F307" s="1811"/>
      <c r="G307" s="1811"/>
    </row>
    <row r="308" spans="1:7">
      <c r="A308" s="1811">
        <f>claim703.6.2</f>
        <v>0</v>
      </c>
      <c r="B308" s="1811"/>
      <c r="C308" s="1811"/>
      <c r="D308" s="1811"/>
      <c r="E308" s="1811"/>
      <c r="F308" s="1811"/>
      <c r="G308" s="1811"/>
    </row>
    <row r="309" spans="1:7">
      <c r="A309" s="1811">
        <f>claim703.6.3_1</f>
        <v>0</v>
      </c>
      <c r="B309" s="1811"/>
      <c r="C309" s="1811"/>
      <c r="D309" s="1811"/>
      <c r="E309" s="1811"/>
      <c r="F309" s="1811"/>
      <c r="G309" s="1811"/>
    </row>
    <row r="310" spans="1:7">
      <c r="A310" s="1811">
        <f>IF(AND(claim703.6.3_2&gt;0,claim703.6.1=0),1,0)</f>
        <v>0</v>
      </c>
      <c r="B310" s="1811"/>
      <c r="C310" s="1811"/>
      <c r="D310" s="1811"/>
      <c r="E310" s="1811"/>
      <c r="F310" s="1811"/>
      <c r="G310" s="1811"/>
    </row>
    <row r="311" spans="1:7">
      <c r="A311" s="1811">
        <f>claim703.6.3_3</f>
        <v>0</v>
      </c>
      <c r="B311" s="1811"/>
      <c r="C311" s="1811"/>
      <c r="D311" s="1811"/>
      <c r="E311" s="1811"/>
      <c r="F311" s="1811"/>
      <c r="G311" s="1811"/>
    </row>
    <row r="312" spans="1:7">
      <c r="A312" s="1811">
        <f>claim703.6.3_4</f>
        <v>0</v>
      </c>
      <c r="B312" s="1811"/>
      <c r="C312" s="1811"/>
      <c r="D312" s="1811"/>
      <c r="E312" s="1811"/>
      <c r="F312" s="1811"/>
      <c r="G312" s="1811"/>
    </row>
    <row r="313" spans="1:7">
      <c r="A313" s="1811">
        <f>claim703.6.3_5</f>
        <v>0</v>
      </c>
      <c r="B313" s="1811"/>
      <c r="C313" s="1811"/>
      <c r="D313" s="1811"/>
      <c r="E313" s="1811"/>
      <c r="F313" s="1811"/>
      <c r="G313" s="1811"/>
    </row>
    <row r="314" spans="1:7">
      <c r="A314" s="1811">
        <f>claim703.6.3_6</f>
        <v>0</v>
      </c>
      <c r="B314" s="1811"/>
      <c r="C314" s="1811"/>
      <c r="D314" s="1811"/>
      <c r="E314" s="1811"/>
      <c r="F314" s="1811"/>
      <c r="G314" s="1811"/>
    </row>
    <row r="315" spans="1:7">
      <c r="A315" s="1811">
        <f>IF(AND(claim703.6.4&gt;0,claim703.6.1&gt;0),4,0)</f>
        <v>0</v>
      </c>
      <c r="B315" s="1811"/>
      <c r="C315" s="1811"/>
      <c r="D315" s="1811"/>
      <c r="E315" s="1811"/>
      <c r="F315" s="1811"/>
      <c r="G315" s="1811"/>
    </row>
    <row r="316" spans="1:7">
      <c r="A316" s="1811">
        <f>SUM(A276:A315)</f>
        <v>0</v>
      </c>
      <c r="B316" s="1254" t="s">
        <v>1987</v>
      </c>
      <c r="C316" s="1811"/>
      <c r="D316" s="1811"/>
      <c r="E316" s="1811"/>
      <c r="F316" s="1811"/>
      <c r="G316" s="1811"/>
    </row>
    <row r="317" spans="1:7">
      <c r="A317" s="1811" t="str">
        <f>IF(A316&lt;30, "does not meet", "meets")</f>
        <v>does not meet</v>
      </c>
      <c r="B317" s="1811"/>
      <c r="C317" s="1811"/>
      <c r="D317" s="1811"/>
      <c r="E317" s="1811"/>
      <c r="F317" s="1811"/>
      <c r="G317" s="1811"/>
    </row>
    <row r="318" spans="1:7">
      <c r="A318" s="1811"/>
      <c r="B318" s="1811"/>
      <c r="C318" s="1811"/>
      <c r="D318" s="1811"/>
      <c r="E318" s="1811"/>
      <c r="F318" s="1811"/>
      <c r="G318" s="1811"/>
    </row>
    <row r="319" spans="1:7">
      <c r="A319" s="1955" t="s">
        <v>1989</v>
      </c>
      <c r="B319" s="1955"/>
      <c r="C319" s="1955"/>
      <c r="D319" s="1955"/>
      <c r="E319" s="1955"/>
      <c r="F319" s="1955"/>
      <c r="G319" s="1955"/>
    </row>
    <row r="320" spans="1:7">
      <c r="A320" s="1811"/>
      <c r="B320" s="1811"/>
      <c r="C320" s="1811" t="s">
        <v>1990</v>
      </c>
      <c r="D320" s="1811" t="str">
        <f>IF(vch10totalscore&gt;=ch10EmeraldMin, "Emerald", IF(vch10totalscore&gt;=ch10GoldMin, "Gold", IF(vch10totalscore&gt;=ch10SilverMin, "Silver", IF(vch10totalscore&gt;=ch10BronzeMin, "Bronze", "Nothing"))))</f>
        <v>Nothing</v>
      </c>
      <c r="E320" s="1811">
        <f t="shared" ref="E320:E325" si="1">IF(D320="Emerald", 4, IF(D320="Gold", 3, IF(D320="Silver", 2, IF(D320="Bronze", 1, 0))))</f>
        <v>0</v>
      </c>
      <c r="F320" s="1811"/>
      <c r="G320" s="724">
        <f>SUM('Verification Rpt'!H823:I823)</f>
        <v>0</v>
      </c>
    </row>
    <row r="321" spans="1:7">
      <c r="A321" s="1811"/>
      <c r="B321" s="1811"/>
      <c r="C321" s="1811" t="s">
        <v>1991</v>
      </c>
      <c r="D321" s="1811" t="str">
        <f>IF(vch9totalscore&gt;=ch9EmeraldMin, "Emerald", IF(vch9totalscore&gt;=ch9GoldMin, "Gold", IF(vch9totalscore&gt;=ch9SilverMin, "Silver", IF(vch9totalscore&gt;=ch9BronzeMin, "Bronze", "Nothing"))))</f>
        <v>Nothing</v>
      </c>
      <c r="E321" s="1811">
        <f t="shared" si="1"/>
        <v>0</v>
      </c>
      <c r="F321" s="1811"/>
      <c r="G321" s="724">
        <f>SUM('Verification Rpt'!H764:I764)</f>
        <v>0</v>
      </c>
    </row>
    <row r="322" spans="1:7">
      <c r="A322" s="1811"/>
      <c r="B322" s="1811"/>
      <c r="C322" s="1811" t="s">
        <v>1992</v>
      </c>
      <c r="D322" s="1811" t="str">
        <f>IF(vch8totalscore&gt;=ch8EmeraldMin, "Emerald", IF(vch8totalscore&gt;=ch8GoldMin, "Gold", IF(vch8totalscore&gt;=ch8SilverMin, "Silver", IF(vch8totalscore&gt;=ch8BronzeMin, "Bronze", "Nothing"))))</f>
        <v>Nothing</v>
      </c>
      <c r="E322" s="1811">
        <f t="shared" si="1"/>
        <v>0</v>
      </c>
      <c r="F322" s="1811"/>
      <c r="G322" s="724">
        <f>SUM('Verification Rpt'!H625:I625)</f>
        <v>0</v>
      </c>
    </row>
    <row r="323" spans="1:7">
      <c r="A323" s="1811"/>
      <c r="B323" s="1811"/>
      <c r="C323" s="1811" t="s">
        <v>1993</v>
      </c>
      <c r="D323" s="1811" t="str">
        <f>IF(OR(Vreport701.1="Alternative Bronze",ar703.1.2=4), "Bronze", IF(vch7totalscore&gt;=ch7EmeraldMin, "Emerald", IF(vch7totalscore&gt;=ch7GoldMin, "Gold", IF(vch7totalscore&gt;=ch7SilverMin, "Silver", IF(vch7totalscore&gt;=ch7BronzeMin, "Bronze", "Nothing")))))</f>
        <v>Silver</v>
      </c>
      <c r="E323" s="1811">
        <f t="shared" si="1"/>
        <v>2</v>
      </c>
      <c r="F323" s="1811"/>
      <c r="G323" s="724">
        <f>SUM('Verification Rpt'!H537:I537)</f>
        <v>66</v>
      </c>
    </row>
    <row r="324" spans="1:7">
      <c r="A324" s="1811" t="s">
        <v>2787</v>
      </c>
      <c r="B324" s="1811"/>
      <c r="C324" s="1811" t="s">
        <v>1994</v>
      </c>
      <c r="D324" s="1811" t="str">
        <f>IF(vch6totalscore&gt;=ch6EmeraldMin, "Emerald", IF(vch6totalscore&gt;=ch6GoldMin, "Gold", IF(vch6totalscore&gt;=ch6SilverMin, "Silver", IF(vch6totalscore&gt;=ch6BronzeMin, "Bronze", "Nothing"))))</f>
        <v>Nothing</v>
      </c>
      <c r="E324" s="1811">
        <f t="shared" si="1"/>
        <v>0</v>
      </c>
      <c r="F324" s="1811"/>
      <c r="G324" s="724">
        <f>SUM('Verification Rpt'!H326:I326)</f>
        <v>0</v>
      </c>
    </row>
    <row r="325" spans="1:7">
      <c r="A325" s="1811"/>
      <c r="B325" s="1811"/>
      <c r="C325" s="1811" t="s">
        <v>1995</v>
      </c>
      <c r="D325" s="1811" t="str">
        <f>IF(vch5totalscore&gt;=ch5EmeraldMin, "Emerald", IF(vch5totalscore&gt;=ch5GoldMin, "Gold", IF(vch5totalscore&gt;=ch5SilverMin, "Silver", IF(vch5totalscore&gt;=ch5BronzeMin, "Bronze", "Nothing"))))</f>
        <v>Nothing</v>
      </c>
      <c r="E325" s="1811">
        <f t="shared" si="1"/>
        <v>0</v>
      </c>
      <c r="F325" s="1811"/>
      <c r="G325" s="724">
        <f>SUM('Verification Rpt'!H135:I135)</f>
        <v>0</v>
      </c>
    </row>
    <row r="326" spans="1:7">
      <c r="A326" s="1811"/>
      <c r="B326" s="1811"/>
      <c r="C326" s="1811" t="s">
        <v>1996</v>
      </c>
      <c r="D326" s="1811" t="str">
        <f>IF(E326=4,"Emerald",IF(E326=3,"Gold",IF(E326=2,"Silver",IF(E326=1,"Bronze","Nothing"))))</f>
        <v>Nothing</v>
      </c>
      <c r="E326" s="1811">
        <f>MIN(E320:E325)</f>
        <v>0</v>
      </c>
      <c r="F326" s="1256" t="s">
        <v>2002</v>
      </c>
      <c r="G326" s="724">
        <f>SUM(G320:G325)</f>
        <v>66</v>
      </c>
    </row>
    <row r="327" spans="1:7">
      <c r="A327" s="1811"/>
      <c r="B327" s="1811"/>
      <c r="C327" s="1811"/>
      <c r="D327" s="1811"/>
      <c r="E327" s="1811"/>
      <c r="F327" s="1811"/>
      <c r="G327" s="1811"/>
    </row>
    <row r="328" spans="1:7">
      <c r="A328" s="1811"/>
      <c r="B328" s="1811"/>
      <c r="C328" s="1811"/>
      <c r="D328" s="1811"/>
      <c r="E328" s="1811"/>
      <c r="F328" s="1811"/>
    </row>
    <row r="329" spans="1:7">
      <c r="A329" s="1811"/>
      <c r="B329" s="1811"/>
      <c r="C329" s="1811" t="s">
        <v>1998</v>
      </c>
      <c r="D329" s="1811">
        <f>231+A337</f>
        <v>231</v>
      </c>
      <c r="E329" s="1811"/>
      <c r="F329" s="1811"/>
    </row>
    <row r="330" spans="1:7">
      <c r="A330" s="1811"/>
      <c r="B330" s="1811"/>
      <c r="C330" s="1811" t="s">
        <v>1999</v>
      </c>
      <c r="D330" s="1811">
        <f>349+A337</f>
        <v>349</v>
      </c>
      <c r="E330" s="1811"/>
      <c r="F330" s="1811"/>
    </row>
    <row r="331" spans="1:7">
      <c r="A331" s="1811"/>
      <c r="B331" s="1811"/>
      <c r="C331" s="1811" t="s">
        <v>2000</v>
      </c>
      <c r="D331" s="1811">
        <f>509+A337</f>
        <v>509</v>
      </c>
      <c r="E331" s="1811"/>
      <c r="F331" s="1811"/>
    </row>
    <row r="332" spans="1:7">
      <c r="A332" s="1811"/>
      <c r="B332" s="1811"/>
      <c r="C332" s="1811" t="s">
        <v>2001</v>
      </c>
      <c r="D332" s="1811">
        <f>641+A337</f>
        <v>641</v>
      </c>
      <c r="E332" s="1811"/>
      <c r="F332" s="1811"/>
    </row>
    <row r="334" spans="1:7">
      <c r="A334" s="1811" t="s">
        <v>326</v>
      </c>
    </row>
    <row r="335" spans="1:7">
      <c r="A335" s="1811">
        <f>IF(VSqFt&gt;4000,(VSqFt-4000),0)</f>
        <v>0</v>
      </c>
    </row>
    <row r="336" spans="1:7">
      <c r="A336" s="1811">
        <f>IF(A335&gt;0,A335/100,0)</f>
        <v>0</v>
      </c>
    </row>
    <row r="337" spans="1:1">
      <c r="A337" s="1811">
        <f>ROUNDUP(A336,0)</f>
        <v>0</v>
      </c>
    </row>
    <row r="339" spans="1:1">
      <c r="A339" s="1811" t="s">
        <v>2786</v>
      </c>
    </row>
    <row r="340" spans="1:1">
      <c r="A340" s="1811" t="str">
        <f>IF(AND(E326=4,vtotalscore&gt;=D332),"Emerald",IF(AND(E326&gt;=3,vtotalscore&gt;=D331),"Gold",IF(AND(E326&gt;=2,vtotalscore&gt;=D330),"Silver",IF(AND(E326&gt;=1,vtotalscore&gt;=D329),"Bronze","Nothing"))))</f>
        <v>Nothing</v>
      </c>
    </row>
  </sheetData>
  <sheetProtection algorithmName="SHA-512" hashValue="AG9t4toL2xKLP2OTj6RFlcDrqjMK7thGwpwlAFPyl+qBeQQ7k+XFHgfOYaokTr5GTkB+THO0CQfurxXkr7I/qA==" saltValue="WTpOYtp4AgxdbRkuPSOD+A==" spinCount="100000" sheet="1" selectLockedCells="1" selectUnlockedCells="1"/>
  <mergeCells count="1">
    <mergeCell ref="A3:C3"/>
  </mergeCells>
  <pageMargins left="0.7" right="0.7" top="0.75" bottom="0.75" header="0.3" footer="0.3"/>
  <pageSetup orientation="portrait" r:id="rId1"/>
  <ignoredErrors>
    <ignoredError sqref="V102" numberStoredAsText="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pageSetUpPr fitToPage="1"/>
  </sheetPr>
  <dimension ref="A1:J104"/>
  <sheetViews>
    <sheetView zoomScaleNormal="100" workbookViewId="0">
      <pane ySplit="3" topLeftCell="A11" activePane="bottomLeft" state="frozen"/>
      <selection activeCell="A3" sqref="A1:K3"/>
      <selection pane="bottomLeft" activeCell="J46" sqref="J46"/>
    </sheetView>
  </sheetViews>
  <sheetFormatPr baseColWidth="10" defaultColWidth="8.83203125" defaultRowHeight="15"/>
  <cols>
    <col min="1" max="1" width="54.1640625" customWidth="1"/>
    <col min="2" max="3" width="15.6640625" customWidth="1"/>
    <col min="7" max="7" width="20.83203125" customWidth="1"/>
    <col min="8" max="8" width="26" customWidth="1"/>
    <col min="9" max="9" width="11.6640625" customWidth="1"/>
    <col min="10" max="10" width="21.1640625" customWidth="1"/>
  </cols>
  <sheetData>
    <row r="1" spans="1:10" ht="45" customHeight="1">
      <c r="A1" s="2295"/>
      <c r="B1" s="5540">
        <v>2012</v>
      </c>
      <c r="C1" s="5540"/>
      <c r="D1" s="2297"/>
      <c r="E1" s="2297"/>
      <c r="F1" s="2297"/>
      <c r="G1" s="2297"/>
      <c r="H1" s="2297"/>
      <c r="I1" s="2297"/>
      <c r="J1" s="2298"/>
    </row>
    <row r="2" spans="1:10" ht="50" customHeight="1" thickBot="1">
      <c r="A2" s="2296" t="s">
        <v>2594</v>
      </c>
      <c r="B2" s="5538" t="str">
        <f>CONCATENATE("Revised ",TEXT(startRevisionDate,"mmmm dd, yyyy"))</f>
        <v>Revised August 21, 2020</v>
      </c>
      <c r="C2" s="5538"/>
      <c r="D2" s="5539" t="str">
        <f>CONCATENATE(copyright," All rights reserved.  This document is protected by U.S. copyright law. Requirements from ICC700-2012 National Green Building Standard™ © 2013 National Association of Home Builders of the U.S. - used by permission."," Home Innovation authorizes use of this document only by those individuals/organizations participating in Home Innovation's Green Building Certification and solely for purpose of seeking project certification from the Home Innovation Research Labs.")</f>
        <v>© 2020 Home Innovation Research Labs, Inc. All rights reserved.  This document is protected by U.S. copyright law. Requirements from ICC700-2012 National Green Building Standard™ © 2013 National Association of Home Builders of the U.S. - used by permission. Home Innovation authorizes use of this document only by those individuals/organizations participating in Home Innovation's Green Building Certification and solely for purpose of seeking project certification from the Home Innovation Research Labs.</v>
      </c>
      <c r="E2" s="5539"/>
      <c r="F2" s="5539"/>
      <c r="G2" s="5539"/>
      <c r="H2" s="5539"/>
      <c r="I2" s="5539"/>
      <c r="J2" s="5539"/>
    </row>
    <row r="3" spans="1:10" ht="19" thickBot="1">
      <c r="A3" s="5535" t="s">
        <v>2597</v>
      </c>
      <c r="B3" s="5536"/>
      <c r="C3" s="5536"/>
      <c r="D3" s="5536"/>
      <c r="E3" s="5536"/>
      <c r="F3" s="5536"/>
      <c r="G3" s="5536"/>
      <c r="H3" s="5536"/>
      <c r="I3" s="5536"/>
      <c r="J3" s="5537"/>
    </row>
    <row r="4" spans="1:10">
      <c r="A4" s="1939" t="s">
        <v>560</v>
      </c>
      <c r="B4" s="5557" t="str">
        <f>IF(startBuilderName="","",startBuilderName)</f>
        <v/>
      </c>
      <c r="C4" s="5557"/>
      <c r="D4" s="5557"/>
      <c r="E4" s="5557"/>
      <c r="F4" s="1909"/>
      <c r="G4" s="1913" t="s">
        <v>2605</v>
      </c>
      <c r="H4" s="2791" t="str">
        <f>IF(ISBLANK(startSingleorMulti),"",startSingleorMulti)</f>
        <v/>
      </c>
      <c r="I4" s="2791"/>
      <c r="J4" s="2793"/>
    </row>
    <row r="5" spans="1:10" ht="30" customHeight="1">
      <c r="A5" s="1941" t="s">
        <v>562</v>
      </c>
      <c r="B5" s="5558" t="str">
        <f>IF(startHomeAddress="", "", CONCATENATE(startHomeAddress, ", ", startHomeCity, ", ", startHomeState, " ", startHomeZip))</f>
        <v/>
      </c>
      <c r="C5" s="5558"/>
      <c r="D5" s="5558"/>
      <c r="E5" s="5558"/>
      <c r="F5" s="1909"/>
      <c r="G5" s="1912" t="s">
        <v>564</v>
      </c>
      <c r="H5" s="2791" t="str">
        <f>IF(ISBLANK(startMultiUnits),"",startMultiUnits)</f>
        <v/>
      </c>
      <c r="I5" s="2791"/>
      <c r="J5" s="2793"/>
    </row>
    <row r="6" spans="1:10">
      <c r="A6" s="1939" t="s">
        <v>180</v>
      </c>
      <c r="B6" s="5558" t="str">
        <f>IF(startLot="", "", startLot)</f>
        <v/>
      </c>
      <c r="C6" s="5558"/>
      <c r="D6" s="5558"/>
      <c r="E6" s="5558"/>
      <c r="F6" s="1909"/>
      <c r="G6" s="1912" t="s">
        <v>184</v>
      </c>
      <c r="H6" s="2791" t="str">
        <f>IF(ISBLANK(vnSqFT),"",vnSqFT)</f>
        <v/>
      </c>
      <c r="I6" s="2794"/>
      <c r="J6" s="2793"/>
    </row>
    <row r="7" spans="1:10">
      <c r="A7" s="1939" t="s">
        <v>565</v>
      </c>
      <c r="B7" s="5558" t="str">
        <f>IF(ISBLANK(startClimateZone),"",startClimateZone)</f>
        <v/>
      </c>
      <c r="C7" s="5558"/>
      <c r="D7" s="5558"/>
      <c r="E7" s="5558"/>
      <c r="F7" s="1909"/>
      <c r="G7" s="1912" t="s">
        <v>567</v>
      </c>
      <c r="H7" s="2791" t="str">
        <f>IF(ISBLANK(ProjectDescription),"",ProjectDescription)</f>
        <v/>
      </c>
      <c r="I7" s="2791"/>
      <c r="J7" s="2793"/>
    </row>
    <row r="8" spans="1:10">
      <c r="A8" s="1942" t="s">
        <v>2059</v>
      </c>
      <c r="B8" s="5558" t="str">
        <f>IF(startCounty="","",startCounty)</f>
        <v/>
      </c>
      <c r="C8" s="5558"/>
      <c r="D8" s="5558"/>
      <c r="E8" s="5558"/>
      <c r="F8" s="1909"/>
      <c r="G8" s="1911" t="s">
        <v>2606</v>
      </c>
      <c r="H8" s="2791" t="str">
        <f>IF(ISBLANK(TargetLevel),"",TargetLevel)</f>
        <v/>
      </c>
      <c r="I8" s="2792"/>
      <c r="J8" s="2793"/>
    </row>
    <row r="9" spans="1:10" ht="16">
      <c r="A9" s="1954" t="s">
        <v>2584</v>
      </c>
      <c r="B9" s="5556" t="str">
        <f>IF(ISBLANK(ProjectID),"Assign Project ID on 'Verification Rpt' Tab",ProjectID)</f>
        <v>PRJEPKDMnz</v>
      </c>
      <c r="C9" s="5556"/>
      <c r="D9" s="5556"/>
      <c r="E9" s="5556"/>
      <c r="F9" s="1909"/>
      <c r="G9" s="1946" t="s">
        <v>2954</v>
      </c>
      <c r="H9" s="5544" t="str">
        <f>IF(AND(D44&lt;&gt;"",J44&lt;&gt;"",J45&lt;&gt;"",J46&lt;&gt;""), "Ready to Submit","Please complete yellow field before submitting")</f>
        <v>Please complete yellow field before submitting</v>
      </c>
      <c r="I9" s="5545"/>
      <c r="J9" s="5546"/>
    </row>
    <row r="10" spans="1:10">
      <c r="A10" s="1947"/>
      <c r="B10" s="1910"/>
      <c r="C10" s="1910"/>
      <c r="D10" s="1910"/>
      <c r="E10" s="1910"/>
      <c r="F10" s="1910"/>
      <c r="G10" s="1910"/>
      <c r="H10" s="1910"/>
      <c r="I10" s="1910"/>
      <c r="J10" s="1940"/>
    </row>
    <row r="11" spans="1:10" ht="20">
      <c r="A11" s="5541" t="s">
        <v>2607</v>
      </c>
      <c r="B11" s="5542"/>
      <c r="C11" s="5542"/>
      <c r="D11" s="5542"/>
      <c r="E11" s="5542"/>
      <c r="F11" s="5542"/>
      <c r="G11" s="5542"/>
      <c r="H11" s="5542"/>
      <c r="I11" s="5542"/>
      <c r="J11" s="5543"/>
    </row>
    <row r="12" spans="1:10" ht="21" thickBot="1">
      <c r="A12" s="5547" t="s">
        <v>687</v>
      </c>
      <c r="B12" s="5549" t="s">
        <v>2608</v>
      </c>
      <c r="C12" s="5551" t="s">
        <v>2609</v>
      </c>
      <c r="D12" s="5553" t="s">
        <v>2610</v>
      </c>
      <c r="E12" s="5554"/>
      <c r="F12" s="5554"/>
      <c r="G12" s="5555"/>
      <c r="H12" s="2795"/>
      <c r="I12" s="2790"/>
      <c r="J12" s="2796"/>
    </row>
    <row r="13" spans="1:10" ht="16" thickBot="1">
      <c r="A13" s="5548"/>
      <c r="B13" s="5550"/>
      <c r="C13" s="5552"/>
      <c r="D13" s="1935" t="s">
        <v>2611</v>
      </c>
      <c r="E13" s="1935" t="s">
        <v>2612</v>
      </c>
      <c r="F13" s="1936" t="s">
        <v>2613</v>
      </c>
      <c r="G13" s="1937" t="s">
        <v>2614</v>
      </c>
      <c r="H13" s="2797"/>
      <c r="I13" s="2790"/>
      <c r="J13" s="2793"/>
    </row>
    <row r="14" spans="1:10">
      <c r="A14" s="5493" t="s">
        <v>2615</v>
      </c>
      <c r="B14" s="5495">
        <f>'Verification Rpt'!G135</f>
        <v>0</v>
      </c>
      <c r="C14" s="5497">
        <f>'Verification Rpt'!H135</f>
        <v>0</v>
      </c>
      <c r="D14" s="1918">
        <v>50</v>
      </c>
      <c r="E14" s="1918">
        <v>64</v>
      </c>
      <c r="F14" s="1918">
        <v>93</v>
      </c>
      <c r="G14" s="1919">
        <v>121</v>
      </c>
      <c r="H14" s="2790"/>
      <c r="I14" s="2790"/>
      <c r="J14" s="2793"/>
    </row>
    <row r="15" spans="1:10" ht="16" thickBot="1">
      <c r="A15" s="5494"/>
      <c r="B15" s="5496"/>
      <c r="C15" s="5498"/>
      <c r="D15" s="1920"/>
      <c r="E15" s="1920"/>
      <c r="F15" s="1920"/>
      <c r="G15" s="1920"/>
      <c r="H15" s="2790"/>
      <c r="I15" s="2790"/>
      <c r="J15" s="2793"/>
    </row>
    <row r="16" spans="1:10">
      <c r="A16" s="5493" t="s">
        <v>2616</v>
      </c>
      <c r="B16" s="5495">
        <f>'Verification Rpt'!G326</f>
        <v>0</v>
      </c>
      <c r="C16" s="5497">
        <f>'Verification Rpt'!H326</f>
        <v>0</v>
      </c>
      <c r="D16" s="1918">
        <v>43</v>
      </c>
      <c r="E16" s="1918">
        <v>59</v>
      </c>
      <c r="F16" s="1918">
        <v>89</v>
      </c>
      <c r="G16" s="1919">
        <v>119</v>
      </c>
      <c r="H16" s="2790"/>
      <c r="I16" s="2790"/>
      <c r="J16" s="2793"/>
    </row>
    <row r="17" spans="1:10" ht="16" thickBot="1">
      <c r="A17" s="5494"/>
      <c r="B17" s="5496"/>
      <c r="C17" s="5498"/>
      <c r="D17" s="1920"/>
      <c r="E17" s="1920"/>
      <c r="F17" s="1920"/>
      <c r="G17" s="1920"/>
      <c r="H17" s="2790"/>
      <c r="I17" s="2790"/>
      <c r="J17" s="2793"/>
    </row>
    <row r="18" spans="1:10">
      <c r="A18" s="5493" t="s">
        <v>2617</v>
      </c>
      <c r="B18" s="5495">
        <f>'Verification Rpt'!G537</f>
        <v>0</v>
      </c>
      <c r="C18" s="5497">
        <f>'Verification Rpt'!H537</f>
        <v>66</v>
      </c>
      <c r="D18" s="1918">
        <v>30</v>
      </c>
      <c r="E18" s="1918">
        <v>60</v>
      </c>
      <c r="F18" s="1918">
        <v>80</v>
      </c>
      <c r="G18" s="1919">
        <v>100</v>
      </c>
      <c r="H18" s="2790"/>
      <c r="I18" s="2790"/>
      <c r="J18" s="2793"/>
    </row>
    <row r="19" spans="1:10" ht="16" thickBot="1">
      <c r="A19" s="5494"/>
      <c r="B19" s="5496"/>
      <c r="C19" s="5498"/>
      <c r="D19" s="1920"/>
      <c r="E19" s="1920"/>
      <c r="F19" s="1920"/>
      <c r="G19" s="1920"/>
      <c r="H19" s="2790"/>
      <c r="I19" s="2790"/>
      <c r="J19" s="2793"/>
    </row>
    <row r="20" spans="1:10">
      <c r="A20" s="5493" t="s">
        <v>2872</v>
      </c>
      <c r="B20" s="5495">
        <f>'Verification Rpt'!G625</f>
        <v>0</v>
      </c>
      <c r="C20" s="5497">
        <f>'Verification Rpt'!H625</f>
        <v>0</v>
      </c>
      <c r="D20" s="1918">
        <v>25</v>
      </c>
      <c r="E20" s="1918">
        <v>39</v>
      </c>
      <c r="F20" s="1918">
        <v>67</v>
      </c>
      <c r="G20" s="1919">
        <v>92</v>
      </c>
      <c r="H20" s="2790"/>
      <c r="I20" s="2790"/>
      <c r="J20" s="2793"/>
    </row>
    <row r="21" spans="1:10" ht="16" thickBot="1">
      <c r="A21" s="5494"/>
      <c r="B21" s="5496"/>
      <c r="C21" s="5498"/>
      <c r="D21" s="1920"/>
      <c r="E21" s="1920"/>
      <c r="F21" s="1920"/>
      <c r="G21" s="1920"/>
      <c r="H21" s="2790"/>
      <c r="I21" s="2790"/>
      <c r="J21" s="2793"/>
    </row>
    <row r="22" spans="1:10">
      <c r="A22" s="5493" t="s">
        <v>2619</v>
      </c>
      <c r="B22" s="5495">
        <f>'Verification Rpt'!G764</f>
        <v>0</v>
      </c>
      <c r="C22" s="5497">
        <f>'Verification Rpt'!H764</f>
        <v>0</v>
      </c>
      <c r="D22" s="1918">
        <v>25</v>
      </c>
      <c r="E22" s="1918">
        <v>42</v>
      </c>
      <c r="F22" s="1918">
        <v>69</v>
      </c>
      <c r="G22" s="1919">
        <v>97</v>
      </c>
      <c r="H22" s="2790"/>
      <c r="I22" s="2790"/>
      <c r="J22" s="2793"/>
    </row>
    <row r="23" spans="1:10" ht="16" thickBot="1">
      <c r="A23" s="5494"/>
      <c r="B23" s="5496"/>
      <c r="C23" s="5498"/>
      <c r="D23" s="1920"/>
      <c r="E23" s="1920"/>
      <c r="F23" s="1920"/>
      <c r="G23" s="1920"/>
      <c r="H23" s="2790"/>
      <c r="I23" s="2790"/>
      <c r="J23" s="2793"/>
    </row>
    <row r="24" spans="1:10">
      <c r="A24" s="5493" t="s">
        <v>2620</v>
      </c>
      <c r="B24" s="5495">
        <f>'Verification Rpt'!G823</f>
        <v>0</v>
      </c>
      <c r="C24" s="5497">
        <f>'Verification Rpt'!H823</f>
        <v>0</v>
      </c>
      <c r="D24" s="1918">
        <v>8</v>
      </c>
      <c r="E24" s="1918">
        <v>10</v>
      </c>
      <c r="F24" s="1918">
        <v>11</v>
      </c>
      <c r="G24" s="1919">
        <v>12</v>
      </c>
      <c r="H24" s="2790"/>
      <c r="I24" s="2790"/>
      <c r="J24" s="2793"/>
    </row>
    <row r="25" spans="1:10" ht="16" thickBot="1">
      <c r="A25" s="5494"/>
      <c r="B25" s="5496"/>
      <c r="C25" s="5498"/>
      <c r="D25" s="1920"/>
      <c r="E25" s="1920"/>
      <c r="F25" s="1920"/>
      <c r="G25" s="1920"/>
      <c r="H25" s="2790"/>
      <c r="I25" s="2790"/>
      <c r="J25" s="2793"/>
    </row>
    <row r="26" spans="1:10" ht="16" thickBot="1">
      <c r="A26" s="1948"/>
      <c r="B26" s="1925"/>
      <c r="C26" s="1910"/>
      <c r="D26" s="1910"/>
      <c r="E26" s="1910"/>
      <c r="F26" s="1910"/>
      <c r="G26" s="1910"/>
      <c r="H26" s="2790"/>
      <c r="I26" s="2790"/>
      <c r="J26" s="2793"/>
    </row>
    <row r="27" spans="1:10">
      <c r="A27" s="5501" t="s">
        <v>2621</v>
      </c>
      <c r="B27" s="5499">
        <f>SUM(B14:B25)</f>
        <v>0</v>
      </c>
      <c r="C27" s="5499">
        <f>SUM(C14:C25)</f>
        <v>66</v>
      </c>
      <c r="D27" s="1921" t="s">
        <v>2611</v>
      </c>
      <c r="E27" s="1921" t="s">
        <v>2612</v>
      </c>
      <c r="F27" s="1921" t="s">
        <v>2613</v>
      </c>
      <c r="G27" s="1922" t="s">
        <v>2614</v>
      </c>
      <c r="H27" s="2790"/>
      <c r="I27" s="2790"/>
      <c r="J27" s="2793"/>
    </row>
    <row r="28" spans="1:10" ht="16" thickBot="1">
      <c r="A28" s="5502"/>
      <c r="B28" s="5503"/>
      <c r="C28" s="5500"/>
      <c r="D28" s="1938">
        <v>231</v>
      </c>
      <c r="E28" s="1938">
        <v>349</v>
      </c>
      <c r="F28" s="1938">
        <v>509</v>
      </c>
      <c r="G28" s="1938">
        <v>641</v>
      </c>
      <c r="H28" s="2790"/>
      <c r="I28" s="2790"/>
      <c r="J28" s="2793"/>
    </row>
    <row r="29" spans="1:10">
      <c r="A29" s="1923"/>
      <c r="B29" s="1924"/>
      <c r="C29" s="1925"/>
      <c r="D29" s="1924"/>
      <c r="E29" s="1925"/>
      <c r="F29" s="1933"/>
      <c r="G29" s="1934"/>
      <c r="H29" s="2798"/>
      <c r="I29" s="2798"/>
      <c r="J29" s="2799"/>
    </row>
    <row r="30" spans="1:10" ht="16" thickBot="1">
      <c r="A30" s="1949" t="s">
        <v>2622</v>
      </c>
      <c r="B30" s="1910"/>
      <c r="C30" s="1910"/>
      <c r="D30" s="1910"/>
      <c r="E30" s="1910"/>
      <c r="F30" s="1910"/>
      <c r="G30" s="1910"/>
      <c r="H30" s="2790"/>
      <c r="I30" s="2800"/>
      <c r="J30" s="2801"/>
    </row>
    <row r="31" spans="1:10">
      <c r="A31" s="5506"/>
      <c r="B31" s="5507"/>
      <c r="C31" s="5507"/>
      <c r="D31" s="5507"/>
      <c r="E31" s="5507"/>
      <c r="F31" s="5507"/>
      <c r="G31" s="5507"/>
      <c r="H31" s="5507"/>
      <c r="I31" s="5507"/>
      <c r="J31" s="5508"/>
    </row>
    <row r="32" spans="1:10">
      <c r="A32" s="5509"/>
      <c r="B32" s="5510"/>
      <c r="C32" s="5510"/>
      <c r="D32" s="5510"/>
      <c r="E32" s="5510"/>
      <c r="F32" s="5510"/>
      <c r="G32" s="5510"/>
      <c r="H32" s="5510"/>
      <c r="I32" s="5510"/>
      <c r="J32" s="5511"/>
    </row>
    <row r="33" spans="1:10">
      <c r="A33" s="5509"/>
      <c r="B33" s="5510"/>
      <c r="C33" s="5510"/>
      <c r="D33" s="5510"/>
      <c r="E33" s="5510"/>
      <c r="F33" s="5510"/>
      <c r="G33" s="5510"/>
      <c r="H33" s="5510"/>
      <c r="I33" s="5510"/>
      <c r="J33" s="5511"/>
    </row>
    <row r="34" spans="1:10">
      <c r="A34" s="5521"/>
      <c r="B34" s="5522"/>
      <c r="C34" s="5522"/>
      <c r="D34" s="5522"/>
      <c r="E34" s="5522"/>
      <c r="F34" s="5522"/>
      <c r="G34" s="5522"/>
      <c r="H34" s="5522"/>
      <c r="I34" s="5522"/>
      <c r="J34" s="5523"/>
    </row>
    <row r="35" spans="1:10">
      <c r="A35" s="5524"/>
      <c r="B35" s="5517"/>
      <c r="C35" s="5517"/>
      <c r="D35" s="5517"/>
      <c r="E35" s="5517"/>
      <c r="F35" s="5517"/>
      <c r="G35" s="1926" t="s">
        <v>2623</v>
      </c>
      <c r="H35" s="5525"/>
      <c r="I35" s="5526"/>
      <c r="J35" s="2113"/>
    </row>
    <row r="36" spans="1:10" ht="27.75" customHeight="1">
      <c r="A36" s="5527" t="s">
        <v>2624</v>
      </c>
      <c r="B36" s="5528"/>
      <c r="C36" s="5528"/>
      <c r="D36" s="5529" t="s">
        <v>2625</v>
      </c>
      <c r="E36" s="5528"/>
      <c r="F36" s="5528"/>
      <c r="G36" s="1927" t="s">
        <v>2626</v>
      </c>
      <c r="H36" s="5530"/>
      <c r="I36" s="5531"/>
      <c r="J36" s="2647" t="s">
        <v>3134</v>
      </c>
    </row>
    <row r="37" spans="1:10">
      <c r="A37" s="1950"/>
      <c r="B37" s="1917"/>
      <c r="C37" s="1917"/>
      <c r="D37" s="1917"/>
      <c r="E37" s="1917"/>
      <c r="F37" s="1917"/>
      <c r="G37" s="1917"/>
      <c r="H37" s="1917"/>
      <c r="I37" s="1917"/>
      <c r="J37" s="1951"/>
    </row>
    <row r="38" spans="1:10" ht="16" thickBot="1">
      <c r="A38" s="1952" t="s">
        <v>2627</v>
      </c>
      <c r="B38" s="1917"/>
      <c r="C38" s="1917"/>
      <c r="D38" s="1917"/>
      <c r="E38" s="1917"/>
      <c r="F38" s="1917"/>
      <c r="G38" s="1917"/>
      <c r="H38" s="1917"/>
      <c r="I38" s="1917"/>
      <c r="J38" s="1953"/>
    </row>
    <row r="39" spans="1:10">
      <c r="A39" s="5506"/>
      <c r="B39" s="5507"/>
      <c r="C39" s="5507"/>
      <c r="D39" s="5507"/>
      <c r="E39" s="5507"/>
      <c r="F39" s="5507"/>
      <c r="G39" s="5507"/>
      <c r="H39" s="5507"/>
      <c r="I39" s="5507"/>
      <c r="J39" s="5508"/>
    </row>
    <row r="40" spans="1:10">
      <c r="A40" s="5509"/>
      <c r="B40" s="5510"/>
      <c r="C40" s="5510"/>
      <c r="D40" s="5510"/>
      <c r="E40" s="5510"/>
      <c r="F40" s="5510"/>
      <c r="G40" s="5510"/>
      <c r="H40" s="5510"/>
      <c r="I40" s="5510"/>
      <c r="J40" s="5511"/>
    </row>
    <row r="41" spans="1:10">
      <c r="A41" s="5509"/>
      <c r="B41" s="5510"/>
      <c r="C41" s="5510"/>
      <c r="D41" s="5510"/>
      <c r="E41" s="5510"/>
      <c r="F41" s="5510"/>
      <c r="G41" s="5510"/>
      <c r="H41" s="5510"/>
      <c r="I41" s="5510"/>
      <c r="J41" s="5511"/>
    </row>
    <row r="42" spans="1:10">
      <c r="A42" s="5509"/>
      <c r="B42" s="5510"/>
      <c r="C42" s="5510"/>
      <c r="D42" s="5510"/>
      <c r="E42" s="5510"/>
      <c r="F42" s="5510"/>
      <c r="G42" s="5510"/>
      <c r="H42" s="5510"/>
      <c r="I42" s="5510"/>
      <c r="J42" s="5511"/>
    </row>
    <row r="43" spans="1:10" ht="47.25" customHeight="1">
      <c r="A43" s="5512" t="s">
        <v>3081</v>
      </c>
      <c r="B43" s="5513"/>
      <c r="C43" s="5513"/>
      <c r="D43" s="5513"/>
      <c r="E43" s="5513"/>
      <c r="F43" s="5513"/>
      <c r="G43" s="5513"/>
      <c r="H43" s="5513"/>
      <c r="I43" s="5513"/>
      <c r="J43" s="5514"/>
    </row>
    <row r="44" spans="1:10" ht="39.75" customHeight="1">
      <c r="A44" s="5515"/>
      <c r="B44" s="5516"/>
      <c r="C44" s="5516"/>
      <c r="D44" s="5517"/>
      <c r="E44" s="5517"/>
      <c r="F44" s="5517"/>
      <c r="G44" s="1928" t="s">
        <v>2628</v>
      </c>
      <c r="H44" s="1929"/>
      <c r="I44" s="2645" t="s">
        <v>2963</v>
      </c>
      <c r="J44" s="2114"/>
    </row>
    <row r="45" spans="1:10" ht="16" thickBot="1">
      <c r="A45" s="5518" t="s">
        <v>2629</v>
      </c>
      <c r="B45" s="5519"/>
      <c r="C45" s="5519"/>
      <c r="D45" s="5520" t="s">
        <v>2625</v>
      </c>
      <c r="E45" s="5519"/>
      <c r="F45" s="5519"/>
      <c r="G45" s="1930" t="s">
        <v>2626</v>
      </c>
      <c r="H45" s="1931"/>
      <c r="I45" s="2646" t="s">
        <v>2630</v>
      </c>
      <c r="J45" s="2114"/>
    </row>
    <row r="46" spans="1:10" ht="39" customHeight="1" thickBot="1">
      <c r="A46" s="5533" t="s">
        <v>2868</v>
      </c>
      <c r="B46" s="5534"/>
      <c r="C46" s="5534"/>
      <c r="D46" s="5534"/>
      <c r="E46" s="5534"/>
      <c r="F46" s="5534"/>
      <c r="G46" s="5534"/>
      <c r="H46" s="5534"/>
      <c r="I46" s="1932" t="s">
        <v>2964</v>
      </c>
      <c r="J46" s="2115"/>
    </row>
    <row r="49" spans="1:10">
      <c r="A49" s="497" t="s">
        <v>3056</v>
      </c>
      <c r="B49" s="2711"/>
      <c r="C49" s="2711"/>
      <c r="D49" s="2711"/>
      <c r="E49" s="2711"/>
      <c r="F49" s="2711"/>
    </row>
    <row r="50" spans="1:10" ht="15" customHeight="1">
      <c r="A50" s="5532" t="s">
        <v>3057</v>
      </c>
      <c r="B50" s="5532"/>
      <c r="C50" s="5532"/>
      <c r="D50" s="5532"/>
      <c r="E50" s="5532"/>
      <c r="F50" s="5532"/>
      <c r="G50" s="5532"/>
      <c r="H50" s="5532"/>
      <c r="I50" s="5532"/>
      <c r="J50" s="5532"/>
    </row>
    <row r="51" spans="1:10">
      <c r="A51" s="2711"/>
      <c r="B51" s="2711"/>
      <c r="C51" s="2711"/>
      <c r="D51" s="2711"/>
      <c r="E51" s="2711"/>
      <c r="F51" s="2711"/>
    </row>
    <row r="52" spans="1:10">
      <c r="A52" s="2711"/>
      <c r="B52" s="2711"/>
      <c r="C52" s="2711"/>
      <c r="D52" s="2711"/>
      <c r="E52" s="2711"/>
      <c r="F52" s="2711"/>
    </row>
    <row r="53" spans="1:10">
      <c r="A53" s="2721" t="s">
        <v>3058</v>
      </c>
      <c r="B53" s="2721" t="s">
        <v>3059</v>
      </c>
      <c r="C53" s="5504" t="s">
        <v>3060</v>
      </c>
      <c r="D53" s="5504"/>
      <c r="E53" s="5504"/>
      <c r="F53" s="2718" t="s">
        <v>3061</v>
      </c>
      <c r="G53" s="2722"/>
    </row>
    <row r="54" spans="1:10">
      <c r="A54" s="2724"/>
      <c r="B54" s="2724"/>
      <c r="C54" s="5483"/>
      <c r="D54" s="5483"/>
      <c r="E54" s="5483"/>
      <c r="F54" s="5481"/>
      <c r="G54" s="5482"/>
    </row>
    <row r="55" spans="1:10">
      <c r="A55" s="2724"/>
      <c r="B55" s="2724"/>
      <c r="C55" s="5483"/>
      <c r="D55" s="5483"/>
      <c r="E55" s="5483"/>
      <c r="F55" s="5481"/>
      <c r="G55" s="5482"/>
    </row>
    <row r="56" spans="1:10">
      <c r="A56" s="2724"/>
      <c r="B56" s="2724"/>
      <c r="C56" s="5483"/>
      <c r="D56" s="5483"/>
      <c r="E56" s="5483"/>
      <c r="F56" s="5481"/>
      <c r="G56" s="5482"/>
    </row>
    <row r="57" spans="1:10">
      <c r="A57" s="2724"/>
      <c r="B57" s="2724"/>
      <c r="C57" s="5483"/>
      <c r="D57" s="5483"/>
      <c r="E57" s="5483"/>
      <c r="F57" s="5481"/>
      <c r="G57" s="5482"/>
    </row>
    <row r="58" spans="1:10">
      <c r="A58" s="2724"/>
      <c r="B58" s="2724"/>
      <c r="C58" s="5483"/>
      <c r="D58" s="5483"/>
      <c r="E58" s="5483"/>
      <c r="F58" s="5481"/>
      <c r="G58" s="5482"/>
    </row>
    <row r="59" spans="1:10">
      <c r="A59" s="2711"/>
      <c r="B59" s="2711"/>
      <c r="C59" s="2711"/>
      <c r="D59" s="2711"/>
      <c r="E59" s="2711"/>
      <c r="F59" s="2711"/>
    </row>
    <row r="61" spans="1:10">
      <c r="A61" s="497" t="s">
        <v>3062</v>
      </c>
      <c r="B61" s="326"/>
      <c r="C61" s="2712"/>
      <c r="D61" s="2712"/>
      <c r="E61" s="2712"/>
      <c r="F61" s="2712"/>
      <c r="G61" s="182"/>
      <c r="H61" s="2711"/>
      <c r="I61" s="2711"/>
      <c r="J61" s="2711"/>
    </row>
    <row r="62" spans="1:10">
      <c r="A62" s="32"/>
      <c r="B62" s="326"/>
      <c r="C62" s="2712"/>
      <c r="D62" s="2712"/>
      <c r="E62" s="2712"/>
      <c r="F62" s="2712"/>
      <c r="G62" s="182"/>
      <c r="H62" s="2711"/>
      <c r="I62" s="2711"/>
      <c r="J62" s="2711"/>
    </row>
    <row r="63" spans="1:10">
      <c r="A63" s="5484" t="s">
        <v>3043</v>
      </c>
      <c r="B63" s="5485"/>
      <c r="C63" s="5485"/>
      <c r="D63" s="5485"/>
      <c r="E63" s="5485"/>
      <c r="F63" s="5485"/>
      <c r="G63" s="5485"/>
      <c r="H63" s="5485"/>
      <c r="I63" s="5485"/>
      <c r="J63" s="5486"/>
    </row>
    <row r="64" spans="1:10" ht="16">
      <c r="A64" s="2756" t="s">
        <v>3044</v>
      </c>
      <c r="B64" s="5484" t="s">
        <v>3045</v>
      </c>
      <c r="C64" s="5485"/>
      <c r="D64" s="5487" t="s">
        <v>3046</v>
      </c>
      <c r="E64" s="5488"/>
      <c r="F64" s="2763" t="s">
        <v>3047</v>
      </c>
      <c r="G64" s="2765" t="s">
        <v>3048</v>
      </c>
      <c r="H64" s="2762" t="s">
        <v>2584</v>
      </c>
      <c r="I64" s="5505" t="s">
        <v>3095</v>
      </c>
      <c r="J64" s="5505"/>
    </row>
    <row r="65" spans="1:10">
      <c r="A65" s="2761" t="str">
        <f>IF(ISBLANK(BatchProcessingFinalAddress01),"",BatchProcessingFinalAddress01)</f>
        <v/>
      </c>
      <c r="B65" s="5474" t="str">
        <f>IF(ISBLANK(BatchProcessingRoughAddress01),"",BatchProcessingRoughAddress01)</f>
        <v/>
      </c>
      <c r="C65" s="5475"/>
      <c r="D65" s="5476" t="str">
        <f xml:space="preserve"> IF(ISBLANK(BatchProcessingRegistrationCity),"",BatchProcessingRegistrationCity)</f>
        <v/>
      </c>
      <c r="E65" s="5476"/>
      <c r="F65" s="5476" t="str">
        <f>IF(ISBLANK(BatchProcessingRegistrationState),"",BatchProcessingRegistrationState)</f>
        <v/>
      </c>
      <c r="G65" s="5477" t="str">
        <f xml:space="preserve"> IF(ISBLANK(BatchProcessingRegistrationZip),"",BatchProcessingRegistrationZip)</f>
        <v/>
      </c>
      <c r="H65" s="2834" t="str">
        <f>IF(ISBLANK(BatchProcessingProjectID01),"",BatchProcessingProjectID01)</f>
        <v/>
      </c>
      <c r="I65" s="5478"/>
      <c r="J65" s="5478"/>
    </row>
    <row r="66" spans="1:10">
      <c r="A66" s="2725" t="str">
        <f>IF(ISBLANK(BatchProcessingFinalAddress02),"",BatchProcessingFinalAddress02)</f>
        <v/>
      </c>
      <c r="B66" s="5474" t="str">
        <f>IF(ISBLANK(BatchProcessingRoughAddress02),"",BatchProcessingRoughAddress02)</f>
        <v/>
      </c>
      <c r="C66" s="5475"/>
      <c r="D66" s="5476"/>
      <c r="E66" s="5476"/>
      <c r="F66" s="5476"/>
      <c r="G66" s="5477"/>
      <c r="H66" s="2839" t="str">
        <f>IF(ISBLANK(BatchProcessingProjectID02),"",BatchProcessingProjectID02)</f>
        <v/>
      </c>
      <c r="I66" s="5478"/>
      <c r="J66" s="5478"/>
    </row>
    <row r="67" spans="1:10">
      <c r="A67" s="2725" t="str">
        <f>IF(ISBLANK(BatchProcessingFinalAddress03),"",BatchProcessingFinalAddress03)</f>
        <v/>
      </c>
      <c r="B67" s="5474" t="str">
        <f>IF(ISBLANK(BatchProcessingRoughAddress03),"",BatchProcessingRoughAddress03)</f>
        <v/>
      </c>
      <c r="C67" s="5475"/>
      <c r="D67" s="5476"/>
      <c r="E67" s="5476"/>
      <c r="F67" s="5476"/>
      <c r="G67" s="5477"/>
      <c r="H67" s="2839" t="str">
        <f>IF(ISBLANK(BatchProcessingProjectID03),"",BatchProcessingProjectID03)</f>
        <v/>
      </c>
      <c r="I67" s="5478"/>
      <c r="J67" s="5478"/>
    </row>
    <row r="68" spans="1:10">
      <c r="A68" s="2725" t="str">
        <f>IF(ISBLANK(BatchProcessingFinalAddress04),"",BatchProcessingFinalAddress04)</f>
        <v/>
      </c>
      <c r="B68" s="5474" t="str">
        <f>IF(ISBLANK(BatchProcessingRoughAddress04),"",BatchProcessingRoughAddress04)</f>
        <v/>
      </c>
      <c r="C68" s="5475"/>
      <c r="D68" s="5476"/>
      <c r="E68" s="5476"/>
      <c r="F68" s="5476"/>
      <c r="G68" s="5477"/>
      <c r="H68" s="2839" t="str">
        <f>IF(ISBLANK(BatchProcessingProjectID04),"",BatchProcessingProjectID04)</f>
        <v/>
      </c>
      <c r="I68" s="5478"/>
      <c r="J68" s="5478"/>
    </row>
    <row r="69" spans="1:10" s="2752" customFormat="1">
      <c r="A69" s="2725" t="str">
        <f>IF(ISBLANK(BatchProcessingFinalAddress05),"",BatchProcessingFinalAddress05)</f>
        <v/>
      </c>
      <c r="B69" s="5474" t="str">
        <f>IF(ISBLANK(BatchProcessingRoughAddress05),"",BatchProcessingRoughAddress05)</f>
        <v/>
      </c>
      <c r="C69" s="5475"/>
      <c r="D69" s="5476"/>
      <c r="E69" s="5476"/>
      <c r="F69" s="5476"/>
      <c r="G69" s="5477"/>
      <c r="H69" s="2839" t="str">
        <f>IF(ISBLANK(BatchProcessingProjectID05),"",BatchProcessingProjectID05)</f>
        <v/>
      </c>
      <c r="I69" s="5479"/>
      <c r="J69" s="5480"/>
    </row>
    <row r="70" spans="1:10" s="2752" customFormat="1">
      <c r="A70" s="2725" t="str">
        <f>IF(ISBLANK(BatchProcessingFinalAddress06),"",BatchProcessingFinalAddress06)</f>
        <v/>
      </c>
      <c r="B70" s="5474" t="str">
        <f>IF(ISBLANK(BatchProcessingRoughAddress06),"",BatchProcessingRoughAddress06)</f>
        <v/>
      </c>
      <c r="C70" s="5475"/>
      <c r="D70" s="5476"/>
      <c r="E70" s="5476"/>
      <c r="F70" s="5476"/>
      <c r="G70" s="5477"/>
      <c r="H70" s="2839" t="str">
        <f>IF(ISBLANK(BatchProcessingProjectID06),"",BatchProcessingProjectID06)</f>
        <v/>
      </c>
      <c r="I70" s="5479"/>
      <c r="J70" s="5480"/>
    </row>
    <row r="71" spans="1:10" s="2752" customFormat="1">
      <c r="A71" s="2725" t="str">
        <f>IF(ISBLANK(BatchProcessingFinalAddress07),"",BatchProcessingFinalAddress07)</f>
        <v/>
      </c>
      <c r="B71" s="5474" t="str">
        <f>IF(ISBLANK(BatchProcessingRoughAddress07),"",BatchProcessingRoughAddress07)</f>
        <v/>
      </c>
      <c r="C71" s="5475"/>
      <c r="D71" s="5476"/>
      <c r="E71" s="5476"/>
      <c r="F71" s="5476"/>
      <c r="G71" s="5477"/>
      <c r="H71" s="2839" t="str">
        <f>IF(ISBLANK(BatchProcessingProjectID07),"",BatchProcessingProjectID07)</f>
        <v/>
      </c>
      <c r="I71" s="5479"/>
      <c r="J71" s="5480"/>
    </row>
    <row r="72" spans="1:10" s="2752" customFormat="1">
      <c r="A72" s="2725" t="str">
        <f>IF(ISBLANK(BatchProcessingFinalAddress08),"",BatchProcessingFinalAddress08)</f>
        <v/>
      </c>
      <c r="B72" s="5474" t="str">
        <f>IF(ISBLANK(BatchProcessingRoughAddress08),"",BatchProcessingRoughAddress08)</f>
        <v/>
      </c>
      <c r="C72" s="5475"/>
      <c r="D72" s="5476"/>
      <c r="E72" s="5476"/>
      <c r="F72" s="5476"/>
      <c r="G72" s="5477"/>
      <c r="H72" s="2839" t="str">
        <f>IF(ISBLANK(BatchProcessingProjectID08),"",BatchProcessingProjectID08)</f>
        <v/>
      </c>
      <c r="I72" s="5479"/>
      <c r="J72" s="5480"/>
    </row>
    <row r="73" spans="1:10" s="2752" customFormat="1">
      <c r="A73" s="2725" t="str">
        <f>IF(ISBLANK(BatchProcessingFinalAddress09),"",BatchProcessingFinalAddress09)</f>
        <v/>
      </c>
      <c r="B73" s="5474" t="str">
        <f>IF(ISBLANK(BatchProcessingRoughAddress09),"",BatchProcessingRoughAddress09)</f>
        <v/>
      </c>
      <c r="C73" s="5475"/>
      <c r="D73" s="5476"/>
      <c r="E73" s="5476"/>
      <c r="F73" s="5476"/>
      <c r="G73" s="5477"/>
      <c r="H73" s="2839" t="str">
        <f>IF(ISBLANK(BatchProcessingProjectID09),"",BatchProcessingProjectID09)</f>
        <v/>
      </c>
      <c r="I73" s="5479"/>
      <c r="J73" s="5480"/>
    </row>
    <row r="74" spans="1:10">
      <c r="A74" s="2725" t="str">
        <f>IF(ISBLANK(BatchProcessingFinalAddress10),"",BatchProcessingFinalAddress10)</f>
        <v/>
      </c>
      <c r="B74" s="5474" t="str">
        <f>IF(ISBLANK(BatchProcessingRoughAddress10),"",BatchProcessingRoughAddress10)</f>
        <v/>
      </c>
      <c r="C74" s="5475"/>
      <c r="D74" s="5476"/>
      <c r="E74" s="5476"/>
      <c r="F74" s="5476"/>
      <c r="G74" s="5477"/>
      <c r="H74" s="2839" t="str">
        <f>IF(ISBLANK(BatchProcessingProjectID10),"",BatchProcessingProjectID10)</f>
        <v/>
      </c>
      <c r="I74" s="5478"/>
      <c r="J74" s="5478"/>
    </row>
    <row r="75" spans="1:10" s="2833" customFormat="1">
      <c r="A75" s="2761" t="str">
        <f>IF(ISBLANK(BatchProcessingFinalAddress11),"",BatchProcessingFinalAddress11)</f>
        <v/>
      </c>
      <c r="B75" s="5474" t="str">
        <f>IF(ISBLANK(BatchProcessingRoughAddress11),"",BatchProcessingRoughAddress11)</f>
        <v/>
      </c>
      <c r="C75" s="5475"/>
      <c r="D75" s="5476"/>
      <c r="E75" s="5476"/>
      <c r="F75" s="5476"/>
      <c r="G75" s="5477"/>
      <c r="H75" s="2834" t="str">
        <f>IF(ISBLANK(BatchProcessingProjectID11),"",BatchProcessingProjectID11)</f>
        <v/>
      </c>
      <c r="I75" s="5478"/>
      <c r="J75" s="5478"/>
    </row>
    <row r="76" spans="1:10" s="2833" customFormat="1">
      <c r="A76" s="2725" t="str">
        <f>IF(ISBLANK(BatchProcessingFinalAddress12),"",BatchProcessingFinalAddress12)</f>
        <v/>
      </c>
      <c r="B76" s="5474" t="str">
        <f>IF(ISBLANK(BatchProcessingRoughAddress12),"",BatchProcessingRoughAddress12)</f>
        <v/>
      </c>
      <c r="C76" s="5475"/>
      <c r="D76" s="5476"/>
      <c r="E76" s="5476"/>
      <c r="F76" s="5476"/>
      <c r="G76" s="5477"/>
      <c r="H76" s="2839" t="str">
        <f>IF(ISBLANK(BatchProcessingProjectID12),"",BatchProcessingProjectID12)</f>
        <v/>
      </c>
      <c r="I76" s="5478"/>
      <c r="J76" s="5478"/>
    </row>
    <row r="77" spans="1:10" s="2833" customFormat="1">
      <c r="A77" s="2725" t="str">
        <f>IF(ISBLANK(BatchProcessingFinalAddress13),"",BatchProcessingFinalAddress13)</f>
        <v/>
      </c>
      <c r="B77" s="5474" t="str">
        <f>IF(ISBLANK(BatchProcessingRoughAddress13),"",BatchProcessingRoughAddress13)</f>
        <v/>
      </c>
      <c r="C77" s="5475"/>
      <c r="D77" s="5476"/>
      <c r="E77" s="5476"/>
      <c r="F77" s="5476"/>
      <c r="G77" s="5477"/>
      <c r="H77" s="2839" t="str">
        <f>IF(ISBLANK(BatchProcessingProjectID13),"",BatchProcessingProjectID13)</f>
        <v/>
      </c>
      <c r="I77" s="5478"/>
      <c r="J77" s="5478"/>
    </row>
    <row r="78" spans="1:10" s="2833" customFormat="1">
      <c r="A78" s="2725" t="str">
        <f>IF(ISBLANK(BatchProcessingFinalAddress14),"",BatchProcessingFinalAddress14)</f>
        <v/>
      </c>
      <c r="B78" s="5474" t="str">
        <f>IF(ISBLANK(BatchProcessingRoughAddress14),"",BatchProcessingRoughAddress14)</f>
        <v/>
      </c>
      <c r="C78" s="5475"/>
      <c r="D78" s="5476"/>
      <c r="E78" s="5476"/>
      <c r="F78" s="5476"/>
      <c r="G78" s="5477"/>
      <c r="H78" s="2839" t="str">
        <f>IF(ISBLANK(BatchProcessingProjectID14),"",BatchProcessingProjectID14)</f>
        <v/>
      </c>
      <c r="I78" s="5478"/>
      <c r="J78" s="5478"/>
    </row>
    <row r="79" spans="1:10" s="2833" customFormat="1">
      <c r="A79" s="2725" t="str">
        <f>IF(ISBLANK(BatchProcessingFinalAddress15),"",BatchProcessingFinalAddress15)</f>
        <v/>
      </c>
      <c r="B79" s="5474" t="str">
        <f>IF(ISBLANK(BatchProcessingRoughAddress15),"",BatchProcessingRoughAddress15)</f>
        <v/>
      </c>
      <c r="C79" s="5475"/>
      <c r="D79" s="5476"/>
      <c r="E79" s="5476"/>
      <c r="F79" s="5476"/>
      <c r="G79" s="5477"/>
      <c r="H79" s="2839" t="str">
        <f>IF(ISBLANK(BatchProcessingProjectID15),"",BatchProcessingProjectID15)</f>
        <v/>
      </c>
      <c r="I79" s="5479"/>
      <c r="J79" s="5480"/>
    </row>
    <row r="80" spans="1:10" s="2833" customFormat="1">
      <c r="A80" s="2725" t="str">
        <f>IF(ISBLANK(BatchProcessingFinalAddress16),"",BatchProcessingFinalAddress16)</f>
        <v/>
      </c>
      <c r="B80" s="5474" t="str">
        <f>IF(ISBLANK(BatchProcessingRoughAddress16),"",BatchProcessingRoughAddress16)</f>
        <v/>
      </c>
      <c r="C80" s="5475"/>
      <c r="D80" s="5476"/>
      <c r="E80" s="5476"/>
      <c r="F80" s="5476"/>
      <c r="G80" s="5477"/>
      <c r="H80" s="2839" t="str">
        <f>IF(ISBLANK(BatchProcessingProjectID16),"",BatchProcessingProjectID16)</f>
        <v/>
      </c>
      <c r="I80" s="5479"/>
      <c r="J80" s="5480"/>
    </row>
    <row r="81" spans="1:10" s="2833" customFormat="1">
      <c r="A81" s="2725" t="str">
        <f>IF(ISBLANK(BatchProcessingFinalAddress17),"",BatchProcessingFinalAddress17)</f>
        <v/>
      </c>
      <c r="B81" s="5474" t="str">
        <f>IF(ISBLANK(BatchProcessingRoughAddress17),"",BatchProcessingRoughAddress17)</f>
        <v/>
      </c>
      <c r="C81" s="5475"/>
      <c r="D81" s="5476"/>
      <c r="E81" s="5476"/>
      <c r="F81" s="5476"/>
      <c r="G81" s="5477"/>
      <c r="H81" s="2839" t="str">
        <f>IF(ISBLANK(BatchProcessingProjectID17),"",BatchProcessingProjectID17)</f>
        <v/>
      </c>
      <c r="I81" s="5479"/>
      <c r="J81" s="5480"/>
    </row>
    <row r="82" spans="1:10" s="2833" customFormat="1">
      <c r="A82" s="2725" t="str">
        <f>IF(ISBLANK(BatchProcessingFinalAddress18),"",BatchProcessingFinalAddress18)</f>
        <v/>
      </c>
      <c r="B82" s="5474" t="str">
        <f>IF(ISBLANK(BatchProcessingRoughAddress18),"",BatchProcessingRoughAddress18)</f>
        <v/>
      </c>
      <c r="C82" s="5475"/>
      <c r="D82" s="5476"/>
      <c r="E82" s="5476"/>
      <c r="F82" s="5476"/>
      <c r="G82" s="5477"/>
      <c r="H82" s="2839" t="str">
        <f>IF(ISBLANK(BatchProcessingProjectID18),"",BatchProcessingProjectID18)</f>
        <v/>
      </c>
      <c r="I82" s="5479"/>
      <c r="J82" s="5480"/>
    </row>
    <row r="83" spans="1:10" s="2833" customFormat="1">
      <c r="A83" s="2725" t="str">
        <f>IF(ISBLANK(BatchProcessingFinalAddress19),"",BatchProcessingFinalAddress19)</f>
        <v/>
      </c>
      <c r="B83" s="5474" t="str">
        <f>IF(ISBLANK(BatchProcessingRoughAddress19),"",BatchProcessingRoughAddress19)</f>
        <v/>
      </c>
      <c r="C83" s="5475"/>
      <c r="D83" s="5476"/>
      <c r="E83" s="5476"/>
      <c r="F83" s="5476"/>
      <c r="G83" s="5477"/>
      <c r="H83" s="2839" t="str">
        <f>IF(ISBLANK(BatchProcessingProjectID19),"",BatchProcessingProjectID19)</f>
        <v/>
      </c>
      <c r="I83" s="5479"/>
      <c r="J83" s="5480"/>
    </row>
    <row r="84" spans="1:10" s="2833" customFormat="1">
      <c r="A84" s="2725" t="str">
        <f>IF(ISBLANK(BatchProcessingFinalAddress20),"",BatchProcessingFinalAddress20)</f>
        <v/>
      </c>
      <c r="B84" s="5474" t="str">
        <f>IF(ISBLANK(BatchProcessingRoughAddress20),"",BatchProcessingRoughAddress20)</f>
        <v/>
      </c>
      <c r="C84" s="5475"/>
      <c r="D84" s="5476"/>
      <c r="E84" s="5476"/>
      <c r="F84" s="5476"/>
      <c r="G84" s="5477"/>
      <c r="H84" s="2839" t="str">
        <f>IF(ISBLANK(BatchProcessingProjectID20),"",BatchProcessingProjectID20)</f>
        <v/>
      </c>
      <c r="I84" s="5478"/>
      <c r="J84" s="5478"/>
    </row>
    <row r="85" spans="1:10">
      <c r="A85" s="32"/>
      <c r="B85" s="326"/>
      <c r="C85" s="2712"/>
      <c r="D85" s="2712"/>
      <c r="E85" s="2712"/>
      <c r="F85" s="2712"/>
      <c r="G85" s="182"/>
      <c r="H85" s="2711"/>
      <c r="I85" s="2711"/>
      <c r="J85" s="2711"/>
    </row>
    <row r="86" spans="1:10">
      <c r="A86" s="497" t="s">
        <v>3050</v>
      </c>
      <c r="B86" s="326"/>
      <c r="C86" s="2753"/>
      <c r="F86" s="2769" t="s">
        <v>3086</v>
      </c>
      <c r="G86" s="2753"/>
      <c r="H86" s="2753"/>
      <c r="I86" s="182"/>
      <c r="J86" s="2752"/>
    </row>
    <row r="87" spans="1:10">
      <c r="A87" s="2715"/>
      <c r="B87" s="2775"/>
      <c r="C87" s="2753"/>
      <c r="F87" s="2770"/>
      <c r="G87" s="1945"/>
      <c r="H87" s="1945"/>
      <c r="I87" s="182"/>
      <c r="J87" s="2752"/>
    </row>
    <row r="88" spans="1:10" ht="15" customHeight="1">
      <c r="A88" s="5490" t="s">
        <v>3051</v>
      </c>
      <c r="B88" s="5491"/>
      <c r="C88" s="5491"/>
      <c r="F88" s="4816" t="s">
        <v>3094</v>
      </c>
      <c r="G88" s="4816"/>
      <c r="H88" s="4816"/>
      <c r="I88" s="4816"/>
      <c r="J88" s="2776"/>
    </row>
    <row r="89" spans="1:10">
      <c r="A89" s="4821" t="s">
        <v>3052</v>
      </c>
      <c r="B89" s="5489"/>
      <c r="C89" s="5489"/>
      <c r="F89" s="4816"/>
      <c r="G89" s="4816"/>
      <c r="H89" s="4816"/>
      <c r="I89" s="4816"/>
      <c r="J89" s="2776"/>
    </row>
    <row r="90" spans="1:10">
      <c r="A90" s="4821" t="s">
        <v>3053</v>
      </c>
      <c r="B90" s="5489"/>
      <c r="C90" s="5489"/>
      <c r="F90" s="4816"/>
      <c r="G90" s="4816"/>
      <c r="H90" s="4816"/>
      <c r="I90" s="4816"/>
      <c r="J90" s="2776"/>
    </row>
    <row r="91" spans="1:10" ht="15" customHeight="1">
      <c r="A91" s="4821" t="s">
        <v>3088</v>
      </c>
      <c r="B91" s="5489"/>
      <c r="C91" s="5489"/>
      <c r="F91" s="4816"/>
      <c r="G91" s="4816"/>
      <c r="H91" s="4816"/>
      <c r="I91" s="4816"/>
      <c r="J91" s="2776"/>
    </row>
    <row r="92" spans="1:10" ht="59.25" customHeight="1">
      <c r="A92" s="4823" t="s">
        <v>3089</v>
      </c>
      <c r="B92" s="5492"/>
      <c r="C92" s="5492"/>
      <c r="F92" s="4816"/>
      <c r="G92" s="4816"/>
      <c r="H92" s="4816"/>
      <c r="I92" s="4816"/>
      <c r="J92" s="2776"/>
    </row>
    <row r="93" spans="1:10" ht="15" customHeight="1">
      <c r="A93" s="4821" t="s">
        <v>3090</v>
      </c>
      <c r="B93" s="5489"/>
      <c r="C93" s="5489"/>
      <c r="F93" s="4816"/>
      <c r="G93" s="4816"/>
      <c r="H93" s="4816"/>
      <c r="I93" s="4816"/>
      <c r="J93" s="2776"/>
    </row>
    <row r="94" spans="1:10" ht="15" customHeight="1">
      <c r="A94" s="4821" t="s">
        <v>3091</v>
      </c>
      <c r="B94" s="5489"/>
      <c r="C94" s="5489"/>
      <c r="F94" s="4816"/>
      <c r="G94" s="4816"/>
      <c r="H94" s="4816"/>
      <c r="I94" s="4816"/>
      <c r="J94" s="2776"/>
    </row>
    <row r="95" spans="1:10">
      <c r="A95" s="4821" t="s">
        <v>3111</v>
      </c>
      <c r="B95" s="5489"/>
      <c r="C95" s="5489"/>
      <c r="F95" s="4816"/>
      <c r="G95" s="4816"/>
      <c r="H95" s="4816"/>
      <c r="I95" s="4816"/>
      <c r="J95" s="2776"/>
    </row>
    <row r="96" spans="1:10" ht="57" customHeight="1">
      <c r="A96" s="4821" t="s">
        <v>3092</v>
      </c>
      <c r="B96" s="5489"/>
      <c r="C96" s="5489"/>
      <c r="D96" s="2753"/>
      <c r="E96" s="2753"/>
      <c r="F96" s="4816"/>
      <c r="G96" s="4816"/>
      <c r="H96" s="4816"/>
      <c r="I96" s="4816"/>
      <c r="J96" s="2711"/>
    </row>
    <row r="97" spans="1:10" ht="15" customHeight="1">
      <c r="A97" s="4821" t="s">
        <v>3054</v>
      </c>
      <c r="B97" s="5489"/>
      <c r="C97" s="5489"/>
      <c r="D97" s="2753"/>
      <c r="E97" s="2753"/>
      <c r="F97" s="2753"/>
      <c r="G97" s="182"/>
      <c r="H97" s="2711"/>
      <c r="I97" s="2711"/>
      <c r="J97" s="2711"/>
    </row>
    <row r="98" spans="1:10">
      <c r="A98" s="2778"/>
      <c r="B98" s="2778"/>
      <c r="C98" s="2777"/>
      <c r="D98" s="2753"/>
      <c r="E98" s="2753"/>
      <c r="F98" s="2753"/>
      <c r="G98" s="182"/>
      <c r="H98" s="2711"/>
      <c r="I98" s="2711"/>
      <c r="J98" s="2711"/>
    </row>
    <row r="99" spans="1:10">
      <c r="A99" s="2777"/>
      <c r="B99" s="2778"/>
      <c r="C99" s="2777"/>
      <c r="D99" s="2712"/>
      <c r="E99" s="2712"/>
      <c r="F99" s="2712"/>
      <c r="G99" s="182"/>
      <c r="H99" s="2711"/>
      <c r="I99" s="2711"/>
      <c r="J99" s="2711"/>
    </row>
    <row r="100" spans="1:10">
      <c r="A100" s="2778"/>
      <c r="B100" s="2778"/>
      <c r="C100" s="2777"/>
      <c r="D100" s="2712"/>
      <c r="E100" s="2712"/>
      <c r="F100" s="2712"/>
      <c r="G100" s="182"/>
      <c r="H100" s="2711"/>
      <c r="I100" s="2711"/>
      <c r="J100" s="2711"/>
    </row>
    <row r="101" spans="1:10">
      <c r="A101" s="2778"/>
      <c r="B101" s="2778"/>
      <c r="C101" s="2777"/>
      <c r="D101" s="2712"/>
      <c r="E101" s="2712"/>
      <c r="F101" s="2712"/>
      <c r="G101" s="182"/>
      <c r="H101" s="2711"/>
      <c r="I101" s="2711"/>
      <c r="J101" s="2711"/>
    </row>
    <row r="102" spans="1:10">
      <c r="A102" s="2778"/>
      <c r="B102" s="2778"/>
      <c r="C102" s="2777"/>
      <c r="D102" s="2712"/>
      <c r="E102" s="2712"/>
      <c r="F102" s="2712"/>
      <c r="G102" s="182"/>
      <c r="H102" s="2711"/>
      <c r="I102" s="2711"/>
      <c r="J102" s="2711"/>
    </row>
    <row r="103" spans="1:10">
      <c r="A103" s="2715"/>
      <c r="B103" s="2779"/>
      <c r="C103" s="2777"/>
      <c r="D103" s="2712"/>
      <c r="E103" s="2711"/>
      <c r="F103" s="2711"/>
      <c r="G103" s="2711"/>
      <c r="H103" s="2711"/>
      <c r="I103" s="2711"/>
      <c r="J103" s="2711"/>
    </row>
    <row r="104" spans="1:10">
      <c r="A104" s="2715"/>
      <c r="B104" s="326"/>
      <c r="C104" s="2712"/>
      <c r="D104" s="2712"/>
      <c r="E104" s="2711"/>
      <c r="F104" s="2711"/>
      <c r="G104" s="2711"/>
      <c r="H104" s="2711"/>
      <c r="I104" s="2711"/>
      <c r="J104" s="2711"/>
    </row>
  </sheetData>
  <sheetProtection algorithmName="SHA-512" hashValue="EYuU2+BctcW8HLMA2DwGhoPCFEOPLjKxS7Fi/wMOlE9QgDC2/ZCNLStkYzZiy2MPey5Owh7dxAG9hxg8CMreDQ==" saltValue="W5VCNNUq1EsC2uuMwQz0Ag==" spinCount="100000" sheet="1" objects="1" scenarios="1" selectLockedCells="1"/>
  <mergeCells count="121">
    <mergeCell ref="B1:C1"/>
    <mergeCell ref="A11:J11"/>
    <mergeCell ref="A14:A15"/>
    <mergeCell ref="B14:B15"/>
    <mergeCell ref="C14:C15"/>
    <mergeCell ref="H9:J9"/>
    <mergeCell ref="A12:A13"/>
    <mergeCell ref="B12:B13"/>
    <mergeCell ref="C12:C13"/>
    <mergeCell ref="D12:G12"/>
    <mergeCell ref="B9:E9"/>
    <mergeCell ref="B4:E4"/>
    <mergeCell ref="B5:E5"/>
    <mergeCell ref="B6:E6"/>
    <mergeCell ref="B7:E7"/>
    <mergeCell ref="B8:E8"/>
    <mergeCell ref="A16:A17"/>
    <mergeCell ref="B16:B17"/>
    <mergeCell ref="C16:C17"/>
    <mergeCell ref="A18:A19"/>
    <mergeCell ref="B18:B19"/>
    <mergeCell ref="C18:C19"/>
    <mergeCell ref="A3:J3"/>
    <mergeCell ref="B2:C2"/>
    <mergeCell ref="D2:J2"/>
    <mergeCell ref="A20:A21"/>
    <mergeCell ref="I64:J64"/>
    <mergeCell ref="B65:C65"/>
    <mergeCell ref="I65:J65"/>
    <mergeCell ref="A39:J42"/>
    <mergeCell ref="A43:J43"/>
    <mergeCell ref="A44:C44"/>
    <mergeCell ref="D44:F44"/>
    <mergeCell ref="A45:C45"/>
    <mergeCell ref="D45:F45"/>
    <mergeCell ref="A31:J34"/>
    <mergeCell ref="A35:C35"/>
    <mergeCell ref="D35:F35"/>
    <mergeCell ref="H35:I35"/>
    <mergeCell ref="A36:C36"/>
    <mergeCell ref="D36:F36"/>
    <mergeCell ref="H36:I36"/>
    <mergeCell ref="B20:B21"/>
    <mergeCell ref="C20:C21"/>
    <mergeCell ref="A22:A23"/>
    <mergeCell ref="B22:B23"/>
    <mergeCell ref="C22:C23"/>
    <mergeCell ref="A50:J50"/>
    <mergeCell ref="A46:H46"/>
    <mergeCell ref="A24:A25"/>
    <mergeCell ref="B24:B25"/>
    <mergeCell ref="C24:C25"/>
    <mergeCell ref="C27:C28"/>
    <mergeCell ref="A27:A28"/>
    <mergeCell ref="B27:B28"/>
    <mergeCell ref="C53:E53"/>
    <mergeCell ref="C54:E54"/>
    <mergeCell ref="C55:E55"/>
    <mergeCell ref="A97:C97"/>
    <mergeCell ref="I69:J69"/>
    <mergeCell ref="I70:J70"/>
    <mergeCell ref="I71:J71"/>
    <mergeCell ref="I72:J72"/>
    <mergeCell ref="I73:J73"/>
    <mergeCell ref="A88:C88"/>
    <mergeCell ref="A89:C89"/>
    <mergeCell ref="A93:C93"/>
    <mergeCell ref="A94:C94"/>
    <mergeCell ref="A95:C95"/>
    <mergeCell ref="F88:I96"/>
    <mergeCell ref="A96:C96"/>
    <mergeCell ref="A90:C90"/>
    <mergeCell ref="A91:C91"/>
    <mergeCell ref="A92:C92"/>
    <mergeCell ref="B69:C69"/>
    <mergeCell ref="B75:C75"/>
    <mergeCell ref="B76:C76"/>
    <mergeCell ref="B77:C77"/>
    <mergeCell ref="B78:C78"/>
    <mergeCell ref="B79:C79"/>
    <mergeCell ref="B80:C80"/>
    <mergeCell ref="B81:C81"/>
    <mergeCell ref="F54:G54"/>
    <mergeCell ref="F55:G55"/>
    <mergeCell ref="F56:G56"/>
    <mergeCell ref="F57:G57"/>
    <mergeCell ref="F58:G58"/>
    <mergeCell ref="B71:C71"/>
    <mergeCell ref="B72:C72"/>
    <mergeCell ref="B73:C73"/>
    <mergeCell ref="I68:J68"/>
    <mergeCell ref="C56:E56"/>
    <mergeCell ref="C57:E57"/>
    <mergeCell ref="C58:E58"/>
    <mergeCell ref="B70:C70"/>
    <mergeCell ref="A63:J63"/>
    <mergeCell ref="D64:E64"/>
    <mergeCell ref="B64:C64"/>
    <mergeCell ref="B66:C66"/>
    <mergeCell ref="I66:J66"/>
    <mergeCell ref="B67:C67"/>
    <mergeCell ref="I67:J67"/>
    <mergeCell ref="B68:C68"/>
    <mergeCell ref="B82:C82"/>
    <mergeCell ref="B83:C83"/>
    <mergeCell ref="B84:C84"/>
    <mergeCell ref="D65:E84"/>
    <mergeCell ref="F65:F84"/>
    <mergeCell ref="G65:G84"/>
    <mergeCell ref="I75:J75"/>
    <mergeCell ref="I76:J76"/>
    <mergeCell ref="I77:J77"/>
    <mergeCell ref="I78:J78"/>
    <mergeCell ref="I79:J79"/>
    <mergeCell ref="I80:J80"/>
    <mergeCell ref="I81:J81"/>
    <mergeCell ref="I82:J82"/>
    <mergeCell ref="I83:J83"/>
    <mergeCell ref="I84:J84"/>
    <mergeCell ref="B74:C74"/>
    <mergeCell ref="I74:J74"/>
  </mergeCells>
  <conditionalFormatting sqref="D44:F44">
    <cfRule type="expression" dxfId="81" priority="23">
      <formula>$D$44=""</formula>
    </cfRule>
  </conditionalFormatting>
  <conditionalFormatting sqref="J44">
    <cfRule type="expression" dxfId="80" priority="22">
      <formula>J44=""</formula>
    </cfRule>
  </conditionalFormatting>
  <conditionalFormatting sqref="J45">
    <cfRule type="expression" dxfId="79" priority="21">
      <formula>J45=""</formula>
    </cfRule>
  </conditionalFormatting>
  <conditionalFormatting sqref="J46">
    <cfRule type="expression" dxfId="78" priority="20">
      <formula>J46=""</formula>
    </cfRule>
  </conditionalFormatting>
  <conditionalFormatting sqref="H9:J9">
    <cfRule type="expression" dxfId="77" priority="19">
      <formula>$H$9&lt;&gt;"Ready to Submit"</formula>
    </cfRule>
  </conditionalFormatting>
  <conditionalFormatting sqref="I65:J68 I69:I73 I74:J78 I84:J84 I79:I83">
    <cfRule type="expression" dxfId="76" priority="16">
      <formula>AND( $H65&lt;&gt;"",$I65="")</formula>
    </cfRule>
  </conditionalFormatting>
  <conditionalFormatting sqref="A65 A75">
    <cfRule type="cellIs" dxfId="75" priority="13" operator="equal">
      <formula>0</formula>
    </cfRule>
    <cfRule type="cellIs" dxfId="74" priority="14" operator="equal">
      <formula>0</formula>
    </cfRule>
  </conditionalFormatting>
  <conditionalFormatting sqref="A66:C84 A65:D65 F65:H65 H66:H84">
    <cfRule type="cellIs" dxfId="73" priority="11" operator="equal">
      <formula>0</formula>
    </cfRule>
    <cfRule type="cellIs" dxfId="72" priority="12" operator="equal">
      <formula>0</formula>
    </cfRule>
  </conditionalFormatting>
  <conditionalFormatting sqref="C98:F98 A86:C87 F86:H87 F88 D97:F97 D96:E96">
    <cfRule type="expression" dxfId="71" priority="8">
      <formula xml:space="preserve"> BatchProcessingQuestion = "No"</formula>
    </cfRule>
    <cfRule type="expression" dxfId="70" priority="9">
      <formula xml:space="preserve"> BatchProcessingQuestion = "No"</formula>
    </cfRule>
    <cfRule type="expression" dxfId="69" priority="10">
      <formula xml:space="preserve"> BatchProcessingQuestion = "No"</formula>
    </cfRule>
  </conditionalFormatting>
  <conditionalFormatting sqref="A88:A97">
    <cfRule type="expression" dxfId="68" priority="5">
      <formula xml:space="preserve"> BatchProcessingQuestion = "No"</formula>
    </cfRule>
    <cfRule type="expression" dxfId="67" priority="6">
      <formula xml:space="preserve"> BatchProcessingQuestion = "No"</formula>
    </cfRule>
    <cfRule type="expression" dxfId="66" priority="7">
      <formula xml:space="preserve"> BatchProcessingQuestion = "No"</formula>
    </cfRule>
  </conditionalFormatting>
  <conditionalFormatting sqref="B9">
    <cfRule type="expression" dxfId="65" priority="1">
      <formula>OR($B$9="Assign Project ID on 'Verification Rpt' Tab",$B$9=0)</formula>
    </cfRule>
  </conditionalFormatting>
  <conditionalFormatting sqref="A61:J98">
    <cfRule type="expression" dxfId="64" priority="2">
      <formula xml:space="preserve"> BatchProcessingQuestion = "No"</formula>
    </cfRule>
    <cfRule type="expression" dxfId="63" priority="3">
      <formula xml:space="preserve"> BatchProcessingQuestion = "No"</formula>
    </cfRule>
    <cfRule type="expression" dxfId="62" priority="4">
      <formula>BatchProcessingQuestion = "No"</formula>
    </cfRule>
  </conditionalFormatting>
  <dataValidations count="2">
    <dataValidation type="time" allowBlank="1" showInputMessage="1" showErrorMessage="1" sqref="J44" xr:uid="{00000000-0002-0000-0B00-000001000000}">
      <formula1>0</formula1>
      <formula2>0.999305555555556</formula2>
    </dataValidation>
    <dataValidation type="list" allowBlank="1" showInputMessage="1" showErrorMessage="1" sqref="B54:B58" xr:uid="{00000000-0002-0000-0B00-000002000000}">
      <formula1>VerifierRoles</formula1>
    </dataValidation>
  </dataValidations>
  <pageMargins left="0.7" right="0.7" top="0.75" bottom="0.75" header="0.3" footer="0.3"/>
  <pageSetup scale="47" orientation="portrait" r:id="rId1"/>
  <headerFooter>
    <oddFooter>&amp;C&amp;8© 2013 Home Innovation Research Labs.  Practices of ICC700-2012 © 2013 National Association of Home Builders- used by permission.   Home Innovation authorizes use by those persons participating in the Home Innovation’s Green Building Certification.</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pageSetUpPr fitToPage="1"/>
  </sheetPr>
  <dimension ref="A1:L107"/>
  <sheetViews>
    <sheetView zoomScaleNormal="100" workbookViewId="0">
      <pane ySplit="3" topLeftCell="A4" activePane="bottomLeft" state="frozen"/>
      <selection activeCell="A3" sqref="A1:K3"/>
      <selection pane="bottomLeft" activeCell="B35" sqref="B35"/>
    </sheetView>
  </sheetViews>
  <sheetFormatPr baseColWidth="10" defaultColWidth="9.1640625" defaultRowHeight="15"/>
  <cols>
    <col min="1" max="1" width="54.1640625" style="2097" customWidth="1"/>
    <col min="2" max="2" width="11.6640625" style="2097" customWidth="1"/>
    <col min="3" max="3" width="12.83203125" style="2097" customWidth="1"/>
    <col min="4" max="6" width="9.1640625" style="2097"/>
    <col min="7" max="7" width="20.83203125" style="2097" customWidth="1"/>
    <col min="8" max="8" width="26" style="2097" customWidth="1"/>
    <col min="9" max="9" width="10.5" style="2097" customWidth="1"/>
    <col min="10" max="10" width="23.1640625" style="2097" customWidth="1"/>
    <col min="11" max="11" width="9.1640625" style="2097"/>
    <col min="12" max="12" width="9.1640625" style="2097" hidden="1" customWidth="1"/>
    <col min="13" max="16384" width="9.1640625" style="2097"/>
  </cols>
  <sheetData>
    <row r="1" spans="1:12" ht="45" customHeight="1">
      <c r="A1" s="2295"/>
      <c r="B1" s="5540">
        <v>2012</v>
      </c>
      <c r="C1" s="5540"/>
      <c r="D1" s="2297"/>
      <c r="E1" s="2297"/>
      <c r="F1" s="2297"/>
      <c r="G1" s="2297"/>
      <c r="H1" s="2297"/>
      <c r="I1" s="2297"/>
      <c r="J1" s="2298"/>
    </row>
    <row r="2" spans="1:12" ht="50" customHeight="1" thickBot="1">
      <c r="A2" s="2296" t="s">
        <v>2863</v>
      </c>
      <c r="B2" s="5538" t="str">
        <f>CONCATENATE("Revised ",TEXT(startRevisionDate,"mmmm dd, yyyy"))</f>
        <v>Revised August 21, 2020</v>
      </c>
      <c r="C2" s="5538"/>
      <c r="D2" s="3024" t="str">
        <f>CONCATENATE(copyright," All rights reserved.  This document is protected by U.S. copyright law. Requirements from ICC700-2012 National Green Building Standard™ © 2013 National Association of Home Builders of the U.S. - used by permission."," Home Innovation authorizes use of this document only by those individuals/organizations participating in Home Innovation's Green Building Certification and solely for purpose of seeking project certification from the Home Innovation Research Labs.")</f>
        <v>© 2020 Home Innovation Research Labs, Inc. All rights reserved.  This document is protected by U.S. copyright law. Requirements from ICC700-2012 National Green Building Standard™ © 2013 National Association of Home Builders of the U.S. - used by permission. Home Innovation authorizes use of this document only by those individuals/organizations participating in Home Innovation's Green Building Certification and solely for purpose of seeking project certification from the Home Innovation Research Labs.</v>
      </c>
      <c r="E2" s="3024"/>
      <c r="F2" s="3024"/>
      <c r="G2" s="3024"/>
      <c r="H2" s="3024"/>
      <c r="I2" s="3024"/>
      <c r="J2" s="3024"/>
      <c r="L2" s="332" t="s">
        <v>2955</v>
      </c>
    </row>
    <row r="3" spans="1:12" ht="19" thickBot="1">
      <c r="A3" s="5535" t="s">
        <v>2597</v>
      </c>
      <c r="B3" s="5536"/>
      <c r="C3" s="5536"/>
      <c r="D3" s="5536"/>
      <c r="E3" s="5536"/>
      <c r="F3" s="5536"/>
      <c r="G3" s="5536"/>
      <c r="H3" s="5536"/>
      <c r="I3" s="5536"/>
      <c r="J3" s="5537"/>
      <c r="L3" s="2097">
        <f>SUM(L4:L50)</f>
        <v>14</v>
      </c>
    </row>
    <row r="4" spans="1:12">
      <c r="A4" s="1939" t="s">
        <v>560</v>
      </c>
      <c r="B4" s="5557" t="str">
        <f>IF(startBuilderName="","",startBuilderName)</f>
        <v/>
      </c>
      <c r="C4" s="5557"/>
      <c r="D4" s="5557"/>
      <c r="E4" s="1914"/>
      <c r="G4" s="1913" t="s">
        <v>2605</v>
      </c>
      <c r="H4" s="2787" t="str">
        <f>IF(ISBLANK(startSingleorMulti),"",startSingleorMulti)</f>
        <v/>
      </c>
      <c r="I4" s="2787"/>
      <c r="J4" s="2793"/>
      <c r="L4" s="2097">
        <f>IF(OR(H4=0,H4=""),1,0)</f>
        <v>1</v>
      </c>
    </row>
    <row r="5" spans="1:12" ht="35.25" customHeight="1">
      <c r="A5" s="1941" t="s">
        <v>562</v>
      </c>
      <c r="B5" s="5577" t="str">
        <f>IF(startHomeAddress="", "", CONCATENATE(startHomeAddress, ", ", startHomeCity, ", ", startHomeState, " ", startHomeZip))</f>
        <v/>
      </c>
      <c r="C5" s="5577"/>
      <c r="D5" s="5577"/>
      <c r="E5" s="2096"/>
      <c r="G5" s="1912" t="s">
        <v>564</v>
      </c>
      <c r="H5" s="2787" t="str">
        <f>IF(ISBLANK(startMultiUnits),"",startMultiUnits)</f>
        <v/>
      </c>
      <c r="I5" s="2787"/>
      <c r="J5" s="2793"/>
      <c r="L5" s="2097">
        <f>IF(B5="",1,0)</f>
        <v>1</v>
      </c>
    </row>
    <row r="6" spans="1:12">
      <c r="A6" s="1939" t="s">
        <v>180</v>
      </c>
      <c r="B6" s="5319" t="str">
        <f>IF(startLot="", "", startLot)</f>
        <v/>
      </c>
      <c r="C6" s="5319"/>
      <c r="D6" s="5319"/>
      <c r="E6" s="1915"/>
      <c r="G6" s="1912" t="s">
        <v>184</v>
      </c>
      <c r="H6" s="2785" t="str">
        <f>IF(ISBLANK(vnSqFT),"",vnSqFT)</f>
        <v/>
      </c>
      <c r="I6" s="2794"/>
      <c r="J6" s="2793"/>
      <c r="L6" s="2097">
        <f>IF(OR(B4="",B4=0),1,0)</f>
        <v>1</v>
      </c>
    </row>
    <row r="7" spans="1:12">
      <c r="A7" s="1939" t="s">
        <v>565</v>
      </c>
      <c r="B7" s="5319" t="str">
        <f>IF(ISBLANK(startClimateZone),"",startClimateZone)</f>
        <v/>
      </c>
      <c r="C7" s="5319"/>
      <c r="D7" s="5319"/>
      <c r="E7" s="1915"/>
      <c r="G7" s="1912" t="s">
        <v>567</v>
      </c>
      <c r="H7" s="3993" t="str">
        <f>IF(ISBLANK(ProjectDescription),"",ProjectDescription)</f>
        <v/>
      </c>
      <c r="I7" s="3993"/>
      <c r="J7" s="5578"/>
      <c r="L7" s="2642">
        <f>IF(OR(B7=0,B7=""),1,0)</f>
        <v>1</v>
      </c>
    </row>
    <row r="8" spans="1:12">
      <c r="A8" s="1942" t="s">
        <v>2059</v>
      </c>
      <c r="B8" s="3587" t="str">
        <f>IF(startCounty="","",startCounty)</f>
        <v/>
      </c>
      <c r="C8" s="3587"/>
      <c r="D8" s="3587"/>
      <c r="E8" s="1943"/>
      <c r="G8" s="1911" t="s">
        <v>3104</v>
      </c>
      <c r="H8" s="2789" t="str">
        <f>finalLevelReached</f>
        <v>Nothing</v>
      </c>
      <c r="I8" s="2788"/>
      <c r="J8" s="2793"/>
    </row>
    <row r="9" spans="1:12" ht="16">
      <c r="A9" s="1954" t="s">
        <v>3105</v>
      </c>
      <c r="B9" s="5571" t="str">
        <f>IF(ISBLANK(ProjectID),"Assign Project ID on 'Verification Rpt' Tab",ProjectID)</f>
        <v>PRJEPKDMnz</v>
      </c>
      <c r="C9" s="5571"/>
      <c r="D9" s="5571"/>
      <c r="E9" s="5571"/>
      <c r="G9" s="1946" t="s">
        <v>3103</v>
      </c>
      <c r="H9" s="5579" t="str">
        <f>IF(L3&gt;0,"Please address yellow cells before submitting","Ready to Submit")</f>
        <v>Please address yellow cells before submitting</v>
      </c>
      <c r="I9" s="5545"/>
      <c r="J9" s="5546"/>
      <c r="L9" s="2642">
        <f>IF(OR(B9=0,B9=""),1,0)</f>
        <v>0</v>
      </c>
    </row>
    <row r="10" spans="1:12" ht="20">
      <c r="A10" s="5541" t="s">
        <v>2807</v>
      </c>
      <c r="B10" s="5542"/>
      <c r="C10" s="5542"/>
      <c r="D10" s="5542"/>
      <c r="E10" s="5542"/>
      <c r="F10" s="5542"/>
      <c r="G10" s="5542"/>
      <c r="H10" s="5542"/>
      <c r="I10" s="5542"/>
      <c r="J10" s="5543"/>
    </row>
    <row r="11" spans="1:12" ht="21" thickBot="1">
      <c r="A11" s="5547" t="s">
        <v>687</v>
      </c>
      <c r="B11" s="5549" t="s">
        <v>2608</v>
      </c>
      <c r="C11" s="5551" t="s">
        <v>2808</v>
      </c>
      <c r="D11" s="5553" t="s">
        <v>2610</v>
      </c>
      <c r="E11" s="5554"/>
      <c r="F11" s="5554"/>
      <c r="G11" s="5555"/>
      <c r="H11" s="2795"/>
      <c r="I11" s="2786"/>
      <c r="J11" s="2796"/>
    </row>
    <row r="12" spans="1:12" ht="24.75" customHeight="1" thickBot="1">
      <c r="A12" s="5548"/>
      <c r="B12" s="5550"/>
      <c r="C12" s="5552"/>
      <c r="D12" s="1935" t="s">
        <v>2611</v>
      </c>
      <c r="E12" s="1935" t="s">
        <v>2612</v>
      </c>
      <c r="F12" s="1936" t="s">
        <v>2613</v>
      </c>
      <c r="G12" s="1937" t="s">
        <v>2614</v>
      </c>
      <c r="H12" s="2797"/>
      <c r="I12" s="2786"/>
      <c r="J12" s="2793"/>
    </row>
    <row r="13" spans="1:12">
      <c r="A13" s="5493" t="s">
        <v>2615</v>
      </c>
      <c r="B13" s="5495">
        <f>'Verification Rpt'!G135</f>
        <v>0</v>
      </c>
      <c r="C13" s="5497">
        <f>SUM('Verification Rpt'!H135,'Verification Rpt'!I135)</f>
        <v>0</v>
      </c>
      <c r="D13" s="1918">
        <v>50</v>
      </c>
      <c r="E13" s="1918">
        <v>64</v>
      </c>
      <c r="F13" s="1918">
        <v>93</v>
      </c>
      <c r="G13" s="1919">
        <v>121</v>
      </c>
      <c r="H13" s="2786"/>
      <c r="I13" s="2786"/>
      <c r="J13" s="2793"/>
    </row>
    <row r="14" spans="1:12" ht="16" thickBot="1">
      <c r="A14" s="5494"/>
      <c r="B14" s="5496"/>
      <c r="C14" s="5498"/>
      <c r="D14" s="1920"/>
      <c r="E14" s="1920"/>
      <c r="F14" s="1920"/>
      <c r="G14" s="1920"/>
      <c r="H14" s="2786"/>
      <c r="I14" s="2786"/>
      <c r="J14" s="2793"/>
    </row>
    <row r="15" spans="1:12">
      <c r="A15" s="5493" t="s">
        <v>2616</v>
      </c>
      <c r="B15" s="5495">
        <f>'Verification Rpt'!G326</f>
        <v>0</v>
      </c>
      <c r="C15" s="5497">
        <f>SUM('Verification Rpt'!H326:I326)</f>
        <v>0</v>
      </c>
      <c r="D15" s="1918">
        <v>43</v>
      </c>
      <c r="E15" s="1918">
        <v>59</v>
      </c>
      <c r="F15" s="1918">
        <v>89</v>
      </c>
      <c r="G15" s="1919">
        <v>119</v>
      </c>
      <c r="H15" s="2786"/>
      <c r="I15" s="2786"/>
      <c r="J15" s="2793"/>
    </row>
    <row r="16" spans="1:12" ht="16" thickBot="1">
      <c r="A16" s="5494"/>
      <c r="B16" s="5496"/>
      <c r="C16" s="5498"/>
      <c r="D16" s="1920"/>
      <c r="E16" s="1920"/>
      <c r="F16" s="1920"/>
      <c r="G16" s="1920"/>
      <c r="H16" s="2786"/>
      <c r="I16" s="2786"/>
      <c r="J16" s="2793"/>
    </row>
    <row r="17" spans="1:10">
      <c r="A17" s="5493" t="s">
        <v>2617</v>
      </c>
      <c r="B17" s="5495">
        <f>'Verification Rpt'!G537</f>
        <v>0</v>
      </c>
      <c r="C17" s="5497">
        <f>SUM('Verification Rpt'!H537:I537)</f>
        <v>66</v>
      </c>
      <c r="D17" s="1918">
        <v>30</v>
      </c>
      <c r="E17" s="1918">
        <v>60</v>
      </c>
      <c r="F17" s="1918">
        <v>80</v>
      </c>
      <c r="G17" s="1919">
        <v>100</v>
      </c>
      <c r="H17" s="2786"/>
      <c r="I17" s="2786"/>
      <c r="J17" s="2793"/>
    </row>
    <row r="18" spans="1:10" ht="16" thickBot="1">
      <c r="A18" s="5494"/>
      <c r="B18" s="5496"/>
      <c r="C18" s="5498"/>
      <c r="D18" s="1920"/>
      <c r="E18" s="1920"/>
      <c r="F18" s="1920"/>
      <c r="G18" s="1920"/>
      <c r="H18" s="2786"/>
      <c r="I18" s="2786"/>
      <c r="J18" s="2793"/>
    </row>
    <row r="19" spans="1:10">
      <c r="A19" s="5493" t="s">
        <v>2618</v>
      </c>
      <c r="B19" s="5495">
        <f>'Verification Rpt'!G625</f>
        <v>0</v>
      </c>
      <c r="C19" s="5497">
        <f>SUM('Verification Rpt'!H625:I625)</f>
        <v>0</v>
      </c>
      <c r="D19" s="1918">
        <v>25</v>
      </c>
      <c r="E19" s="1918">
        <v>39</v>
      </c>
      <c r="F19" s="1918">
        <v>67</v>
      </c>
      <c r="G19" s="1919">
        <v>92</v>
      </c>
      <c r="H19" s="2786"/>
      <c r="I19" s="2786"/>
      <c r="J19" s="2793"/>
    </row>
    <row r="20" spans="1:10" ht="16" thickBot="1">
      <c r="A20" s="5494"/>
      <c r="B20" s="5496"/>
      <c r="C20" s="5498"/>
      <c r="D20" s="1920"/>
      <c r="E20" s="1920"/>
      <c r="F20" s="1920"/>
      <c r="G20" s="1920"/>
      <c r="H20" s="2786"/>
      <c r="I20" s="2786"/>
      <c r="J20" s="2793"/>
    </row>
    <row r="21" spans="1:10">
      <c r="A21" s="5493" t="s">
        <v>2619</v>
      </c>
      <c r="B21" s="5495">
        <f>'Verification Rpt'!G764</f>
        <v>0</v>
      </c>
      <c r="C21" s="5497">
        <f>SUM('Verification Rpt'!H764:I764)</f>
        <v>0</v>
      </c>
      <c r="D21" s="1918">
        <v>25</v>
      </c>
      <c r="E21" s="1918">
        <v>42</v>
      </c>
      <c r="F21" s="1918">
        <v>69</v>
      </c>
      <c r="G21" s="1919">
        <v>97</v>
      </c>
      <c r="H21" s="2786"/>
      <c r="I21" s="2786"/>
      <c r="J21" s="2793"/>
    </row>
    <row r="22" spans="1:10" ht="16" thickBot="1">
      <c r="A22" s="5494"/>
      <c r="B22" s="5496"/>
      <c r="C22" s="5498"/>
      <c r="D22" s="1920"/>
      <c r="E22" s="1920"/>
      <c r="F22" s="1920"/>
      <c r="G22" s="1920"/>
      <c r="H22" s="2786"/>
      <c r="I22" s="2786"/>
      <c r="J22" s="2793"/>
    </row>
    <row r="23" spans="1:10">
      <c r="A23" s="5493" t="s">
        <v>2620</v>
      </c>
      <c r="B23" s="5495">
        <f>'Verification Rpt'!G823</f>
        <v>0</v>
      </c>
      <c r="C23" s="5497">
        <f>SUM('Verification Rpt'!H823:I823)</f>
        <v>0</v>
      </c>
      <c r="D23" s="1918">
        <v>8</v>
      </c>
      <c r="E23" s="1918">
        <v>10</v>
      </c>
      <c r="F23" s="1918">
        <v>11</v>
      </c>
      <c r="G23" s="1919">
        <v>12</v>
      </c>
      <c r="H23" s="2786"/>
      <c r="I23" s="2786"/>
      <c r="J23" s="2793"/>
    </row>
    <row r="24" spans="1:10" ht="16" thickBot="1">
      <c r="A24" s="5494"/>
      <c r="B24" s="5496"/>
      <c r="C24" s="5498"/>
      <c r="D24" s="1920"/>
      <c r="E24" s="1920"/>
      <c r="F24" s="1920"/>
      <c r="G24" s="1920"/>
      <c r="H24" s="2786"/>
      <c r="I24" s="2786"/>
      <c r="J24" s="2793"/>
    </row>
    <row r="25" spans="1:10" ht="16" thickBot="1">
      <c r="A25" s="1948"/>
      <c r="B25" s="1925"/>
      <c r="C25" s="2095"/>
      <c r="D25" s="2095"/>
      <c r="E25" s="2095"/>
      <c r="F25" s="2095"/>
      <c r="G25" s="2095"/>
      <c r="H25" s="2786"/>
      <c r="I25" s="2786"/>
      <c r="J25" s="2793"/>
    </row>
    <row r="26" spans="1:10">
      <c r="A26" s="5501" t="s">
        <v>2621</v>
      </c>
      <c r="B26" s="5499">
        <f>SUM(B13:B24) + 'Verification Rpt'!I536</f>
        <v>0</v>
      </c>
      <c r="C26" s="5499">
        <f>SUM(C13:C24) + 'Verification Rpt'!I536</f>
        <v>66</v>
      </c>
      <c r="D26" s="1921" t="s">
        <v>2611</v>
      </c>
      <c r="E26" s="1921" t="s">
        <v>2612</v>
      </c>
      <c r="F26" s="1921" t="s">
        <v>2613</v>
      </c>
      <c r="G26" s="1922" t="s">
        <v>2614</v>
      </c>
      <c r="H26" s="2786"/>
      <c r="I26" s="2786"/>
      <c r="J26" s="2793"/>
    </row>
    <row r="27" spans="1:10" ht="16" thickBot="1">
      <c r="A27" s="5502"/>
      <c r="B27" s="5503"/>
      <c r="C27" s="5500"/>
      <c r="D27" s="1938">
        <f>Formulas!B248</f>
        <v>231</v>
      </c>
      <c r="E27" s="1938">
        <f>Formulas!C248</f>
        <v>349</v>
      </c>
      <c r="F27" s="1938">
        <f>Formulas!D248</f>
        <v>509</v>
      </c>
      <c r="G27" s="1938">
        <f>Formulas!E248</f>
        <v>641</v>
      </c>
      <c r="H27" s="2786"/>
      <c r="I27" s="2786"/>
      <c r="J27" s="2793"/>
    </row>
    <row r="28" spans="1:10">
      <c r="A28" s="1923"/>
      <c r="B28" s="1924"/>
      <c r="C28" s="1925"/>
      <c r="D28" s="1924"/>
      <c r="E28" s="1925"/>
      <c r="F28" s="1933"/>
      <c r="G28" s="1934"/>
      <c r="H28" s="2798"/>
      <c r="I28" s="2798"/>
      <c r="J28" s="2799"/>
    </row>
    <row r="29" spans="1:10" ht="16" thickBot="1">
      <c r="A29" s="1949" t="s">
        <v>2622</v>
      </c>
      <c r="B29" s="2095"/>
      <c r="C29" s="2095"/>
      <c r="D29" s="2095"/>
      <c r="E29" s="2095"/>
      <c r="F29" s="2095"/>
      <c r="G29" s="2095"/>
      <c r="H29" s="2786"/>
      <c r="I29" s="2800"/>
      <c r="J29" s="2801"/>
    </row>
    <row r="30" spans="1:10">
      <c r="A30" s="5506"/>
      <c r="B30" s="5507"/>
      <c r="C30" s="5507"/>
      <c r="D30" s="5507"/>
      <c r="E30" s="5507"/>
      <c r="F30" s="5507"/>
      <c r="G30" s="5507"/>
      <c r="H30" s="5507"/>
      <c r="I30" s="5507"/>
      <c r="J30" s="5508"/>
    </row>
    <row r="31" spans="1:10">
      <c r="A31" s="5509"/>
      <c r="B31" s="5510"/>
      <c r="C31" s="5510"/>
      <c r="D31" s="5510"/>
      <c r="E31" s="5510"/>
      <c r="F31" s="5510"/>
      <c r="G31" s="5510"/>
      <c r="H31" s="5510"/>
      <c r="I31" s="5510"/>
      <c r="J31" s="5511"/>
    </row>
    <row r="32" spans="1:10">
      <c r="A32" s="5509"/>
      <c r="B32" s="5510"/>
      <c r="C32" s="5510"/>
      <c r="D32" s="5510"/>
      <c r="E32" s="5510"/>
      <c r="F32" s="5510"/>
      <c r="G32" s="5510"/>
      <c r="H32" s="5510"/>
      <c r="I32" s="5510"/>
      <c r="J32" s="5511"/>
    </row>
    <row r="33" spans="1:12">
      <c r="A33" s="5521"/>
      <c r="B33" s="5522"/>
      <c r="C33" s="5522"/>
      <c r="D33" s="5522"/>
      <c r="E33" s="5522"/>
      <c r="F33" s="5522"/>
      <c r="G33" s="5522"/>
      <c r="H33" s="5522"/>
      <c r="I33" s="5522"/>
      <c r="J33" s="5523"/>
    </row>
    <row r="34" spans="1:12" ht="48.75" customHeight="1">
      <c r="A34" s="5512" t="s">
        <v>3083</v>
      </c>
      <c r="B34" s="5581"/>
      <c r="C34" s="5581"/>
      <c r="D34" s="5581"/>
      <c r="E34" s="5581"/>
      <c r="F34" s="5581"/>
      <c r="G34" s="5581"/>
      <c r="H34" s="5581"/>
      <c r="I34" s="5581"/>
      <c r="J34" s="5582"/>
    </row>
    <row r="35" spans="1:12" ht="29.25" customHeight="1">
      <c r="A35" s="2120" t="s">
        <v>2811</v>
      </c>
      <c r="B35" s="2118"/>
      <c r="C35" s="2121"/>
      <c r="D35" s="5587" t="s">
        <v>3117</v>
      </c>
      <c r="E35" s="5587"/>
      <c r="F35" s="5587"/>
      <c r="G35" s="5587"/>
      <c r="H35" s="2119"/>
      <c r="I35" s="2121"/>
      <c r="J35" s="2122"/>
      <c r="L35" s="2097">
        <f>IF(B35="",1,0)</f>
        <v>1</v>
      </c>
    </row>
    <row r="36" spans="1:12">
      <c r="A36" s="5580"/>
      <c r="B36" s="5516"/>
      <c r="C36" s="5516"/>
      <c r="D36" s="5517"/>
      <c r="E36" s="5517"/>
      <c r="F36" s="5517"/>
      <c r="G36" s="1926" t="s">
        <v>2623</v>
      </c>
      <c r="H36" s="2116"/>
      <c r="I36" s="5583"/>
      <c r="J36" s="5584"/>
      <c r="L36" s="2097">
        <f>IF(D36="",1,0)</f>
        <v>1</v>
      </c>
    </row>
    <row r="37" spans="1:12">
      <c r="A37" s="5527" t="s">
        <v>2809</v>
      </c>
      <c r="B37" s="5528"/>
      <c r="C37" s="5528"/>
      <c r="D37" s="5529" t="s">
        <v>2625</v>
      </c>
      <c r="E37" s="5528"/>
      <c r="F37" s="5528"/>
      <c r="G37" s="1927" t="s">
        <v>2626</v>
      </c>
      <c r="H37" s="2117"/>
      <c r="I37" s="5585" t="s">
        <v>2810</v>
      </c>
      <c r="J37" s="5586"/>
      <c r="L37" s="2097">
        <f>IF(H35="",1,0)</f>
        <v>1</v>
      </c>
    </row>
    <row r="38" spans="1:12">
      <c r="A38" s="1950"/>
      <c r="B38" s="2094"/>
      <c r="C38" s="2094"/>
      <c r="D38" s="2094"/>
      <c r="E38" s="2094"/>
      <c r="F38" s="2094"/>
      <c r="G38" s="2094"/>
      <c r="H38" s="2094"/>
      <c r="I38" s="2094"/>
      <c r="J38" s="1951"/>
      <c r="L38" s="2097">
        <f>IF(I36="",1,0)</f>
        <v>1</v>
      </c>
    </row>
    <row r="39" spans="1:12" ht="16" thickBot="1">
      <c r="A39" s="1952" t="s">
        <v>2627</v>
      </c>
      <c r="B39" s="2094"/>
      <c r="C39" s="2094"/>
      <c r="D39" s="2094"/>
      <c r="E39" s="2094"/>
      <c r="F39" s="2094"/>
      <c r="G39" s="2094"/>
      <c r="H39" s="2094"/>
      <c r="I39" s="2094"/>
      <c r="J39" s="1953"/>
    </row>
    <row r="40" spans="1:12">
      <c r="A40" s="5506"/>
      <c r="B40" s="5507"/>
      <c r="C40" s="5507"/>
      <c r="D40" s="5507"/>
      <c r="E40" s="5507"/>
      <c r="F40" s="5507"/>
      <c r="G40" s="5507"/>
      <c r="H40" s="5507"/>
      <c r="I40" s="5507"/>
      <c r="J40" s="5508"/>
    </row>
    <row r="41" spans="1:12">
      <c r="A41" s="5509"/>
      <c r="B41" s="5510"/>
      <c r="C41" s="5510"/>
      <c r="D41" s="5510"/>
      <c r="E41" s="5510"/>
      <c r="F41" s="5510"/>
      <c r="G41" s="5510"/>
      <c r="H41" s="5510"/>
      <c r="I41" s="5510"/>
      <c r="J41" s="5511"/>
    </row>
    <row r="42" spans="1:12">
      <c r="A42" s="5509"/>
      <c r="B42" s="5510"/>
      <c r="C42" s="5510"/>
      <c r="D42" s="5510"/>
      <c r="E42" s="5510"/>
      <c r="F42" s="5510"/>
      <c r="G42" s="5510"/>
      <c r="H42" s="5510"/>
      <c r="I42" s="5510"/>
      <c r="J42" s="5511"/>
    </row>
    <row r="43" spans="1:12" ht="16" thickBot="1">
      <c r="A43" s="5509"/>
      <c r="B43" s="5510"/>
      <c r="C43" s="5510"/>
      <c r="D43" s="5510"/>
      <c r="E43" s="5510"/>
      <c r="F43" s="5510"/>
      <c r="G43" s="5510"/>
      <c r="H43" s="5510"/>
      <c r="I43" s="5510"/>
      <c r="J43" s="5511"/>
    </row>
    <row r="44" spans="1:12" ht="30.75" customHeight="1">
      <c r="A44" s="5588" t="s">
        <v>3082</v>
      </c>
      <c r="B44" s="5589"/>
      <c r="C44" s="5589"/>
      <c r="D44" s="5589"/>
      <c r="E44" s="5589"/>
      <c r="F44" s="5589"/>
      <c r="G44" s="5589"/>
      <c r="H44" s="5589"/>
      <c r="I44" s="5590"/>
      <c r="J44" s="2123" t="s">
        <v>2812</v>
      </c>
    </row>
    <row r="45" spans="1:12" ht="22.5" customHeight="1">
      <c r="A45" s="5591"/>
      <c r="B45" s="5592"/>
      <c r="C45" s="5592"/>
      <c r="D45" s="5592"/>
      <c r="E45" s="5592"/>
      <c r="F45" s="5592"/>
      <c r="G45" s="5592"/>
      <c r="H45" s="5592"/>
      <c r="I45" s="5593"/>
      <c r="J45" s="2644"/>
      <c r="L45" s="2097">
        <f>IF(J45="",1,0)</f>
        <v>1</v>
      </c>
    </row>
    <row r="46" spans="1:12" ht="35.25" customHeight="1">
      <c r="A46" s="2124" t="s">
        <v>2813</v>
      </c>
      <c r="B46" s="5594"/>
      <c r="C46" s="5594"/>
      <c r="D46" s="5595"/>
      <c r="E46" s="5595"/>
      <c r="F46" s="5595"/>
      <c r="G46" s="5595"/>
      <c r="H46" s="5595"/>
      <c r="I46" s="5595"/>
      <c r="J46" s="5596"/>
      <c r="L46" s="2097">
        <f>IF(B46="",1,0)</f>
        <v>1</v>
      </c>
    </row>
    <row r="47" spans="1:12" ht="38.25" customHeight="1">
      <c r="A47" s="5515"/>
      <c r="B47" s="5516"/>
      <c r="C47" s="5516"/>
      <c r="D47" s="5517"/>
      <c r="E47" s="5517"/>
      <c r="F47" s="5517"/>
      <c r="G47" s="1928" t="s">
        <v>2628</v>
      </c>
      <c r="H47" s="1929"/>
      <c r="I47" s="2645" t="s">
        <v>3100</v>
      </c>
      <c r="J47" s="2114"/>
      <c r="L47" s="2097">
        <f>IF(AND(B46&lt;&gt;"Verification Only",D46=""),1,0)</f>
        <v>1</v>
      </c>
    </row>
    <row r="48" spans="1:12" ht="38" thickBot="1">
      <c r="A48" s="5518" t="s">
        <v>2629</v>
      </c>
      <c r="B48" s="5519"/>
      <c r="C48" s="5519"/>
      <c r="D48" s="5520" t="s">
        <v>2625</v>
      </c>
      <c r="E48" s="5519"/>
      <c r="F48" s="5519"/>
      <c r="G48" s="1930" t="s">
        <v>2626</v>
      </c>
      <c r="H48" s="1931"/>
      <c r="I48" s="2784" t="s">
        <v>3101</v>
      </c>
      <c r="J48" s="2114"/>
      <c r="L48" s="2097">
        <f>IF(D47="",1,0)</f>
        <v>1</v>
      </c>
    </row>
    <row r="49" spans="1:12" ht="37" thickBot="1">
      <c r="A49" s="5533" t="s">
        <v>2869</v>
      </c>
      <c r="B49" s="5534"/>
      <c r="C49" s="5534"/>
      <c r="D49" s="5534"/>
      <c r="E49" s="5534"/>
      <c r="F49" s="5534"/>
      <c r="G49" s="5534"/>
      <c r="H49" s="5534"/>
      <c r="I49" s="1932" t="s">
        <v>2964</v>
      </c>
      <c r="J49" s="2868"/>
      <c r="L49" s="2097">
        <f>IF(J47="",1,0)</f>
        <v>1</v>
      </c>
    </row>
    <row r="50" spans="1:12">
      <c r="L50" s="2642">
        <f t="shared" ref="L50" si="0">IF(J48="",1,0)</f>
        <v>1</v>
      </c>
    </row>
    <row r="52" spans="1:12">
      <c r="A52" s="497" t="s">
        <v>3056</v>
      </c>
      <c r="B52" s="2711"/>
      <c r="C52" s="2711"/>
      <c r="D52" s="2711"/>
      <c r="E52" s="2711"/>
      <c r="F52" s="2711"/>
      <c r="G52" s="2711"/>
      <c r="H52" s="2711"/>
      <c r="I52" s="2711"/>
      <c r="J52" s="2711"/>
    </row>
    <row r="53" spans="1:12">
      <c r="A53" s="2723" t="s">
        <v>3057</v>
      </c>
      <c r="B53" s="2723"/>
      <c r="C53" s="2723"/>
      <c r="D53" s="2723"/>
      <c r="E53" s="2711"/>
      <c r="F53" s="2711"/>
      <c r="G53" s="2711"/>
      <c r="H53" s="2711"/>
      <c r="I53" s="2711"/>
      <c r="J53" s="2711"/>
    </row>
    <row r="54" spans="1:12">
      <c r="A54" s="2711"/>
      <c r="B54" s="2711"/>
      <c r="C54" s="2711"/>
      <c r="D54" s="2711"/>
      <c r="E54" s="2711"/>
      <c r="F54" s="2711"/>
      <c r="G54" s="2711"/>
      <c r="H54" s="2711"/>
      <c r="I54" s="2711"/>
      <c r="J54" s="2711"/>
    </row>
    <row r="55" spans="1:12">
      <c r="A55" s="2711"/>
      <c r="B55" s="2711"/>
      <c r="C55" s="2711"/>
      <c r="D55" s="2711"/>
      <c r="E55" s="2711"/>
      <c r="F55" s="2711"/>
      <c r="G55" s="2711"/>
      <c r="H55" s="2711"/>
      <c r="I55" s="2711"/>
      <c r="J55" s="2711"/>
    </row>
    <row r="56" spans="1:12">
      <c r="A56" s="2721" t="s">
        <v>3058</v>
      </c>
      <c r="B56" s="2721" t="s">
        <v>3059</v>
      </c>
      <c r="C56" s="5504" t="s">
        <v>3060</v>
      </c>
      <c r="D56" s="5504"/>
      <c r="E56" s="5504"/>
      <c r="F56" s="2718" t="s">
        <v>3061</v>
      </c>
      <c r="G56" s="2722"/>
      <c r="H56" s="2711"/>
      <c r="I56" s="2711"/>
      <c r="J56" s="2711"/>
    </row>
    <row r="57" spans="1:12">
      <c r="A57" s="2724"/>
      <c r="B57" s="2724"/>
      <c r="C57" s="5483"/>
      <c r="D57" s="5483"/>
      <c r="E57" s="5483"/>
      <c r="F57" s="5481"/>
      <c r="G57" s="5482"/>
      <c r="H57" s="2711"/>
      <c r="I57" s="2711"/>
      <c r="J57" s="2711"/>
    </row>
    <row r="58" spans="1:12">
      <c r="A58" s="2724"/>
      <c r="B58" s="2724"/>
      <c r="C58" s="5483"/>
      <c r="D58" s="5483"/>
      <c r="E58" s="5483"/>
      <c r="F58" s="5481"/>
      <c r="G58" s="5482"/>
      <c r="H58" s="2711"/>
      <c r="I58" s="2711"/>
      <c r="J58" s="2711"/>
    </row>
    <row r="59" spans="1:12">
      <c r="A59" s="2724"/>
      <c r="B59" s="2724"/>
      <c r="C59" s="5483"/>
      <c r="D59" s="5483"/>
      <c r="E59" s="5483"/>
      <c r="F59" s="5481"/>
      <c r="G59" s="5482"/>
      <c r="H59" s="2711"/>
      <c r="I59" s="2711"/>
      <c r="J59" s="2711"/>
    </row>
    <row r="60" spans="1:12">
      <c r="A60" s="2724"/>
      <c r="B60" s="2724"/>
      <c r="C60" s="5483"/>
      <c r="D60" s="5483"/>
      <c r="E60" s="5483"/>
      <c r="F60" s="5481"/>
      <c r="G60" s="5482"/>
      <c r="H60" s="2711"/>
      <c r="I60" s="2711"/>
      <c r="J60" s="2711"/>
    </row>
    <row r="61" spans="1:12">
      <c r="A61" s="2724"/>
      <c r="B61" s="2724"/>
      <c r="C61" s="5483"/>
      <c r="D61" s="5483"/>
      <c r="E61" s="5483"/>
      <c r="F61" s="5481"/>
      <c r="G61" s="5482"/>
      <c r="H61" s="2711"/>
      <c r="I61" s="2711"/>
      <c r="J61" s="2711"/>
    </row>
    <row r="62" spans="1:12">
      <c r="A62" s="2711"/>
      <c r="B62" s="2711"/>
      <c r="C62" s="2711"/>
      <c r="D62" s="2711"/>
      <c r="E62" s="2711"/>
      <c r="F62" s="2711"/>
      <c r="G62" s="2711"/>
      <c r="H62" s="2711"/>
      <c r="I62" s="2711"/>
      <c r="J62" s="2711"/>
    </row>
    <row r="63" spans="1:12">
      <c r="A63" s="2711"/>
      <c r="B63" s="2711"/>
      <c r="C63" s="2711"/>
      <c r="D63" s="2711"/>
      <c r="E63" s="2711"/>
      <c r="F63" s="2711"/>
      <c r="G63" s="2711"/>
      <c r="H63" s="2711"/>
      <c r="I63" s="2711"/>
      <c r="J63" s="2711"/>
    </row>
    <row r="64" spans="1:12">
      <c r="A64" s="497" t="s">
        <v>3062</v>
      </c>
      <c r="B64" s="326"/>
      <c r="C64" s="2712"/>
      <c r="D64" s="2712"/>
      <c r="E64" s="2712"/>
      <c r="F64" s="2712"/>
      <c r="G64" s="182"/>
      <c r="H64" s="2711"/>
      <c r="I64" s="2711"/>
      <c r="J64" s="2711"/>
    </row>
    <row r="65" spans="1:10">
      <c r="A65" s="32"/>
      <c r="B65" s="326"/>
      <c r="C65" s="2712"/>
      <c r="D65" s="2712"/>
      <c r="E65" s="2712"/>
      <c r="F65" s="2712"/>
      <c r="G65" s="182"/>
      <c r="H65" s="2711"/>
      <c r="I65" s="2711"/>
      <c r="J65" s="2711"/>
    </row>
    <row r="66" spans="1:10">
      <c r="A66" s="5484" t="s">
        <v>3043</v>
      </c>
      <c r="B66" s="5485"/>
      <c r="C66" s="5485"/>
      <c r="D66" s="5485"/>
      <c r="E66" s="5485"/>
      <c r="F66" s="5485"/>
      <c r="G66" s="5485"/>
      <c r="H66" s="5485"/>
      <c r="I66" s="5485"/>
      <c r="J66" s="5486"/>
    </row>
    <row r="67" spans="1:10">
      <c r="A67" s="2713" t="s">
        <v>3044</v>
      </c>
      <c r="B67" s="5574" t="s">
        <v>3045</v>
      </c>
      <c r="C67" s="5575"/>
      <c r="D67" s="5572" t="s">
        <v>3046</v>
      </c>
      <c r="E67" s="5573"/>
      <c r="F67" s="2411" t="s">
        <v>3047</v>
      </c>
      <c r="G67" s="2710" t="s">
        <v>3048</v>
      </c>
      <c r="H67" s="2719" t="s">
        <v>2584</v>
      </c>
      <c r="I67" s="5576" t="s">
        <v>3099</v>
      </c>
      <c r="J67" s="5576"/>
    </row>
    <row r="68" spans="1:10">
      <c r="A68" s="2725" t="str">
        <f>IF(ISBLANK(BatchProcessingFinalAddress01),"",BatchProcessingFinalAddress01)</f>
        <v/>
      </c>
      <c r="B68" s="5474" t="str">
        <f>IF(ISBLANK(BatchProcessingRoughAddress01),"",BatchProcessingRoughAddress01)</f>
        <v/>
      </c>
      <c r="C68" s="5475"/>
      <c r="D68" s="5559" t="str">
        <f>IF(ISBLANK(BatchProcessingRegistrationCity),"",BatchProcessingRegistrationCity)</f>
        <v/>
      </c>
      <c r="E68" s="5560"/>
      <c r="F68" s="5565" t="str">
        <f>IF(ISBLANK(BatchProcessingRegistrationState),"",BatchProcessingRegistrationState)</f>
        <v/>
      </c>
      <c r="G68" s="5568" t="str">
        <f>IF(ISBLANK(BatchProcessingRegistrationZip),"",BatchProcessingRegistrationZip)</f>
        <v/>
      </c>
      <c r="H68" s="2720" t="str">
        <f>IF(ISBLANK(BatchProcessingProjectID01),"",BatchProcessingProjectID01)</f>
        <v/>
      </c>
      <c r="I68" s="5478"/>
      <c r="J68" s="5478"/>
    </row>
    <row r="69" spans="1:10">
      <c r="A69" s="2725" t="str">
        <f>IF(ISBLANK(BatchProcessingFinalAddress02),"",BatchProcessingFinalAddress02)</f>
        <v/>
      </c>
      <c r="B69" s="5474" t="str">
        <f>IF(ISBLANK(BatchProcessingRoughAddress02),"",BatchProcessingRoughAddress02)</f>
        <v/>
      </c>
      <c r="C69" s="5475"/>
      <c r="D69" s="5561"/>
      <c r="E69" s="5562"/>
      <c r="F69" s="5566"/>
      <c r="G69" s="5569"/>
      <c r="H69" s="2720" t="str">
        <f>IF(ISBLANK(BatchProcessingProjectID02),"",BatchProcessingProjectID02)</f>
        <v/>
      </c>
      <c r="I69" s="5478"/>
      <c r="J69" s="5478"/>
    </row>
    <row r="70" spans="1:10">
      <c r="A70" s="2725" t="str">
        <f>IF(ISBLANK(BatchProcessingFinalAddress03),"",BatchProcessingFinalAddress03)</f>
        <v/>
      </c>
      <c r="B70" s="5474" t="str">
        <f>IF(ISBLANK(BatchProcessingRoughAddress03),"",BatchProcessingRoughAddress03)</f>
        <v/>
      </c>
      <c r="C70" s="5475"/>
      <c r="D70" s="5561"/>
      <c r="E70" s="5562"/>
      <c r="F70" s="5566"/>
      <c r="G70" s="5569"/>
      <c r="H70" s="2720" t="str">
        <f>IF(ISBLANK(BatchProcessingProjectID03),"",BatchProcessingProjectID03)</f>
        <v/>
      </c>
      <c r="I70" s="5478"/>
      <c r="J70" s="5478"/>
    </row>
    <row r="71" spans="1:10">
      <c r="A71" s="2725" t="str">
        <f>IF(ISBLANK(BatchProcessingFinalAddress04),"",BatchProcessingFinalAddress04)</f>
        <v/>
      </c>
      <c r="B71" s="5474" t="str">
        <f>IF(ISBLANK(BatchProcessingRoughAddress04),"",BatchProcessingRoughAddress04)</f>
        <v/>
      </c>
      <c r="C71" s="5475"/>
      <c r="D71" s="5561"/>
      <c r="E71" s="5562"/>
      <c r="F71" s="5566"/>
      <c r="G71" s="5569"/>
      <c r="H71" s="2720" t="str">
        <f>IF(ISBLANK(BatchProcessingProjectID04),"",BatchProcessingProjectID04)</f>
        <v/>
      </c>
      <c r="I71" s="5478"/>
      <c r="J71" s="5478"/>
    </row>
    <row r="72" spans="1:10" s="2752" customFormat="1">
      <c r="A72" s="2725" t="str">
        <f>IF(ISBLANK(BatchProcessingFinalAddress05),"",BatchProcessingFinalAddress05)</f>
        <v/>
      </c>
      <c r="B72" s="5474" t="str">
        <f>IF(ISBLANK(BatchProcessingRoughAddress05),"",BatchProcessingRoughAddress05)</f>
        <v/>
      </c>
      <c r="C72" s="5475"/>
      <c r="D72" s="5561"/>
      <c r="E72" s="5562"/>
      <c r="F72" s="5566"/>
      <c r="G72" s="5569"/>
      <c r="H72" s="2720" t="str">
        <f>IF(ISBLANK(BatchProcessingProjectID05),"",BatchProcessingProjectID05)</f>
        <v/>
      </c>
      <c r="I72" s="5479"/>
      <c r="J72" s="5480"/>
    </row>
    <row r="73" spans="1:10" s="2752" customFormat="1">
      <c r="A73" s="2725" t="str">
        <f>IF(ISBLANK(BatchProcessingFinalAddress06),"",BatchProcessingFinalAddress06)</f>
        <v/>
      </c>
      <c r="B73" s="5474" t="str">
        <f>IF(ISBLANK(BatchProcessingRoughAddress06),"",BatchProcessingRoughAddress06)</f>
        <v/>
      </c>
      <c r="C73" s="5475"/>
      <c r="D73" s="5561"/>
      <c r="E73" s="5562"/>
      <c r="F73" s="5566"/>
      <c r="G73" s="5569"/>
      <c r="H73" s="2720" t="str">
        <f>IF(ISBLANK(BatchProcessingProjectID06),"",BatchProcessingProjectID06)</f>
        <v/>
      </c>
      <c r="I73" s="5479"/>
      <c r="J73" s="5480"/>
    </row>
    <row r="74" spans="1:10" s="2752" customFormat="1">
      <c r="A74" s="2725" t="str">
        <f>IF(ISBLANK(BatchProcessingFinalAddress07),"",BatchProcessingFinalAddress07)</f>
        <v/>
      </c>
      <c r="B74" s="5474" t="str">
        <f>IF(ISBLANK(BatchProcessingRoughAddress07),"",BatchProcessingRoughAddress07)</f>
        <v/>
      </c>
      <c r="C74" s="5475"/>
      <c r="D74" s="5561"/>
      <c r="E74" s="5562"/>
      <c r="F74" s="5566"/>
      <c r="G74" s="5569"/>
      <c r="H74" s="2720" t="str">
        <f>IF(ISBLANK(BatchProcessingProjectID07),"",BatchProcessingProjectID07)</f>
        <v/>
      </c>
      <c r="I74" s="5479"/>
      <c r="J74" s="5480"/>
    </row>
    <row r="75" spans="1:10" s="2752" customFormat="1">
      <c r="A75" s="2725" t="str">
        <f>IF(ISBLANK(BatchProcessingFinalAddress08),"",BatchProcessingFinalAddress08)</f>
        <v/>
      </c>
      <c r="B75" s="5474" t="str">
        <f>IF(ISBLANK(BatchProcessingRoughAddress08),"",BatchProcessingRoughAddress08)</f>
        <v/>
      </c>
      <c r="C75" s="5475"/>
      <c r="D75" s="5561"/>
      <c r="E75" s="5562"/>
      <c r="F75" s="5566"/>
      <c r="G75" s="5569"/>
      <c r="H75" s="2720" t="str">
        <f>IF(ISBLANK(BatchProcessingProjectID08),"",BatchProcessingProjectID08)</f>
        <v/>
      </c>
      <c r="I75" s="5479"/>
      <c r="J75" s="5480"/>
    </row>
    <row r="76" spans="1:10" s="2752" customFormat="1">
      <c r="A76" s="2725" t="str">
        <f>IF(ISBLANK(BatchProcessingFinalAddress09),"",BatchProcessingFinalAddress09)</f>
        <v/>
      </c>
      <c r="B76" s="5474" t="str">
        <f>IF(ISBLANK(BatchProcessingRoughAddress09),"",BatchProcessingRoughAddress09)</f>
        <v/>
      </c>
      <c r="C76" s="5475"/>
      <c r="D76" s="5561"/>
      <c r="E76" s="5562"/>
      <c r="F76" s="5566"/>
      <c r="G76" s="5569"/>
      <c r="H76" s="2720" t="str">
        <f>IF(ISBLANK(BatchProcessingProjectID09),"",BatchProcessingProjectID09)</f>
        <v/>
      </c>
      <c r="I76" s="5479"/>
      <c r="J76" s="5480"/>
    </row>
    <row r="77" spans="1:10">
      <c r="A77" s="2725" t="str">
        <f>IF(ISBLANK(BatchProcessingFinalAddress10),"",BatchProcessingFinalAddress10)</f>
        <v/>
      </c>
      <c r="B77" s="5474" t="str">
        <f>IF(ISBLANK(BatchProcessingRoughAddress10),"",BatchProcessingRoughAddress10)</f>
        <v/>
      </c>
      <c r="C77" s="5475"/>
      <c r="D77" s="5561"/>
      <c r="E77" s="5562"/>
      <c r="F77" s="5566"/>
      <c r="G77" s="5569"/>
      <c r="H77" s="2720" t="str">
        <f>IF(ISBLANK(BatchProcessingProjectID10),"",BatchProcessingProjectID10)</f>
        <v/>
      </c>
      <c r="I77" s="5478"/>
      <c r="J77" s="5478"/>
    </row>
    <row r="78" spans="1:10" s="2833" customFormat="1">
      <c r="A78" s="2725" t="str">
        <f>IF(ISBLANK(BatchProcessingFinalAddress11),"",BatchProcessingFinalAddress11)</f>
        <v/>
      </c>
      <c r="B78" s="5474" t="str">
        <f>IF(ISBLANK(BatchProcessingRoughAddress11),"",BatchProcessingRoughAddress11)</f>
        <v/>
      </c>
      <c r="C78" s="5475"/>
      <c r="D78" s="5561"/>
      <c r="E78" s="5562"/>
      <c r="F78" s="5566"/>
      <c r="G78" s="5569"/>
      <c r="H78" s="2720" t="str">
        <f>IF(ISBLANK(BatchProcessingProjectID11),"",BatchProcessingProjectID11)</f>
        <v/>
      </c>
      <c r="I78" s="5478"/>
      <c r="J78" s="5478"/>
    </row>
    <row r="79" spans="1:10" s="2833" customFormat="1">
      <c r="A79" s="2725" t="str">
        <f>IF(ISBLANK(BatchProcessingFinalAddress12),"",BatchProcessingFinalAddress12)</f>
        <v/>
      </c>
      <c r="B79" s="5474" t="str">
        <f>IF(ISBLANK(BatchProcessingRoughAddress12),"",BatchProcessingRoughAddress12)</f>
        <v/>
      </c>
      <c r="C79" s="5475"/>
      <c r="D79" s="5561"/>
      <c r="E79" s="5562"/>
      <c r="F79" s="5566"/>
      <c r="G79" s="5569"/>
      <c r="H79" s="2720" t="str">
        <f>IF(ISBLANK(BatchProcessingProjectID12),"",BatchProcessingProjectID12)</f>
        <v/>
      </c>
      <c r="I79" s="5478"/>
      <c r="J79" s="5478"/>
    </row>
    <row r="80" spans="1:10" s="2833" customFormat="1">
      <c r="A80" s="2725" t="str">
        <f>IF(ISBLANK(BatchProcessingFinalAddress13),"",BatchProcessingFinalAddress13)</f>
        <v/>
      </c>
      <c r="B80" s="5474" t="str">
        <f>IF(ISBLANK(BatchProcessingRoughAddress13),"",BatchProcessingRoughAddress13)</f>
        <v/>
      </c>
      <c r="C80" s="5475"/>
      <c r="D80" s="5561"/>
      <c r="E80" s="5562"/>
      <c r="F80" s="5566"/>
      <c r="G80" s="5569"/>
      <c r="H80" s="2720" t="str">
        <f>IF(ISBLANK(BatchProcessingProjectID13),"",BatchProcessingProjectID13)</f>
        <v/>
      </c>
      <c r="I80" s="5478"/>
      <c r="J80" s="5478"/>
    </row>
    <row r="81" spans="1:10" s="2833" customFormat="1">
      <c r="A81" s="2725" t="str">
        <f>IF(ISBLANK(BatchProcessingFinalAddress14),"",BatchProcessingFinalAddress14)</f>
        <v/>
      </c>
      <c r="B81" s="5474" t="str">
        <f>IF(ISBLANK(BatchProcessingRoughAddress14),"",BatchProcessingRoughAddress14)</f>
        <v/>
      </c>
      <c r="C81" s="5475"/>
      <c r="D81" s="5561"/>
      <c r="E81" s="5562"/>
      <c r="F81" s="5566"/>
      <c r="G81" s="5569"/>
      <c r="H81" s="2720" t="str">
        <f>IF(ISBLANK(BatchProcessingProjectID14),"",BatchProcessingProjectID14)</f>
        <v/>
      </c>
      <c r="I81" s="5478"/>
      <c r="J81" s="5478"/>
    </row>
    <row r="82" spans="1:10" s="2833" customFormat="1">
      <c r="A82" s="2725" t="str">
        <f>IF(ISBLANK(BatchProcessingFinalAddress15),"",BatchProcessingFinalAddress15)</f>
        <v/>
      </c>
      <c r="B82" s="5474" t="str">
        <f>IF(ISBLANK(BatchProcessingRoughAddress15),"",BatchProcessingRoughAddress15)</f>
        <v/>
      </c>
      <c r="C82" s="5475"/>
      <c r="D82" s="5561"/>
      <c r="E82" s="5562"/>
      <c r="F82" s="5566"/>
      <c r="G82" s="5569"/>
      <c r="H82" s="2720" t="str">
        <f>IF(ISBLANK(BatchProcessingProjectID15),"",BatchProcessingProjectID15)</f>
        <v/>
      </c>
      <c r="I82" s="5479"/>
      <c r="J82" s="5480"/>
    </row>
    <row r="83" spans="1:10" s="2833" customFormat="1">
      <c r="A83" s="2725" t="str">
        <f>IF(ISBLANK(BatchProcessingFinalAddress16),"",BatchProcessingFinalAddress16)</f>
        <v/>
      </c>
      <c r="B83" s="5474" t="str">
        <f>IF(ISBLANK(BatchProcessingRoughAddress16),"",BatchProcessingRoughAddress16)</f>
        <v/>
      </c>
      <c r="C83" s="5475"/>
      <c r="D83" s="5561"/>
      <c r="E83" s="5562"/>
      <c r="F83" s="5566"/>
      <c r="G83" s="5569"/>
      <c r="H83" s="2720" t="str">
        <f>IF(ISBLANK(BatchProcessingProjectID16),"",BatchProcessingProjectID16)</f>
        <v/>
      </c>
      <c r="I83" s="5479"/>
      <c r="J83" s="5480"/>
    </row>
    <row r="84" spans="1:10" s="2833" customFormat="1">
      <c r="A84" s="2725" t="str">
        <f>IF(ISBLANK(BatchProcessingFinalAddress17),"",BatchProcessingFinalAddress17)</f>
        <v/>
      </c>
      <c r="B84" s="5474" t="str">
        <f>IF(ISBLANK(BatchProcessingRoughAddress17),"",BatchProcessingRoughAddress17)</f>
        <v/>
      </c>
      <c r="C84" s="5475"/>
      <c r="D84" s="5561"/>
      <c r="E84" s="5562"/>
      <c r="F84" s="5566"/>
      <c r="G84" s="5569"/>
      <c r="H84" s="2720" t="str">
        <f>IF(ISBLANK(BatchProcessingProjectID17),"",BatchProcessingProjectID17)</f>
        <v/>
      </c>
      <c r="I84" s="5479"/>
      <c r="J84" s="5480"/>
    </row>
    <row r="85" spans="1:10" s="2833" customFormat="1">
      <c r="A85" s="2725" t="str">
        <f>IF(ISBLANK(BatchProcessingFinalAddress18),"",BatchProcessingFinalAddress18)</f>
        <v/>
      </c>
      <c r="B85" s="5474" t="str">
        <f>IF(ISBLANK(BatchProcessingRoughAddress18),"",BatchProcessingRoughAddress18)</f>
        <v/>
      </c>
      <c r="C85" s="5475"/>
      <c r="D85" s="5561"/>
      <c r="E85" s="5562"/>
      <c r="F85" s="5566"/>
      <c r="G85" s="5569"/>
      <c r="H85" s="2720" t="str">
        <f>IF(ISBLANK(BatchProcessingProjectID18),"",BatchProcessingProjectID18)</f>
        <v/>
      </c>
      <c r="I85" s="5479"/>
      <c r="J85" s="5480"/>
    </row>
    <row r="86" spans="1:10" s="2833" customFormat="1">
      <c r="A86" s="2725" t="str">
        <f>IF(ISBLANK(BatchProcessingFinalAddress19),"",BatchProcessingFinalAddress19)</f>
        <v/>
      </c>
      <c r="B86" s="5474" t="str">
        <f>IF(ISBLANK(BatchProcessingRoughAddress19),"",BatchProcessingRoughAddress19)</f>
        <v/>
      </c>
      <c r="C86" s="5475"/>
      <c r="D86" s="5561"/>
      <c r="E86" s="5562"/>
      <c r="F86" s="5566"/>
      <c r="G86" s="5569"/>
      <c r="H86" s="2720" t="str">
        <f>IF(ISBLANK(BatchProcessingProjectID19),"",BatchProcessingProjectID19)</f>
        <v/>
      </c>
      <c r="I86" s="5479"/>
      <c r="J86" s="5480"/>
    </row>
    <row r="87" spans="1:10" s="2833" customFormat="1">
      <c r="A87" s="2725" t="str">
        <f>IF(ISBLANK(BatchProcessingFinalAddress20),"",BatchProcessingFinalAddress20)</f>
        <v/>
      </c>
      <c r="B87" s="5474" t="str">
        <f>IF(ISBLANK(BatchProcessingRoughAddress20),"",BatchProcessingRoughAddress20)</f>
        <v/>
      </c>
      <c r="C87" s="5475"/>
      <c r="D87" s="5563"/>
      <c r="E87" s="5564"/>
      <c r="F87" s="5567"/>
      <c r="G87" s="5570"/>
      <c r="H87" s="2720" t="str">
        <f>IF(ISBLANK(BatchProcessingProjectID20),"",BatchProcessingProjectID20)</f>
        <v/>
      </c>
      <c r="I87" s="5478"/>
      <c r="J87" s="5478"/>
    </row>
    <row r="88" spans="1:10">
      <c r="A88" s="32"/>
      <c r="B88" s="326"/>
      <c r="C88" s="2712"/>
      <c r="D88" s="2712"/>
      <c r="E88" s="2712"/>
      <c r="F88" s="2712"/>
      <c r="G88" s="182"/>
      <c r="H88" s="2711"/>
      <c r="I88" s="2711"/>
      <c r="J88" s="2711"/>
    </row>
    <row r="89" spans="1:10">
      <c r="A89" s="497" t="s">
        <v>3050</v>
      </c>
      <c r="B89" s="326"/>
      <c r="C89" s="2753"/>
      <c r="D89" s="2752"/>
      <c r="E89" s="2752"/>
      <c r="F89" s="2769" t="s">
        <v>3086</v>
      </c>
      <c r="G89" s="2753"/>
      <c r="H89" s="2753"/>
      <c r="I89" s="182"/>
      <c r="J89" s="2752"/>
    </row>
    <row r="90" spans="1:10">
      <c r="A90" s="2715"/>
      <c r="B90" s="2779"/>
      <c r="C90" s="2777"/>
      <c r="D90" s="2752"/>
      <c r="E90" s="2752"/>
      <c r="F90" s="2770"/>
      <c r="G90" s="1945"/>
      <c r="H90" s="1945"/>
      <c r="I90" s="182"/>
      <c r="J90" s="2752"/>
    </row>
    <row r="91" spans="1:10">
      <c r="A91" s="5490" t="s">
        <v>3051</v>
      </c>
      <c r="B91" s="5491"/>
      <c r="C91" s="5491"/>
      <c r="D91" s="2752"/>
      <c r="E91" s="2752"/>
      <c r="F91" s="4816" t="s">
        <v>3094</v>
      </c>
      <c r="G91" s="4816"/>
      <c r="H91" s="4816"/>
      <c r="I91" s="4816"/>
      <c r="J91" s="2776"/>
    </row>
    <row r="92" spans="1:10">
      <c r="A92" s="4821" t="s">
        <v>3052</v>
      </c>
      <c r="B92" s="5489"/>
      <c r="C92" s="5489"/>
      <c r="D92" s="2752"/>
      <c r="E92" s="2752"/>
      <c r="F92" s="4816"/>
      <c r="G92" s="4816"/>
      <c r="H92" s="4816"/>
      <c r="I92" s="4816"/>
      <c r="J92" s="2776"/>
    </row>
    <row r="93" spans="1:10">
      <c r="A93" s="4821" t="s">
        <v>3053</v>
      </c>
      <c r="B93" s="5489"/>
      <c r="C93" s="5489"/>
      <c r="D93" s="2752"/>
      <c r="E93" s="2752"/>
      <c r="F93" s="4816"/>
      <c r="G93" s="4816"/>
      <c r="H93" s="4816"/>
      <c r="I93" s="4816"/>
      <c r="J93" s="2776"/>
    </row>
    <row r="94" spans="1:10">
      <c r="A94" s="4821" t="s">
        <v>3088</v>
      </c>
      <c r="B94" s="5489"/>
      <c r="C94" s="5489"/>
      <c r="D94" s="2752"/>
      <c r="E94" s="2752"/>
      <c r="F94" s="4816"/>
      <c r="G94" s="4816"/>
      <c r="H94" s="4816"/>
      <c r="I94" s="4816"/>
      <c r="J94" s="2776"/>
    </row>
    <row r="95" spans="1:10" ht="65.25" customHeight="1">
      <c r="A95" s="4823" t="s">
        <v>3089</v>
      </c>
      <c r="B95" s="5492"/>
      <c r="C95" s="5492"/>
      <c r="D95" s="2752"/>
      <c r="E95" s="2752"/>
      <c r="F95" s="4816"/>
      <c r="G95" s="4816"/>
      <c r="H95" s="4816"/>
      <c r="I95" s="4816"/>
      <c r="J95" s="2776"/>
    </row>
    <row r="96" spans="1:10">
      <c r="A96" s="4821" t="s">
        <v>3090</v>
      </c>
      <c r="B96" s="5489"/>
      <c r="C96" s="5489"/>
      <c r="D96" s="2752"/>
      <c r="E96" s="2752"/>
      <c r="F96" s="4816"/>
      <c r="G96" s="4816"/>
      <c r="H96" s="4816"/>
      <c r="I96" s="4816"/>
      <c r="J96" s="2776"/>
    </row>
    <row r="97" spans="1:10">
      <c r="A97" s="4821" t="s">
        <v>3091</v>
      </c>
      <c r="B97" s="5489"/>
      <c r="C97" s="5489"/>
      <c r="D97" s="2752"/>
      <c r="E97" s="2752"/>
      <c r="F97" s="4816"/>
      <c r="G97" s="4816"/>
      <c r="H97" s="4816"/>
      <c r="I97" s="4816"/>
      <c r="J97" s="2776"/>
    </row>
    <row r="98" spans="1:10">
      <c r="A98" s="4821" t="s">
        <v>3111</v>
      </c>
      <c r="B98" s="5489"/>
      <c r="C98" s="5489"/>
      <c r="D98" s="2752"/>
      <c r="E98" s="2752"/>
      <c r="F98" s="4816"/>
      <c r="G98" s="4816"/>
      <c r="H98" s="4816"/>
      <c r="I98" s="4816"/>
      <c r="J98" s="2776"/>
    </row>
    <row r="99" spans="1:10" ht="58.5" customHeight="1">
      <c r="A99" s="4821" t="s">
        <v>3092</v>
      </c>
      <c r="B99" s="5489"/>
      <c r="C99" s="5489"/>
      <c r="D99" s="2753"/>
      <c r="E99" s="2753"/>
      <c r="F99" s="4816"/>
      <c r="G99" s="4816"/>
      <c r="H99" s="4816"/>
      <c r="I99" s="4816"/>
      <c r="J99" s="2752"/>
    </row>
    <row r="100" spans="1:10">
      <c r="A100" s="4821" t="s">
        <v>3054</v>
      </c>
      <c r="B100" s="5489"/>
      <c r="C100" s="5489"/>
      <c r="D100" s="2753"/>
      <c r="E100" s="2753"/>
      <c r="F100" s="2753"/>
      <c r="G100" s="182"/>
      <c r="H100" s="2752"/>
      <c r="I100" s="2752"/>
      <c r="J100" s="2752"/>
    </row>
    <row r="101" spans="1:10">
      <c r="A101" s="2778"/>
      <c r="B101" s="2778"/>
      <c r="C101" s="2777"/>
      <c r="D101" s="2753"/>
      <c r="E101" s="2753"/>
      <c r="F101" s="2753"/>
      <c r="G101" s="182"/>
      <c r="H101" s="2752"/>
      <c r="I101" s="2752"/>
      <c r="J101" s="2752"/>
    </row>
    <row r="102" spans="1:10">
      <c r="A102" s="2715"/>
      <c r="B102" s="326"/>
      <c r="C102" s="2712"/>
      <c r="D102" s="2712"/>
      <c r="E102" s="2712"/>
      <c r="F102" s="2712"/>
      <c r="G102" s="182"/>
      <c r="H102" s="2711"/>
      <c r="I102" s="2711"/>
      <c r="J102" s="2711"/>
    </row>
    <row r="103" spans="1:10">
      <c r="A103" s="2715"/>
      <c r="B103" s="326"/>
      <c r="C103" s="2712"/>
      <c r="D103" s="2712"/>
      <c r="E103" s="2712"/>
      <c r="F103" s="2712"/>
      <c r="G103" s="182"/>
      <c r="H103" s="2711"/>
      <c r="I103" s="2711"/>
      <c r="J103" s="2711"/>
    </row>
    <row r="104" spans="1:10">
      <c r="A104" s="2715"/>
      <c r="B104" s="326"/>
      <c r="C104" s="2712"/>
      <c r="D104" s="2712"/>
      <c r="E104" s="2712"/>
      <c r="F104" s="2712"/>
      <c r="G104" s="182"/>
      <c r="H104" s="2711"/>
      <c r="I104" s="2711"/>
      <c r="J104" s="2711"/>
    </row>
    <row r="105" spans="1:10">
      <c r="A105" s="2715"/>
      <c r="B105" s="326"/>
      <c r="C105" s="2712"/>
      <c r="D105" s="2712"/>
      <c r="E105" s="2712"/>
      <c r="F105" s="2712"/>
      <c r="G105" s="182"/>
      <c r="H105" s="2711"/>
      <c r="I105" s="2711"/>
      <c r="J105" s="2711"/>
    </row>
    <row r="106" spans="1:10">
      <c r="A106" s="2715"/>
      <c r="B106" s="326"/>
      <c r="C106" s="2712"/>
      <c r="D106" s="2712"/>
      <c r="E106" s="2711"/>
      <c r="F106" s="2711"/>
      <c r="G106" s="2711"/>
      <c r="H106" s="2711"/>
      <c r="I106" s="2711"/>
      <c r="J106" s="2711"/>
    </row>
    <row r="107" spans="1:10">
      <c r="A107" s="2715"/>
      <c r="B107" s="326"/>
      <c r="C107" s="2712"/>
      <c r="D107" s="2712"/>
      <c r="E107" s="2711"/>
      <c r="F107" s="2711"/>
      <c r="G107" s="2711"/>
      <c r="H107" s="2711"/>
      <c r="I107" s="2711"/>
      <c r="J107" s="2711"/>
    </row>
  </sheetData>
  <sheetProtection algorithmName="SHA-512" hashValue="RxSr+Z0K6eWWan+c1ENT2ZH9LmkB+KG/8zu1MAxFXADyNjNGqslGeTULzKVWsjXJs7eVx7gTIS+F3d4qjaH6Sg==" saltValue="sxq3KqKws0kYkfWR4ZuprA==" spinCount="100000" sheet="1" objects="1" scenarios="1" selectLockedCells="1"/>
  <mergeCells count="125">
    <mergeCell ref="A30:J33"/>
    <mergeCell ref="A36:C36"/>
    <mergeCell ref="D36:F36"/>
    <mergeCell ref="A48:C48"/>
    <mergeCell ref="D48:F48"/>
    <mergeCell ref="A49:H49"/>
    <mergeCell ref="A34:J34"/>
    <mergeCell ref="I36:J36"/>
    <mergeCell ref="I37:J37"/>
    <mergeCell ref="D35:G35"/>
    <mergeCell ref="A44:I45"/>
    <mergeCell ref="A37:C37"/>
    <mergeCell ref="D37:F37"/>
    <mergeCell ref="A40:J43"/>
    <mergeCell ref="A47:C47"/>
    <mergeCell ref="D47:F47"/>
    <mergeCell ref="B46:C46"/>
    <mergeCell ref="D46:J46"/>
    <mergeCell ref="A21:A22"/>
    <mergeCell ref="B21:B22"/>
    <mergeCell ref="C21:C22"/>
    <mergeCell ref="A23:A24"/>
    <mergeCell ref="B23:B24"/>
    <mergeCell ref="C23:C24"/>
    <mergeCell ref="A26:A27"/>
    <mergeCell ref="B26:B27"/>
    <mergeCell ref="C26:C27"/>
    <mergeCell ref="A15:A16"/>
    <mergeCell ref="B15:B16"/>
    <mergeCell ref="C15:C16"/>
    <mergeCell ref="A17:A18"/>
    <mergeCell ref="B17:B18"/>
    <mergeCell ref="C17:C18"/>
    <mergeCell ref="A19:A20"/>
    <mergeCell ref="B19:B20"/>
    <mergeCell ref="C19:C20"/>
    <mergeCell ref="C57:E57"/>
    <mergeCell ref="F57:G57"/>
    <mergeCell ref="C58:E58"/>
    <mergeCell ref="F58:G58"/>
    <mergeCell ref="C59:E59"/>
    <mergeCell ref="F59:G59"/>
    <mergeCell ref="C56:E56"/>
    <mergeCell ref="B2:C2"/>
    <mergeCell ref="B1:C1"/>
    <mergeCell ref="D2:J2"/>
    <mergeCell ref="A10:J10"/>
    <mergeCell ref="B4:D4"/>
    <mergeCell ref="B5:D5"/>
    <mergeCell ref="B6:D6"/>
    <mergeCell ref="H7:J7"/>
    <mergeCell ref="A3:J3"/>
    <mergeCell ref="H9:J9"/>
    <mergeCell ref="A11:A12"/>
    <mergeCell ref="B11:B12"/>
    <mergeCell ref="C11:C12"/>
    <mergeCell ref="D11:G11"/>
    <mergeCell ref="A13:A14"/>
    <mergeCell ref="B13:B14"/>
    <mergeCell ref="C13:C14"/>
    <mergeCell ref="I76:J76"/>
    <mergeCell ref="B77:C77"/>
    <mergeCell ref="I70:J70"/>
    <mergeCell ref="C60:E60"/>
    <mergeCell ref="F60:G60"/>
    <mergeCell ref="C61:E61"/>
    <mergeCell ref="F61:G61"/>
    <mergeCell ref="B71:C71"/>
    <mergeCell ref="I71:J71"/>
    <mergeCell ref="B67:C67"/>
    <mergeCell ref="I67:J67"/>
    <mergeCell ref="B68:C68"/>
    <mergeCell ref="I68:J68"/>
    <mergeCell ref="B69:C69"/>
    <mergeCell ref="I69:J69"/>
    <mergeCell ref="B70:C70"/>
    <mergeCell ref="A66:J66"/>
    <mergeCell ref="B8:D8"/>
    <mergeCell ref="B7:D7"/>
    <mergeCell ref="B9:E9"/>
    <mergeCell ref="A100:C100"/>
    <mergeCell ref="A91:C91"/>
    <mergeCell ref="F91:I99"/>
    <mergeCell ref="A92:C92"/>
    <mergeCell ref="A93:C93"/>
    <mergeCell ref="A94:C94"/>
    <mergeCell ref="A95:C95"/>
    <mergeCell ref="A96:C96"/>
    <mergeCell ref="A97:C97"/>
    <mergeCell ref="A98:C98"/>
    <mergeCell ref="A99:C99"/>
    <mergeCell ref="B72:C72"/>
    <mergeCell ref="B73:C73"/>
    <mergeCell ref="B74:C74"/>
    <mergeCell ref="B75:C75"/>
    <mergeCell ref="B76:C76"/>
    <mergeCell ref="I77:J77"/>
    <mergeCell ref="D67:E67"/>
    <mergeCell ref="I72:J72"/>
    <mergeCell ref="I73:J73"/>
    <mergeCell ref="I74:J74"/>
    <mergeCell ref="B87:C87"/>
    <mergeCell ref="D68:E87"/>
    <mergeCell ref="F68:F87"/>
    <mergeCell ref="G68:G87"/>
    <mergeCell ref="I78:J78"/>
    <mergeCell ref="I79:J79"/>
    <mergeCell ref="I80:J80"/>
    <mergeCell ref="I81:J81"/>
    <mergeCell ref="I82:J82"/>
    <mergeCell ref="I83:J83"/>
    <mergeCell ref="I84:J84"/>
    <mergeCell ref="I85:J85"/>
    <mergeCell ref="I86:J86"/>
    <mergeCell ref="I87:J87"/>
    <mergeCell ref="B78:C78"/>
    <mergeCell ref="B79:C79"/>
    <mergeCell ref="B80:C80"/>
    <mergeCell ref="B81:C81"/>
    <mergeCell ref="B82:C82"/>
    <mergeCell ref="B83:C83"/>
    <mergeCell ref="B84:C84"/>
    <mergeCell ref="B85:C85"/>
    <mergeCell ref="B86:C86"/>
    <mergeCell ref="I75:J75"/>
  </mergeCells>
  <conditionalFormatting sqref="D47:F47">
    <cfRule type="expression" dxfId="61" priority="66">
      <formula>$D$47=""</formula>
    </cfRule>
  </conditionalFormatting>
  <conditionalFormatting sqref="J47">
    <cfRule type="expression" dxfId="60" priority="65">
      <formula>J47=""</formula>
    </cfRule>
  </conditionalFormatting>
  <conditionalFormatting sqref="J48">
    <cfRule type="expression" dxfId="59" priority="64">
      <formula>J48=""</formula>
    </cfRule>
  </conditionalFormatting>
  <conditionalFormatting sqref="J49">
    <cfRule type="expression" dxfId="58" priority="63">
      <formula>J49=""</formula>
    </cfRule>
  </conditionalFormatting>
  <conditionalFormatting sqref="D14">
    <cfRule type="expression" dxfId="57" priority="62">
      <formula>$C$13&gt;=$D$13</formula>
    </cfRule>
  </conditionalFormatting>
  <conditionalFormatting sqref="E14">
    <cfRule type="expression" dxfId="56" priority="61">
      <formula>$C$13&gt;=$E$13</formula>
    </cfRule>
  </conditionalFormatting>
  <conditionalFormatting sqref="F14">
    <cfRule type="expression" dxfId="55" priority="60">
      <formula>$C$13&gt;=$F$13</formula>
    </cfRule>
  </conditionalFormatting>
  <conditionalFormatting sqref="G14">
    <cfRule type="expression" dxfId="54" priority="58">
      <formula>$C$13&gt;=$G$13</formula>
    </cfRule>
  </conditionalFormatting>
  <conditionalFormatting sqref="D16">
    <cfRule type="expression" dxfId="53" priority="57">
      <formula>$C15&gt;=D15</formula>
    </cfRule>
  </conditionalFormatting>
  <conditionalFormatting sqref="E16">
    <cfRule type="expression" dxfId="52" priority="55">
      <formula>$C15&gt;=E15</formula>
    </cfRule>
  </conditionalFormatting>
  <conditionalFormatting sqref="F16">
    <cfRule type="expression" dxfId="51" priority="54">
      <formula>$C15&gt;=F15</formula>
    </cfRule>
  </conditionalFormatting>
  <conditionalFormatting sqref="G16">
    <cfRule type="expression" dxfId="50" priority="53">
      <formula>$C15&gt;=G15</formula>
    </cfRule>
  </conditionalFormatting>
  <conditionalFormatting sqref="D18">
    <cfRule type="expression" dxfId="49" priority="52">
      <formula>$C17&gt;=D17</formula>
    </cfRule>
  </conditionalFormatting>
  <conditionalFormatting sqref="E18">
    <cfRule type="expression" dxfId="48" priority="51">
      <formula>$C17&gt;=E17</formula>
    </cfRule>
  </conditionalFormatting>
  <conditionalFormatting sqref="F18">
    <cfRule type="expression" dxfId="47" priority="50">
      <formula>$C17&gt;=F17</formula>
    </cfRule>
  </conditionalFormatting>
  <conditionalFormatting sqref="G18">
    <cfRule type="expression" dxfId="46" priority="49">
      <formula>$C17&gt;=G17</formula>
    </cfRule>
  </conditionalFormatting>
  <conditionalFormatting sqref="D20">
    <cfRule type="expression" dxfId="45" priority="48">
      <formula>$C19&gt;=D19</formula>
    </cfRule>
  </conditionalFormatting>
  <conditionalFormatting sqref="D22">
    <cfRule type="expression" dxfId="44" priority="47">
      <formula>$C21&gt;=D21</formula>
    </cfRule>
  </conditionalFormatting>
  <conditionalFormatting sqref="D24">
    <cfRule type="expression" dxfId="43" priority="46">
      <formula>$C23&gt;=D23</formula>
    </cfRule>
  </conditionalFormatting>
  <conditionalFormatting sqref="E20:F20">
    <cfRule type="expression" dxfId="42" priority="44">
      <formula>$C19&gt;=E19</formula>
    </cfRule>
  </conditionalFormatting>
  <conditionalFormatting sqref="G20">
    <cfRule type="expression" dxfId="41" priority="43">
      <formula>$C19&gt;=G19</formula>
    </cfRule>
  </conditionalFormatting>
  <conditionalFormatting sqref="E22">
    <cfRule type="expression" dxfId="40" priority="42">
      <formula>$C21&gt;=E21</formula>
    </cfRule>
  </conditionalFormatting>
  <conditionalFormatting sqref="F22">
    <cfRule type="expression" dxfId="39" priority="41">
      <formula>$C21&gt;=F21</formula>
    </cfRule>
  </conditionalFormatting>
  <conditionalFormatting sqref="G22">
    <cfRule type="expression" dxfId="38" priority="40">
      <formula>$C21&gt;=G21</formula>
    </cfRule>
  </conditionalFormatting>
  <conditionalFormatting sqref="E24">
    <cfRule type="expression" dxfId="37" priority="39">
      <formula>$C23&gt;=E23</formula>
    </cfRule>
  </conditionalFormatting>
  <conditionalFormatting sqref="G24">
    <cfRule type="expression" dxfId="36" priority="38">
      <formula>$C23&gt;=G23</formula>
    </cfRule>
  </conditionalFormatting>
  <conditionalFormatting sqref="F24">
    <cfRule type="expression" dxfId="35" priority="37">
      <formula>$C23&gt;=F23</formula>
    </cfRule>
  </conditionalFormatting>
  <conditionalFormatting sqref="D27">
    <cfRule type="expression" dxfId="34" priority="36">
      <formula>vlevel="Bronze"</formula>
    </cfRule>
  </conditionalFormatting>
  <conditionalFormatting sqref="E27">
    <cfRule type="expression" dxfId="33" priority="35">
      <formula>vlevel="Silver"</formula>
    </cfRule>
  </conditionalFormatting>
  <conditionalFormatting sqref="F27">
    <cfRule type="expression" dxfId="32" priority="34">
      <formula>vlevel="Gold"</formula>
    </cfRule>
  </conditionalFormatting>
  <conditionalFormatting sqref="G27">
    <cfRule type="expression" dxfId="31" priority="33">
      <formula>vlevel="Emerald"</formula>
    </cfRule>
  </conditionalFormatting>
  <conditionalFormatting sqref="D36:F36">
    <cfRule type="expression" dxfId="30" priority="32">
      <formula>$D$36=""</formula>
    </cfRule>
  </conditionalFormatting>
  <conditionalFormatting sqref="I36:J36">
    <cfRule type="expression" dxfId="29" priority="30">
      <formula>$I$36=""</formula>
    </cfRule>
  </conditionalFormatting>
  <conditionalFormatting sqref="B35">
    <cfRule type="expression" dxfId="28" priority="29">
      <formula>$B$35=""</formula>
    </cfRule>
  </conditionalFormatting>
  <conditionalFormatting sqref="H35">
    <cfRule type="expression" dxfId="27" priority="28">
      <formula>$H$35=""</formula>
    </cfRule>
  </conditionalFormatting>
  <conditionalFormatting sqref="J45">
    <cfRule type="expression" dxfId="26" priority="27">
      <formula>$J$45=""</formula>
    </cfRule>
  </conditionalFormatting>
  <conditionalFormatting sqref="B46:C46">
    <cfRule type="expression" dxfId="25" priority="26">
      <formula>$B$46=""</formula>
    </cfRule>
  </conditionalFormatting>
  <conditionalFormatting sqref="D46">
    <cfRule type="expression" dxfId="24" priority="25">
      <formula>AND($B$46="Other sevices as disclosed to the right",$D$46="")</formula>
    </cfRule>
  </conditionalFormatting>
  <conditionalFormatting sqref="H9:J9">
    <cfRule type="expression" dxfId="23" priority="17">
      <formula>$H$9&lt;&gt;"Ready to Submit"</formula>
    </cfRule>
  </conditionalFormatting>
  <conditionalFormatting sqref="I68:J71 I72:I76 I77:J81 I87:J87 I82:I86">
    <cfRule type="expression" dxfId="22" priority="16">
      <formula>AND( $H68&lt;&gt;"",$I68="")</formula>
    </cfRule>
  </conditionalFormatting>
  <conditionalFormatting sqref="C101:F101 A89:C90 F89:H90 F91 D100:F100 D99:E99">
    <cfRule type="expression" dxfId="21" priority="12">
      <formula xml:space="preserve"> BatchProcessingQuestion = "No"</formula>
    </cfRule>
    <cfRule type="expression" dxfId="20" priority="13">
      <formula xml:space="preserve"> BatchProcessingQuestion = "No"</formula>
    </cfRule>
    <cfRule type="expression" dxfId="19" priority="14">
      <formula xml:space="preserve"> BatchProcessingQuestion = "No"</formula>
    </cfRule>
  </conditionalFormatting>
  <conditionalFormatting sqref="A91:A100">
    <cfRule type="expression" dxfId="18" priority="9">
      <formula xml:space="preserve"> BatchProcessingQuestion = "No"</formula>
    </cfRule>
    <cfRule type="expression" dxfId="17" priority="10">
      <formula xml:space="preserve"> BatchProcessingQuestion = "No"</formula>
    </cfRule>
    <cfRule type="expression" dxfId="16" priority="11">
      <formula xml:space="preserve"> BatchProcessingQuestion = "No"</formula>
    </cfRule>
  </conditionalFormatting>
  <conditionalFormatting sqref="A89:J100">
    <cfRule type="expression" dxfId="15" priority="6">
      <formula xml:space="preserve"> BatchProcessingQuestion = "No"</formula>
    </cfRule>
    <cfRule type="expression" dxfId="14" priority="7">
      <formula xml:space="preserve"> BatchProcessingQuestion = "No"</formula>
    </cfRule>
    <cfRule type="expression" dxfId="13" priority="8">
      <formula>BatchProcessingQuestion = "No"</formula>
    </cfRule>
  </conditionalFormatting>
  <conditionalFormatting sqref="B9">
    <cfRule type="expression" dxfId="12" priority="2">
      <formula>OR($B$9="Assign Project ID on 'Verification Rpt' Tab",$B$9=0)</formula>
    </cfRule>
  </conditionalFormatting>
  <conditionalFormatting sqref="A64:J100">
    <cfRule type="expression" dxfId="11" priority="3">
      <formula xml:space="preserve"> BatchProcessingQuestion = "No"</formula>
    </cfRule>
    <cfRule type="expression" dxfId="10" priority="4">
      <formula xml:space="preserve"> BatchProcessingQuestion = "No"</formula>
    </cfRule>
    <cfRule type="expression" dxfId="9" priority="5">
      <formula xml:space="preserve"> BatchProcessingQuestion = "No"</formula>
    </cfRule>
  </conditionalFormatting>
  <dataValidations count="7">
    <dataValidation type="list" allowBlank="1" showInputMessage="1" showErrorMessage="1" sqref="B35" xr:uid="{00000000-0002-0000-0C00-000000000000}">
      <formula1>"US Mail,Overnight $40"</formula1>
    </dataValidation>
    <dataValidation type="list" allowBlank="1" showInputMessage="1" showErrorMessage="1" sqref="H35" xr:uid="{00000000-0002-0000-0C00-000001000000}">
      <formula1>"Address on file, Address as noted in Builder Comments"</formula1>
    </dataValidation>
    <dataValidation type="list" allowBlank="1" showInputMessage="1" showErrorMessage="1" sqref="J45" xr:uid="{00000000-0002-0000-0C00-000002000000}">
      <formula1>"Bronze,Silver,Gold,Emerald"</formula1>
    </dataValidation>
    <dataValidation type="list" allowBlank="1" showInputMessage="1" showErrorMessage="1" sqref="B46:C46" xr:uid="{00000000-0002-0000-0C00-000003000000}">
      <formula1>"Verification only,Other sevices as disclosed to the right"</formula1>
    </dataValidation>
    <dataValidation type="time" allowBlank="1" showInputMessage="1" showErrorMessage="1" errorTitle="Enter a valid Time format" error="Format (xx:yy AM)" sqref="J47" xr:uid="{00000000-0002-0000-0C00-000005000000}">
      <formula1>0</formula1>
      <formula2>0.999305555555556</formula2>
    </dataValidation>
    <dataValidation type="list" allowBlank="1" showInputMessage="1" showErrorMessage="1" sqref="B57:B61" xr:uid="{00000000-0002-0000-0C00-000007000000}">
      <formula1>VerifierRoles</formula1>
    </dataValidation>
    <dataValidation type="time" allowBlank="1" showInputMessage="1" showErrorMessage="1" sqref="J48" xr:uid="{00000000-0002-0000-0C00-000008000000}">
      <formula1>0</formula1>
      <formula2>0.999988425925926</formula2>
    </dataValidation>
  </dataValidations>
  <pageMargins left="0.7" right="0.7" top="0.75" bottom="1" header="0.3" footer="0.55000000000000004"/>
  <pageSetup scale="44" orientation="portrait" r:id="rId1"/>
  <headerFooter>
    <oddFooter>&amp;C&amp;8© 2013 Home Innovation Research Labs.  Practices of ICC700-2012 © 2013 National Association of Home Builders- used by permission.   Home Innovation authorizes use by those persons participating in the Home Innovation’s Green Building Certification.</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pageSetUpPr fitToPage="1"/>
  </sheetPr>
  <dimension ref="A1:M50"/>
  <sheetViews>
    <sheetView zoomScaleNormal="100" workbookViewId="0">
      <selection activeCell="C37" sqref="C37:J38"/>
    </sheetView>
  </sheetViews>
  <sheetFormatPr baseColWidth="10" defaultColWidth="8.83203125" defaultRowHeight="15"/>
  <cols>
    <col min="1" max="1" width="39.5" bestFit="1" customWidth="1"/>
    <col min="2" max="2" width="4.1640625" style="2726" bestFit="1" customWidth="1"/>
    <col min="3" max="3" width="16.6640625" customWidth="1"/>
    <col min="4" max="4" width="16.6640625" style="2732" customWidth="1"/>
    <col min="5" max="5" width="16.6640625" customWidth="1"/>
    <col min="6" max="6" width="16.6640625" style="2732" customWidth="1"/>
    <col min="7" max="7" width="16.6640625" customWidth="1"/>
    <col min="8" max="8" width="16.6640625" style="2732" customWidth="1"/>
    <col min="9" max="9" width="16.6640625" customWidth="1"/>
    <col min="10" max="10" width="16.6640625" style="2732" customWidth="1"/>
    <col min="11" max="11" width="4.1640625" customWidth="1"/>
    <col min="12" max="12" width="14.5" customWidth="1"/>
    <col min="13" max="13" width="35.83203125" customWidth="1"/>
  </cols>
  <sheetData>
    <row r="1" spans="1:13" ht="52.5" customHeight="1" thickBot="1">
      <c r="A1" s="2367"/>
      <c r="B1" s="2730"/>
      <c r="C1" s="5611">
        <v>2012</v>
      </c>
      <c r="D1" s="5611"/>
      <c r="E1" s="5610" t="str">
        <f ca="1">IF((TODAY()-Errata!A14)&lt;90,CONCATENATE("Revised ",TEXT(startRevisionDate,"mmmm dd, yyyy")), CONCATENATE("This version is old.  Please update. Revised ",TEXT(startRevisionDate,"mmmm dd, yyyy")))</f>
        <v>This version is old.  Please update. Revised August 21, 2020</v>
      </c>
      <c r="F1" s="5610"/>
      <c r="G1" s="5614" t="s">
        <v>3076</v>
      </c>
      <c r="H1" s="5614"/>
      <c r="I1" s="5458" t="str">
        <f>CONCATENATE(copyright," All rights reserved.  See full notice at bottom of this sheet")</f>
        <v>© 2020 Home Innovation Research Labs, Inc. All rights reserved.  See full notice at bottom of this sheet</v>
      </c>
      <c r="J1" s="5458"/>
      <c r="K1" s="2732"/>
      <c r="L1" s="2732"/>
      <c r="M1" s="2732"/>
    </row>
    <row r="2" spans="1:13" ht="1.5" customHeight="1">
      <c r="A2" s="2747"/>
      <c r="B2" s="2748"/>
      <c r="C2" s="2748"/>
      <c r="D2" s="2748"/>
      <c r="E2" s="2748"/>
      <c r="F2" s="2748"/>
      <c r="G2" s="2748"/>
      <c r="H2" s="2748"/>
      <c r="I2" s="2748"/>
      <c r="J2" s="2748"/>
      <c r="K2" s="2732"/>
      <c r="L2" s="2732"/>
      <c r="M2" s="2732"/>
    </row>
    <row r="3" spans="1:13">
      <c r="A3" s="2368" t="s">
        <v>560</v>
      </c>
      <c r="B3" s="1911"/>
      <c r="C3" s="5330" t="str">
        <f>BuilderName</f>
        <v/>
      </c>
      <c r="D3" s="5330"/>
      <c r="E3" s="5330"/>
      <c r="F3" s="2739"/>
      <c r="G3" s="2742" t="s">
        <v>563</v>
      </c>
      <c r="H3" s="2742"/>
      <c r="I3" s="5615" t="str">
        <f>BldgType</f>
        <v/>
      </c>
      <c r="J3" s="5615"/>
      <c r="K3" s="2732"/>
      <c r="L3" s="2732"/>
      <c r="M3" s="2732"/>
    </row>
    <row r="4" spans="1:13">
      <c r="A4" s="2369" t="s">
        <v>562</v>
      </c>
      <c r="B4" s="1912"/>
      <c r="C4" s="3993" t="str">
        <f>Address</f>
        <v/>
      </c>
      <c r="D4" s="3993"/>
      <c r="E4" s="3993"/>
      <c r="F4" s="2740"/>
      <c r="G4" s="2740"/>
      <c r="H4" s="2740"/>
      <c r="I4" s="2731"/>
      <c r="J4" s="2731"/>
      <c r="K4" s="2732" t="str">
        <f>IF(BldgType="Multi-unit","# of units:","")</f>
        <v/>
      </c>
      <c r="L4" s="3830"/>
      <c r="M4" s="3830"/>
    </row>
    <row r="5" spans="1:13">
      <c r="A5" s="2369" t="s">
        <v>180</v>
      </c>
      <c r="B5" s="1912"/>
      <c r="C5" s="5319" t="str">
        <f>LotNo</f>
        <v/>
      </c>
      <c r="D5" s="5319"/>
      <c r="E5" s="5319"/>
      <c r="F5" s="2741"/>
      <c r="G5" s="2743" t="s">
        <v>3000</v>
      </c>
      <c r="H5" s="2743"/>
      <c r="I5" s="3101">
        <f>TargetLevel</f>
        <v>0</v>
      </c>
      <c r="J5" s="3101"/>
      <c r="K5" s="2732"/>
      <c r="L5" s="2732"/>
      <c r="M5" s="2732"/>
    </row>
    <row r="6" spans="1:13">
      <c r="A6" s="2368" t="s">
        <v>565</v>
      </c>
      <c r="B6" s="1911"/>
      <c r="C6" s="5597" t="str">
        <f>VCZ</f>
        <v/>
      </c>
      <c r="D6" s="5597"/>
      <c r="E6" s="5597"/>
      <c r="F6" s="2733"/>
      <c r="G6" s="2743" t="s">
        <v>567</v>
      </c>
      <c r="H6" s="2743"/>
      <c r="I6" s="3993" t="str">
        <f>ProjectDescription</f>
        <v/>
      </c>
      <c r="J6" s="3993"/>
      <c r="K6" s="2732"/>
      <c r="L6" s="2732"/>
      <c r="M6" s="2732"/>
    </row>
    <row r="7" spans="1:13">
      <c r="A7" s="2370" t="s">
        <v>2059</v>
      </c>
      <c r="B7" s="1379"/>
      <c r="C7" s="5598" t="str">
        <f>County</f>
        <v/>
      </c>
      <c r="D7" s="5598"/>
      <c r="E7" s="5598"/>
      <c r="F7" s="2735"/>
      <c r="G7" s="2744" t="s">
        <v>3074</v>
      </c>
      <c r="H7" s="2744"/>
      <c r="I7" s="5319" t="str">
        <f>HERS</f>
        <v>Missing Info on Start Here! tab</v>
      </c>
      <c r="J7" s="5319"/>
      <c r="K7" s="2732"/>
      <c r="L7" s="2732"/>
      <c r="M7" s="2732"/>
    </row>
    <row r="8" spans="1:13" ht="16.5" customHeight="1">
      <c r="A8" s="2369" t="s">
        <v>3066</v>
      </c>
      <c r="B8" s="1912"/>
      <c r="C8" s="5612" t="str">
        <f>ProjectID</f>
        <v>PRJEPKDMnz</v>
      </c>
      <c r="D8" s="5612"/>
      <c r="E8" s="5612"/>
      <c r="F8" s="190"/>
      <c r="G8" s="2745" t="s">
        <v>3075</v>
      </c>
      <c r="H8" s="2745"/>
      <c r="I8" s="3191" t="str">
        <f>ReadyToSubmitStatus</f>
        <v>This Report is NOT Ready To Submit</v>
      </c>
      <c r="J8" s="3191"/>
      <c r="K8" s="2732"/>
      <c r="L8" s="2732"/>
      <c r="M8" s="2732"/>
    </row>
    <row r="9" spans="1:13" ht="2" customHeight="1">
      <c r="A9" s="2727"/>
      <c r="B9" s="2727"/>
      <c r="C9" s="2727"/>
      <c r="D9" s="2727"/>
      <c r="E9" s="2727"/>
      <c r="F9" s="2727"/>
      <c r="G9" s="2727"/>
      <c r="H9" s="2727"/>
      <c r="I9" s="2727"/>
      <c r="J9" s="2727"/>
      <c r="K9" s="2732"/>
      <c r="L9" s="2732"/>
      <c r="M9" s="2732"/>
    </row>
    <row r="10" spans="1:13">
      <c r="A10" s="2732"/>
      <c r="B10" s="2732"/>
      <c r="C10" s="2732"/>
      <c r="E10" s="2732"/>
      <c r="G10" s="2732"/>
      <c r="I10" s="2732"/>
      <c r="K10" s="2732"/>
      <c r="L10" s="2732"/>
      <c r="M10" s="2732"/>
    </row>
    <row r="11" spans="1:13">
      <c r="A11" s="2729"/>
      <c r="B11" s="2729"/>
      <c r="C11" s="5613" t="s">
        <v>3067</v>
      </c>
      <c r="D11" s="5613"/>
      <c r="E11" s="5613"/>
      <c r="F11" s="5613"/>
      <c r="G11" s="5613"/>
      <c r="H11" s="5613"/>
      <c r="I11" s="5613"/>
      <c r="J11" s="5613"/>
      <c r="K11" s="2729"/>
      <c r="L11" s="2729"/>
      <c r="M11" s="2729"/>
    </row>
    <row r="12" spans="1:13" ht="2" customHeight="1">
      <c r="A12" s="2728"/>
      <c r="B12" s="2728"/>
      <c r="C12" s="2746"/>
      <c r="D12" s="2746"/>
      <c r="E12" s="2746"/>
      <c r="F12" s="2746"/>
      <c r="G12" s="2746"/>
      <c r="H12" s="2746"/>
      <c r="I12" s="2746"/>
      <c r="J12" s="2746"/>
      <c r="K12" s="2732"/>
      <c r="L12" s="2732"/>
      <c r="M12" s="2732"/>
    </row>
    <row r="13" spans="1:13" s="2726" customFormat="1" ht="80.25" customHeight="1">
      <c r="A13" s="2728"/>
      <c r="B13" s="2728"/>
      <c r="C13" s="5616" t="s">
        <v>3073</v>
      </c>
      <c r="D13" s="5616"/>
      <c r="E13" s="5616"/>
      <c r="F13" s="5616"/>
      <c r="G13" s="5616"/>
      <c r="H13" s="5616"/>
      <c r="I13" s="5616"/>
      <c r="J13" s="5616"/>
      <c r="K13" s="2732"/>
      <c r="L13" s="2732"/>
      <c r="M13" s="2732"/>
    </row>
    <row r="14" spans="1:13" ht="7.5" customHeight="1">
      <c r="A14" s="2732"/>
      <c r="B14" s="2732"/>
      <c r="C14" s="2732"/>
      <c r="E14" s="2732"/>
      <c r="G14" s="2732"/>
      <c r="I14" s="2732"/>
      <c r="K14" s="2732"/>
      <c r="L14" s="2732"/>
      <c r="M14" s="2732"/>
    </row>
    <row r="15" spans="1:13" ht="19">
      <c r="A15" s="2726"/>
      <c r="B15" s="2736"/>
      <c r="C15" s="5600" t="s">
        <v>3068</v>
      </c>
      <c r="D15" s="5600"/>
      <c r="E15" s="5600" t="s">
        <v>3069</v>
      </c>
      <c r="F15" s="5600"/>
      <c r="G15" s="5600" t="s">
        <v>3070</v>
      </c>
      <c r="H15" s="5600"/>
      <c r="I15" s="5600" t="s">
        <v>3071</v>
      </c>
      <c r="J15" s="5600"/>
    </row>
    <row r="16" spans="1:13" ht="22" customHeight="1">
      <c r="A16" s="2726"/>
      <c r="B16" s="2737">
        <v>1</v>
      </c>
      <c r="C16" s="5599"/>
      <c r="D16" s="5599"/>
      <c r="E16" s="5601"/>
      <c r="F16" s="5602"/>
      <c r="G16" s="5603"/>
      <c r="H16" s="5604"/>
      <c r="I16" s="5601"/>
      <c r="J16" s="5602"/>
    </row>
    <row r="17" spans="2:10" ht="22" customHeight="1">
      <c r="B17" s="2737">
        <v>2</v>
      </c>
      <c r="C17" s="5601"/>
      <c r="D17" s="5602"/>
      <c r="E17" s="5601"/>
      <c r="F17" s="5602"/>
      <c r="G17" s="5603"/>
      <c r="H17" s="5604"/>
      <c r="I17" s="5601"/>
      <c r="J17" s="5602"/>
    </row>
    <row r="18" spans="2:10" ht="22" customHeight="1">
      <c r="B18" s="2737">
        <v>3</v>
      </c>
      <c r="C18" s="5601"/>
      <c r="D18" s="5602"/>
      <c r="E18" s="5601"/>
      <c r="F18" s="5602"/>
      <c r="G18" s="5603"/>
      <c r="H18" s="5604"/>
      <c r="I18" s="5601"/>
      <c r="J18" s="5602"/>
    </row>
    <row r="19" spans="2:10" ht="22" customHeight="1">
      <c r="B19" s="2737">
        <v>4</v>
      </c>
      <c r="C19" s="5601"/>
      <c r="D19" s="5602"/>
      <c r="E19" s="5601"/>
      <c r="F19" s="5602"/>
      <c r="G19" s="5603"/>
      <c r="H19" s="5604"/>
      <c r="I19" s="5601"/>
      <c r="J19" s="5602"/>
    </row>
    <row r="20" spans="2:10" ht="22" customHeight="1">
      <c r="B20" s="2737">
        <v>5</v>
      </c>
      <c r="C20" s="5601"/>
      <c r="D20" s="5602"/>
      <c r="E20" s="5601"/>
      <c r="F20" s="5602"/>
      <c r="G20" s="5603"/>
      <c r="H20" s="5604"/>
      <c r="I20" s="5601"/>
      <c r="J20" s="5602"/>
    </row>
    <row r="21" spans="2:10" ht="22" customHeight="1">
      <c r="B21" s="2737">
        <v>6</v>
      </c>
      <c r="C21" s="5601"/>
      <c r="D21" s="5602"/>
      <c r="E21" s="5601"/>
      <c r="F21" s="5602"/>
      <c r="G21" s="5603"/>
      <c r="H21" s="5604"/>
      <c r="I21" s="5601"/>
      <c r="J21" s="5602"/>
    </row>
    <row r="22" spans="2:10" ht="22" customHeight="1">
      <c r="B22" s="2737">
        <v>7</v>
      </c>
      <c r="C22" s="5601"/>
      <c r="D22" s="5602"/>
      <c r="E22" s="5601"/>
      <c r="F22" s="5602"/>
      <c r="G22" s="5603"/>
      <c r="H22" s="5604"/>
      <c r="I22" s="5601"/>
      <c r="J22" s="5602"/>
    </row>
    <row r="23" spans="2:10" ht="22" customHeight="1">
      <c r="B23" s="2737">
        <v>8</v>
      </c>
      <c r="C23" s="5601"/>
      <c r="D23" s="5602"/>
      <c r="E23" s="5601"/>
      <c r="F23" s="5602"/>
      <c r="G23" s="5603"/>
      <c r="H23" s="5604"/>
      <c r="I23" s="5601"/>
      <c r="J23" s="5602"/>
    </row>
    <row r="24" spans="2:10" ht="22" customHeight="1">
      <c r="B24" s="2737">
        <v>9</v>
      </c>
      <c r="C24" s="5601"/>
      <c r="D24" s="5602"/>
      <c r="E24" s="5601"/>
      <c r="F24" s="5602"/>
      <c r="G24" s="5603"/>
      <c r="H24" s="5604"/>
      <c r="I24" s="5601"/>
      <c r="J24" s="5602"/>
    </row>
    <row r="25" spans="2:10" ht="22" customHeight="1">
      <c r="B25" s="2737">
        <v>10</v>
      </c>
      <c r="C25" s="5601"/>
      <c r="D25" s="5602"/>
      <c r="E25" s="5601"/>
      <c r="F25" s="5602"/>
      <c r="G25" s="5603"/>
      <c r="H25" s="5604"/>
      <c r="I25" s="5601"/>
      <c r="J25" s="5602"/>
    </row>
    <row r="26" spans="2:10" ht="22" customHeight="1">
      <c r="B26" s="2737">
        <v>11</v>
      </c>
      <c r="C26" s="5601"/>
      <c r="D26" s="5602"/>
      <c r="E26" s="5601"/>
      <c r="F26" s="5602"/>
      <c r="G26" s="5603"/>
      <c r="H26" s="5604"/>
      <c r="I26" s="5601"/>
      <c r="J26" s="5602"/>
    </row>
    <row r="27" spans="2:10" ht="22" customHeight="1">
      <c r="B27" s="2737">
        <v>12</v>
      </c>
      <c r="C27" s="5601"/>
      <c r="D27" s="5602"/>
      <c r="E27" s="5601"/>
      <c r="F27" s="5602"/>
      <c r="G27" s="5603"/>
      <c r="H27" s="5604"/>
      <c r="I27" s="5601"/>
      <c r="J27" s="5602"/>
    </row>
    <row r="28" spans="2:10" ht="22" customHeight="1">
      <c r="B28" s="2737">
        <v>13</v>
      </c>
      <c r="C28" s="5601"/>
      <c r="D28" s="5602"/>
      <c r="E28" s="5601"/>
      <c r="F28" s="5602"/>
      <c r="G28" s="5603"/>
      <c r="H28" s="5604"/>
      <c r="I28" s="5601"/>
      <c r="J28" s="5602"/>
    </row>
    <row r="29" spans="2:10" ht="22" customHeight="1">
      <c r="B29" s="2737">
        <v>14</v>
      </c>
      <c r="C29" s="5601"/>
      <c r="D29" s="5602"/>
      <c r="E29" s="5601"/>
      <c r="F29" s="5602"/>
      <c r="G29" s="5603"/>
      <c r="H29" s="5604"/>
      <c r="I29" s="5601"/>
      <c r="J29" s="5602"/>
    </row>
    <row r="30" spans="2:10" ht="22" customHeight="1">
      <c r="B30" s="2737">
        <v>15</v>
      </c>
      <c r="C30" s="5601"/>
      <c r="D30" s="5602"/>
      <c r="E30" s="5601"/>
      <c r="F30" s="5602"/>
      <c r="G30" s="5603"/>
      <c r="H30" s="5604"/>
      <c r="I30" s="5601"/>
      <c r="J30" s="5602"/>
    </row>
    <row r="31" spans="2:10" ht="22" customHeight="1">
      <c r="B31" s="2737">
        <v>16</v>
      </c>
      <c r="C31" s="5601"/>
      <c r="D31" s="5602"/>
      <c r="E31" s="5601"/>
      <c r="F31" s="5602"/>
      <c r="G31" s="5603"/>
      <c r="H31" s="5604"/>
      <c r="I31" s="5601"/>
      <c r="J31" s="5602"/>
    </row>
    <row r="32" spans="2:10" ht="22" customHeight="1">
      <c r="B32" s="2737">
        <v>17</v>
      </c>
      <c r="C32" s="5601"/>
      <c r="D32" s="5602"/>
      <c r="E32" s="5601"/>
      <c r="F32" s="5602"/>
      <c r="G32" s="5603"/>
      <c r="H32" s="5604"/>
      <c r="I32" s="5601"/>
      <c r="J32" s="5602"/>
    </row>
    <row r="33" spans="1:10" ht="22" customHeight="1">
      <c r="B33" s="2737">
        <v>18</v>
      </c>
      <c r="C33" s="5601"/>
      <c r="D33" s="5602"/>
      <c r="E33" s="5601"/>
      <c r="F33" s="5602"/>
      <c r="G33" s="5603"/>
      <c r="H33" s="5604"/>
      <c r="I33" s="5601"/>
      <c r="J33" s="5602"/>
    </row>
    <row r="34" spans="1:10" ht="22" customHeight="1">
      <c r="B34" s="2737">
        <v>19</v>
      </c>
      <c r="C34" s="5601"/>
      <c r="D34" s="5602"/>
      <c r="E34" s="5601"/>
      <c r="F34" s="5602"/>
      <c r="G34" s="5603"/>
      <c r="H34" s="5604"/>
      <c r="I34" s="5601"/>
      <c r="J34" s="5602"/>
    </row>
    <row r="35" spans="1:10" ht="22" customHeight="1">
      <c r="B35" s="2737">
        <v>20</v>
      </c>
      <c r="C35" s="5601"/>
      <c r="D35" s="5602"/>
      <c r="E35" s="5601"/>
      <c r="F35" s="5602"/>
      <c r="G35" s="5603"/>
      <c r="H35" s="5604"/>
      <c r="I35" s="5601"/>
      <c r="J35" s="5602"/>
    </row>
    <row r="37" spans="1:10" ht="15" customHeight="1">
      <c r="C37" s="5609" t="s">
        <v>3072</v>
      </c>
      <c r="D37" s="5609"/>
      <c r="E37" s="5609"/>
      <c r="F37" s="5609"/>
      <c r="G37" s="5609"/>
      <c r="H37" s="5609"/>
      <c r="I37" s="5609"/>
      <c r="J37" s="5609"/>
    </row>
    <row r="38" spans="1:10" ht="46.5" customHeight="1">
      <c r="C38" s="5609"/>
      <c r="D38" s="5609"/>
      <c r="E38" s="5609"/>
      <c r="F38" s="5609"/>
      <c r="G38" s="5609"/>
      <c r="H38" s="5609"/>
      <c r="I38" s="5609"/>
      <c r="J38" s="5609"/>
    </row>
    <row r="39" spans="1:10">
      <c r="C39" s="2738"/>
      <c r="D39" s="2738"/>
      <c r="E39" s="2738"/>
      <c r="F39" s="2738"/>
      <c r="G39" s="2738"/>
      <c r="H39" s="2738"/>
      <c r="I39" s="2738"/>
      <c r="J39" s="2734"/>
    </row>
    <row r="40" spans="1:10">
      <c r="C40" s="2738"/>
      <c r="D40" s="2738"/>
      <c r="E40" s="2738"/>
      <c r="F40" s="2738"/>
      <c r="G40" s="2738"/>
      <c r="H40" s="2738"/>
      <c r="I40" s="2738"/>
      <c r="J40" s="2734"/>
    </row>
    <row r="41" spans="1:10" ht="19">
      <c r="C41" s="5617"/>
      <c r="D41" s="5617"/>
    </row>
    <row r="42" spans="1:10" ht="2" customHeight="1"/>
    <row r="43" spans="1:10">
      <c r="A43" s="5607" t="s">
        <v>3077</v>
      </c>
      <c r="B43" s="5608"/>
      <c r="C43" s="5618"/>
      <c r="D43" s="5619"/>
      <c r="E43" s="5619"/>
      <c r="F43" s="5619"/>
      <c r="G43" s="5619"/>
      <c r="H43" s="5619"/>
      <c r="I43" s="5619"/>
      <c r="J43" s="5620"/>
    </row>
    <row r="44" spans="1:10" ht="18.75" customHeight="1">
      <c r="A44" s="5607"/>
      <c r="B44" s="5608"/>
      <c r="C44" s="5621"/>
      <c r="D44" s="5622"/>
      <c r="E44" s="5622"/>
      <c r="F44" s="5622"/>
      <c r="G44" s="5622"/>
      <c r="H44" s="5622"/>
      <c r="I44" s="5622"/>
      <c r="J44" s="5623"/>
    </row>
    <row r="45" spans="1:10">
      <c r="A45" s="5607"/>
      <c r="B45" s="5608"/>
      <c r="C45" s="5624"/>
      <c r="D45" s="5625"/>
      <c r="E45" s="5625"/>
      <c r="F45" s="5625"/>
      <c r="G45" s="5625"/>
      <c r="H45" s="5625"/>
      <c r="I45" s="5625"/>
      <c r="J45" s="5142"/>
    </row>
    <row r="47" spans="1:10" ht="18.75" customHeight="1">
      <c r="A47" s="5605" t="s">
        <v>3079</v>
      </c>
      <c r="B47" s="5605"/>
      <c r="C47" s="5626"/>
      <c r="D47" s="5626"/>
      <c r="E47" s="5626"/>
      <c r="F47" s="5626"/>
      <c r="G47" s="5626"/>
      <c r="H47" s="5626"/>
      <c r="I47" s="5626"/>
      <c r="J47" s="5626"/>
    </row>
    <row r="50" spans="1:10" ht="19">
      <c r="A50" s="5605" t="s">
        <v>3078</v>
      </c>
      <c r="B50" s="5605"/>
      <c r="C50" s="5606"/>
      <c r="D50" s="5606"/>
      <c r="E50" s="5606"/>
      <c r="F50" s="5606"/>
      <c r="G50" s="5606"/>
      <c r="H50" s="5606"/>
      <c r="I50" s="5606"/>
      <c r="J50" s="5606"/>
    </row>
  </sheetData>
  <sheetProtection password="CA4F" sheet="1" objects="1" scenarios="1"/>
  <mergeCells count="110">
    <mergeCell ref="I3:J3"/>
    <mergeCell ref="I5:J5"/>
    <mergeCell ref="I6:J6"/>
    <mergeCell ref="I7:J7"/>
    <mergeCell ref="I8:J8"/>
    <mergeCell ref="C13:J13"/>
    <mergeCell ref="C41:D41"/>
    <mergeCell ref="C43:J45"/>
    <mergeCell ref="C47:J47"/>
    <mergeCell ref="G34:H34"/>
    <mergeCell ref="G35:H35"/>
    <mergeCell ref="I16:J16"/>
    <mergeCell ref="I17:J17"/>
    <mergeCell ref="I18:J18"/>
    <mergeCell ref="I19:J19"/>
    <mergeCell ref="I20:J20"/>
    <mergeCell ref="I21:J21"/>
    <mergeCell ref="I22:J22"/>
    <mergeCell ref="I23:J23"/>
    <mergeCell ref="I24:J24"/>
    <mergeCell ref="I25:J25"/>
    <mergeCell ref="I26:J26"/>
    <mergeCell ref="I27:J27"/>
    <mergeCell ref="G27:H27"/>
    <mergeCell ref="A47:B47"/>
    <mergeCell ref="A50:B50"/>
    <mergeCell ref="C50:J50"/>
    <mergeCell ref="A43:B45"/>
    <mergeCell ref="C37:J38"/>
    <mergeCell ref="E1:F1"/>
    <mergeCell ref="C1:D1"/>
    <mergeCell ref="C3:E3"/>
    <mergeCell ref="C4:E4"/>
    <mergeCell ref="C5:E5"/>
    <mergeCell ref="C8:E8"/>
    <mergeCell ref="C11:J11"/>
    <mergeCell ref="G1:H1"/>
    <mergeCell ref="I1:J1"/>
    <mergeCell ref="I33:J33"/>
    <mergeCell ref="I34:J34"/>
    <mergeCell ref="I35:J35"/>
    <mergeCell ref="I28:J28"/>
    <mergeCell ref="I29:J29"/>
    <mergeCell ref="I30:J30"/>
    <mergeCell ref="I31:J31"/>
    <mergeCell ref="I32:J32"/>
    <mergeCell ref="G32:H32"/>
    <mergeCell ref="G33:H33"/>
    <mergeCell ref="E33:F33"/>
    <mergeCell ref="E34:F34"/>
    <mergeCell ref="G16:H16"/>
    <mergeCell ref="G17:H17"/>
    <mergeCell ref="G18:H18"/>
    <mergeCell ref="G19:H19"/>
    <mergeCell ref="G20:H20"/>
    <mergeCell ref="E22:F22"/>
    <mergeCell ref="E23:F23"/>
    <mergeCell ref="E24:F24"/>
    <mergeCell ref="E25:F25"/>
    <mergeCell ref="G28:H28"/>
    <mergeCell ref="G29:H29"/>
    <mergeCell ref="G30:H30"/>
    <mergeCell ref="G31:H31"/>
    <mergeCell ref="G21:H21"/>
    <mergeCell ref="G22:H22"/>
    <mergeCell ref="G23:H23"/>
    <mergeCell ref="G24:H24"/>
    <mergeCell ref="G25:H25"/>
    <mergeCell ref="C20:D20"/>
    <mergeCell ref="C21:D21"/>
    <mergeCell ref="E26:F26"/>
    <mergeCell ref="E27:F27"/>
    <mergeCell ref="E28:F28"/>
    <mergeCell ref="E29:F29"/>
    <mergeCell ref="E30:F30"/>
    <mergeCell ref="E31:F31"/>
    <mergeCell ref="E32:F32"/>
    <mergeCell ref="C18:D18"/>
    <mergeCell ref="C19:D19"/>
    <mergeCell ref="E35:F35"/>
    <mergeCell ref="G26:H26"/>
    <mergeCell ref="C32:D32"/>
    <mergeCell ref="C33:D33"/>
    <mergeCell ref="C34:D34"/>
    <mergeCell ref="C35:D35"/>
    <mergeCell ref="E16:F16"/>
    <mergeCell ref="E17:F17"/>
    <mergeCell ref="E18:F18"/>
    <mergeCell ref="E19:F19"/>
    <mergeCell ref="E20:F20"/>
    <mergeCell ref="E21:F21"/>
    <mergeCell ref="C27:D27"/>
    <mergeCell ref="C28:D28"/>
    <mergeCell ref="C29:D29"/>
    <mergeCell ref="C30:D30"/>
    <mergeCell ref="C31:D31"/>
    <mergeCell ref="C22:D22"/>
    <mergeCell ref="C23:D23"/>
    <mergeCell ref="C24:D24"/>
    <mergeCell ref="C25:D25"/>
    <mergeCell ref="C26:D26"/>
    <mergeCell ref="L4:M4"/>
    <mergeCell ref="C6:E6"/>
    <mergeCell ref="C7:E7"/>
    <mergeCell ref="C16:D16"/>
    <mergeCell ref="C15:D15"/>
    <mergeCell ref="E15:F15"/>
    <mergeCell ref="G15:H15"/>
    <mergeCell ref="I15:J15"/>
    <mergeCell ref="C17:D17"/>
  </mergeCells>
  <conditionalFormatting sqref="L4:M4">
    <cfRule type="expression" dxfId="8" priority="9">
      <formula>AND($P$3="Multi-unit",$P$4="")</formula>
    </cfRule>
  </conditionalFormatting>
  <conditionalFormatting sqref="E1">
    <cfRule type="expression" dxfId="7" priority="1">
      <formula>TODAY()-#REF!&gt;90</formula>
    </cfRule>
  </conditionalFormatting>
  <conditionalFormatting sqref="C4 F4:G4">
    <cfRule type="expression" dxfId="6" priority="7417">
      <formula>AND(ReportType="Final",$K$4="")</formula>
    </cfRule>
  </conditionalFormatting>
  <conditionalFormatting sqref="C3 F3">
    <cfRule type="expression" dxfId="5" priority="7432">
      <formula>$G$3=""</formula>
    </cfRule>
  </conditionalFormatting>
  <conditionalFormatting sqref="C5 F5">
    <cfRule type="expression" dxfId="4" priority="7433">
      <formula>AND($K$4="",$G$5="")</formula>
    </cfRule>
  </conditionalFormatting>
  <conditionalFormatting sqref="C7 F7">
    <cfRule type="expression" dxfId="3" priority="7434">
      <formula>$G$7=""</formula>
    </cfRule>
  </conditionalFormatting>
  <conditionalFormatting sqref="C8">
    <cfRule type="expression" dxfId="2" priority="7435">
      <formula>$G$8=""</formula>
    </cfRule>
  </conditionalFormatting>
  <conditionalFormatting sqref="I8">
    <cfRule type="expression" dxfId="1" priority="7436">
      <formula>$I$8="This Report is NOT Ready To Submit"</formula>
    </cfRule>
  </conditionalFormatting>
  <conditionalFormatting sqref="I8">
    <cfRule type="expression" dxfId="0" priority="7438">
      <formula>$I$8="Nothing"</formula>
    </cfRule>
  </conditionalFormatting>
  <dataValidations count="1">
    <dataValidation type="whole" operator="greaterThan" allowBlank="1" showInputMessage="1" showErrorMessage="1" sqref="L4:M4" xr:uid="{00000000-0002-0000-0D00-000000000000}">
      <formula1>0</formula1>
    </dataValidation>
  </dataValidations>
  <hyperlinks>
    <hyperlink ref="A5" location="'Verification Rpt'!C831" display="CLICK HERE FOR BATCH INPUT                                              Community/Lot #:" xr:uid="{00000000-0004-0000-0D00-000000000000}"/>
  </hyperlinks>
  <pageMargins left="0.7" right="0.7" top="0.75" bottom="0.75" header="0.3" footer="0.3"/>
  <pageSetup scale="50"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pageSetUpPr fitToPage="1"/>
  </sheetPr>
  <dimension ref="A1:J192"/>
  <sheetViews>
    <sheetView showGridLines="0" zoomScaleNormal="100" workbookViewId="0">
      <pane ySplit="2" topLeftCell="A3" activePane="bottomLeft" state="frozen"/>
      <selection activeCell="A3" sqref="A1:K3"/>
      <selection pane="bottomLeft" activeCell="A59" sqref="A59:F59"/>
    </sheetView>
  </sheetViews>
  <sheetFormatPr baseColWidth="10" defaultColWidth="9.1640625" defaultRowHeight="15"/>
  <cols>
    <col min="1" max="1" width="25.6640625" style="447" customWidth="1"/>
    <col min="2" max="2" width="25.6640625" customWidth="1"/>
    <col min="3" max="5" width="25.6640625" style="32" customWidth="1"/>
    <col min="6" max="6" width="25.6640625" style="115" customWidth="1"/>
    <col min="7" max="7" width="11.5" style="433" customWidth="1"/>
    <col min="8" max="8" width="9.5" style="32" customWidth="1"/>
    <col min="9" max="9" width="15" style="32" customWidth="1"/>
    <col min="10" max="16384" width="9.1640625" style="32"/>
  </cols>
  <sheetData>
    <row r="1" spans="1:10" s="432" customFormat="1" ht="45" customHeight="1">
      <c r="A1" s="2299"/>
      <c r="B1" s="2301"/>
      <c r="C1" s="2306">
        <v>2012</v>
      </c>
      <c r="D1" s="2301"/>
      <c r="E1" s="2299"/>
      <c r="F1" s="2299"/>
      <c r="G1" s="431"/>
    </row>
    <row r="2" spans="1:10" s="432" customFormat="1" ht="77.25" customHeight="1" thickBot="1">
      <c r="A2" s="5705" t="s">
        <v>2864</v>
      </c>
      <c r="B2" s="5706"/>
      <c r="C2" s="2300" t="str">
        <f>CONCATENATE("Revised ",TEXT(startRevisionDate,"mmmm dd, yyyy"))</f>
        <v>Revised August 21, 2020</v>
      </c>
      <c r="D2" s="4754" t="str">
        <f>CONCATENATE(copyright," All rights reserved.  This document is protected by U.S. copyright law. Requirements from ICC700-2012 National Green Building Standard™ © 2013 National Association of Home Builders of the U.S. - used by permission."," Home Innovation authorizes use of this document only by those individuals/organizations participating in Home Innovation's Green Building Certification and solely for purpose of seeking project certification from the Home Innovation Research Labs.")</f>
        <v>© 2020 Home Innovation Research Labs, Inc. All rights reserved.  This document is protected by U.S. copyright law. Requirements from ICC700-2012 National Green Building Standard™ © 2013 National Association of Home Builders of the U.S. - used by permission. Home Innovation authorizes use of this document only by those individuals/organizations participating in Home Innovation's Green Building Certification and solely for purpose of seeking project certification from the Home Innovation Research Labs.</v>
      </c>
      <c r="E2" s="4754"/>
      <c r="F2" s="4754"/>
      <c r="G2" s="431"/>
    </row>
    <row r="3" spans="1:10" s="116" customFormat="1" ht="18.75" customHeight="1" thickBot="1">
      <c r="A3" s="5627" t="s">
        <v>724</v>
      </c>
      <c r="B3" s="5628"/>
      <c r="C3" s="5628"/>
      <c r="D3" s="5628"/>
      <c r="E3" s="5628"/>
      <c r="F3" s="5629"/>
      <c r="G3" s="433"/>
      <c r="H3" s="32"/>
      <c r="I3" s="32"/>
      <c r="J3" s="32"/>
    </row>
    <row r="4" spans="1:10" s="116" customFormat="1">
      <c r="A4" s="5707"/>
      <c r="B4" s="5708"/>
      <c r="C4" s="5708"/>
      <c r="D4" s="5708"/>
      <c r="E4" s="5708"/>
      <c r="F4" s="984" t="s">
        <v>725</v>
      </c>
      <c r="G4" s="433"/>
      <c r="H4" s="32"/>
      <c r="I4" s="32"/>
      <c r="J4" s="32"/>
    </row>
    <row r="5" spans="1:10">
      <c r="A5" s="5709" t="s">
        <v>1679</v>
      </c>
      <c r="B5" s="5710"/>
      <c r="C5" s="5710"/>
      <c r="D5" s="5710"/>
      <c r="E5" s="5710"/>
      <c r="F5" s="434"/>
    </row>
    <row r="6" spans="1:10">
      <c r="A6" s="5698"/>
      <c r="B6" s="5699"/>
      <c r="C6" s="5699"/>
      <c r="D6" s="5699"/>
      <c r="E6" s="5699"/>
      <c r="F6" s="434"/>
    </row>
    <row r="7" spans="1:10">
      <c r="A7" s="5700" t="s">
        <v>1680</v>
      </c>
      <c r="B7" s="5701"/>
      <c r="C7" s="5701"/>
      <c r="D7" s="5701"/>
      <c r="E7" s="5701"/>
      <c r="F7" s="434"/>
    </row>
    <row r="8" spans="1:10">
      <c r="A8" s="5696" t="s">
        <v>1681</v>
      </c>
      <c r="B8" s="5697"/>
      <c r="C8" s="5697"/>
      <c r="D8" s="5697"/>
      <c r="E8" s="5697"/>
      <c r="F8" s="434"/>
    </row>
    <row r="9" spans="1:10">
      <c r="A9" s="5696" t="s">
        <v>1682</v>
      </c>
      <c r="B9" s="5697"/>
      <c r="C9" s="5697"/>
      <c r="D9" s="5697"/>
      <c r="E9" s="5697"/>
      <c r="F9" s="434"/>
    </row>
    <row r="10" spans="1:10">
      <c r="A10" s="5696" t="s">
        <v>1683</v>
      </c>
      <c r="B10" s="5697"/>
      <c r="C10" s="5697"/>
      <c r="D10" s="5697"/>
      <c r="E10" s="5697"/>
      <c r="F10" s="434"/>
    </row>
    <row r="11" spans="1:10" ht="45" customHeight="1">
      <c r="A11" s="5696" t="s">
        <v>1684</v>
      </c>
      <c r="B11" s="5697"/>
      <c r="C11" s="5697"/>
      <c r="D11" s="5697"/>
      <c r="E11" s="5697"/>
      <c r="F11" s="434"/>
    </row>
    <row r="12" spans="1:10" ht="15" customHeight="1">
      <c r="A12" s="5698"/>
      <c r="B12" s="5699"/>
      <c r="C12" s="5699"/>
      <c r="D12" s="5699"/>
      <c r="E12" s="5699"/>
      <c r="F12" s="434"/>
    </row>
    <row r="13" spans="1:10" ht="15" customHeight="1">
      <c r="A13" s="5700" t="s">
        <v>1685</v>
      </c>
      <c r="B13" s="5701"/>
      <c r="C13" s="5701"/>
      <c r="D13" s="5701"/>
      <c r="E13" s="5701"/>
      <c r="F13" s="434"/>
    </row>
    <row r="14" spans="1:10" ht="30" customHeight="1">
      <c r="A14" s="5696" t="s">
        <v>1686</v>
      </c>
      <c r="B14" s="5697"/>
      <c r="C14" s="5697"/>
      <c r="D14" s="5697"/>
      <c r="E14" s="5697"/>
      <c r="F14" s="434"/>
    </row>
    <row r="15" spans="1:10" ht="25.5" customHeight="1">
      <c r="A15" s="5696" t="s">
        <v>1687</v>
      </c>
      <c r="B15" s="5697"/>
      <c r="C15" s="5697"/>
      <c r="D15" s="5697"/>
      <c r="E15" s="5697"/>
      <c r="F15" s="434"/>
    </row>
    <row r="16" spans="1:10">
      <c r="A16" s="5696" t="s">
        <v>1688</v>
      </c>
      <c r="B16" s="5697"/>
      <c r="C16" s="5697"/>
      <c r="D16" s="5697"/>
      <c r="E16" s="5697"/>
      <c r="F16" s="434"/>
    </row>
    <row r="17" spans="1:6">
      <c r="A17" s="5696" t="s">
        <v>1689</v>
      </c>
      <c r="B17" s="5697"/>
      <c r="C17" s="5697"/>
      <c r="D17" s="5697"/>
      <c r="E17" s="5697"/>
      <c r="F17" s="434"/>
    </row>
    <row r="18" spans="1:6">
      <c r="A18" s="5696" t="s">
        <v>1690</v>
      </c>
      <c r="B18" s="5697"/>
      <c r="C18" s="5697"/>
      <c r="D18" s="5697"/>
      <c r="E18" s="5697"/>
      <c r="F18" s="434"/>
    </row>
    <row r="19" spans="1:6" ht="25.5" customHeight="1">
      <c r="A19" s="5696" t="s">
        <v>1691</v>
      </c>
      <c r="B19" s="5697"/>
      <c r="C19" s="5697"/>
      <c r="D19" s="5697"/>
      <c r="E19" s="5697"/>
      <c r="F19" s="434"/>
    </row>
    <row r="20" spans="1:6" ht="25.5" customHeight="1">
      <c r="A20" s="5696" t="s">
        <v>1692</v>
      </c>
      <c r="B20" s="5697"/>
      <c r="C20" s="5697"/>
      <c r="D20" s="5697"/>
      <c r="E20" s="5697"/>
      <c r="F20" s="434"/>
    </row>
    <row r="21" spans="1:6">
      <c r="A21" s="5696" t="s">
        <v>1693</v>
      </c>
      <c r="B21" s="5697"/>
      <c r="C21" s="5697"/>
      <c r="D21" s="5697"/>
      <c r="E21" s="5697"/>
      <c r="F21" s="434"/>
    </row>
    <row r="22" spans="1:6">
      <c r="A22" s="5698"/>
      <c r="B22" s="5699"/>
      <c r="C22" s="5699"/>
      <c r="D22" s="5699"/>
      <c r="E22" s="5699"/>
      <c r="F22" s="434"/>
    </row>
    <row r="23" spans="1:6">
      <c r="A23" s="5700" t="s">
        <v>1694</v>
      </c>
      <c r="B23" s="5701"/>
      <c r="C23" s="5701"/>
      <c r="D23" s="5701"/>
      <c r="E23" s="5701"/>
      <c r="F23" s="434"/>
    </row>
    <row r="24" spans="1:6" ht="25.5" customHeight="1">
      <c r="A24" s="5696" t="s">
        <v>1695</v>
      </c>
      <c r="B24" s="5697"/>
      <c r="C24" s="5697"/>
      <c r="D24" s="5697"/>
      <c r="E24" s="5697"/>
      <c r="F24" s="434"/>
    </row>
    <row r="25" spans="1:6">
      <c r="A25" s="5696" t="s">
        <v>1696</v>
      </c>
      <c r="B25" s="5697"/>
      <c r="C25" s="5697"/>
      <c r="D25" s="5697"/>
      <c r="E25" s="5697"/>
      <c r="F25" s="434"/>
    </row>
    <row r="26" spans="1:6">
      <c r="A26" s="5711" t="s">
        <v>1697</v>
      </c>
      <c r="B26" s="5712"/>
      <c r="C26" s="5712"/>
      <c r="D26" s="5712"/>
      <c r="E26" s="5712"/>
      <c r="F26" s="434"/>
    </row>
    <row r="27" spans="1:6">
      <c r="A27" s="5711" t="s">
        <v>1698</v>
      </c>
      <c r="B27" s="5712"/>
      <c r="C27" s="5712"/>
      <c r="D27" s="5712"/>
      <c r="E27" s="5712"/>
      <c r="F27" s="434"/>
    </row>
    <row r="28" spans="1:6">
      <c r="A28" s="5696" t="s">
        <v>1699</v>
      </c>
      <c r="B28" s="5697"/>
      <c r="C28" s="5697"/>
      <c r="D28" s="5697"/>
      <c r="E28" s="5697"/>
      <c r="F28" s="434"/>
    </row>
    <row r="29" spans="1:6">
      <c r="A29" s="5696" t="s">
        <v>1700</v>
      </c>
      <c r="B29" s="5697"/>
      <c r="C29" s="5697"/>
      <c r="D29" s="5697"/>
      <c r="E29" s="5697"/>
      <c r="F29" s="434"/>
    </row>
    <row r="30" spans="1:6">
      <c r="A30" s="5696" t="s">
        <v>1701</v>
      </c>
      <c r="B30" s="5697"/>
      <c r="C30" s="5697"/>
      <c r="D30" s="5697"/>
      <c r="E30" s="5697"/>
      <c r="F30" s="434"/>
    </row>
    <row r="31" spans="1:6" ht="16" thickBot="1">
      <c r="A31" s="5692"/>
      <c r="B31" s="5693"/>
      <c r="C31" s="5693"/>
      <c r="D31" s="5693"/>
      <c r="E31" s="5693"/>
      <c r="F31" s="86"/>
    </row>
    <row r="32" spans="1:6" ht="16" thickBot="1">
      <c r="A32" s="5670"/>
      <c r="B32" s="5670"/>
      <c r="C32" s="5670"/>
      <c r="D32" s="5670"/>
      <c r="E32" s="5670"/>
      <c r="F32" s="5670"/>
    </row>
    <row r="33" spans="1:6" ht="18.75" customHeight="1" thickBot="1">
      <c r="A33" s="5627" t="s">
        <v>1886</v>
      </c>
      <c r="B33" s="5628"/>
      <c r="C33" s="5628"/>
      <c r="D33" s="5628"/>
      <c r="E33" s="5628"/>
      <c r="F33" s="5629"/>
    </row>
    <row r="34" spans="1:6">
      <c r="A34" s="5694"/>
      <c r="B34" s="5695"/>
      <c r="C34" s="5695"/>
      <c r="D34" s="5695"/>
      <c r="E34" s="5695"/>
      <c r="F34" s="984" t="s">
        <v>1899</v>
      </c>
    </row>
    <row r="35" spans="1:6">
      <c r="A35" s="5671" t="s">
        <v>726</v>
      </c>
      <c r="B35" s="5672"/>
      <c r="C35" s="5672"/>
      <c r="D35" s="5672"/>
      <c r="E35" s="5672"/>
      <c r="F35" s="435"/>
    </row>
    <row r="36" spans="1:6">
      <c r="A36" s="5683" t="s">
        <v>1887</v>
      </c>
      <c r="B36" s="5684"/>
      <c r="C36" s="5684"/>
      <c r="D36" s="5684"/>
      <c r="E36" s="5684"/>
      <c r="F36" s="434"/>
    </row>
    <row r="37" spans="1:6">
      <c r="A37" s="5683" t="s">
        <v>1888</v>
      </c>
      <c r="B37" s="5684"/>
      <c r="C37" s="5684"/>
      <c r="D37" s="5684"/>
      <c r="E37" s="5684"/>
      <c r="F37" s="434"/>
    </row>
    <row r="38" spans="1:6" ht="25" customHeight="1">
      <c r="A38" s="5683" t="s">
        <v>1889</v>
      </c>
      <c r="B38" s="5684"/>
      <c r="C38" s="5684"/>
      <c r="D38" s="5684"/>
      <c r="E38" s="5684"/>
      <c r="F38" s="434"/>
    </row>
    <row r="39" spans="1:6" ht="25" customHeight="1">
      <c r="A39" s="5683" t="s">
        <v>1890</v>
      </c>
      <c r="B39" s="5684"/>
      <c r="C39" s="5684"/>
      <c r="D39" s="5684"/>
      <c r="E39" s="5684"/>
      <c r="F39" s="434"/>
    </row>
    <row r="40" spans="1:6" ht="25" customHeight="1">
      <c r="A40" s="5683" t="s">
        <v>1891</v>
      </c>
      <c r="B40" s="5684"/>
      <c r="C40" s="5684"/>
      <c r="D40" s="5684"/>
      <c r="E40" s="5684"/>
      <c r="F40" s="434"/>
    </row>
    <row r="41" spans="1:6">
      <c r="A41" s="5683" t="s">
        <v>727</v>
      </c>
      <c r="B41" s="5684"/>
      <c r="C41" s="5684"/>
      <c r="D41" s="5684"/>
      <c r="E41" s="5684"/>
      <c r="F41" s="434"/>
    </row>
    <row r="42" spans="1:6">
      <c r="A42" s="5666" t="s">
        <v>728</v>
      </c>
      <c r="B42" s="5667"/>
      <c r="C42" s="5667"/>
      <c r="D42" s="5667"/>
      <c r="E42" s="5667"/>
      <c r="F42" s="434"/>
    </row>
    <row r="43" spans="1:6">
      <c r="A43" s="5666" t="s">
        <v>1892</v>
      </c>
      <c r="B43" s="5667"/>
      <c r="C43" s="5667"/>
      <c r="D43" s="5667"/>
      <c r="E43" s="5667"/>
      <c r="F43" s="434"/>
    </row>
    <row r="44" spans="1:6">
      <c r="A44" s="5666" t="s">
        <v>1893</v>
      </c>
      <c r="B44" s="5667"/>
      <c r="C44" s="5667"/>
      <c r="D44" s="5667"/>
      <c r="E44" s="5667"/>
      <c r="F44" s="434"/>
    </row>
    <row r="45" spans="1:6" ht="25.5" customHeight="1">
      <c r="A45" s="5683" t="s">
        <v>1894</v>
      </c>
      <c r="B45" s="5684"/>
      <c r="C45" s="5684"/>
      <c r="D45" s="5684"/>
      <c r="E45" s="5684"/>
      <c r="F45" s="434"/>
    </row>
    <row r="46" spans="1:6">
      <c r="A46" s="5685" t="s">
        <v>729</v>
      </c>
      <c r="B46" s="5686"/>
      <c r="C46" s="5686"/>
      <c r="D46" s="5686"/>
      <c r="E46" s="5686"/>
      <c r="F46" s="434"/>
    </row>
    <row r="47" spans="1:6">
      <c r="A47" s="5687" t="s">
        <v>1895</v>
      </c>
      <c r="B47" s="5688"/>
      <c r="C47" s="5688"/>
      <c r="D47" s="5688"/>
      <c r="E47" s="5688"/>
      <c r="F47" s="434"/>
    </row>
    <row r="48" spans="1:6">
      <c r="A48" s="5687" t="s">
        <v>1896</v>
      </c>
      <c r="B48" s="5688"/>
      <c r="C48" s="5688"/>
      <c r="D48" s="5688"/>
      <c r="E48" s="5688"/>
      <c r="F48" s="434"/>
    </row>
    <row r="49" spans="1:8">
      <c r="A49" s="5689" t="s">
        <v>1897</v>
      </c>
      <c r="B49" s="5690"/>
      <c r="C49" s="5690"/>
      <c r="D49" s="5690"/>
      <c r="E49" s="5690"/>
      <c r="F49" s="5691"/>
    </row>
    <row r="50" spans="1:8">
      <c r="A50" s="5689" t="s">
        <v>1898</v>
      </c>
      <c r="B50" s="5690"/>
      <c r="C50" s="5690"/>
      <c r="D50" s="5690"/>
      <c r="E50" s="5690"/>
      <c r="F50" s="5691"/>
    </row>
    <row r="51" spans="1:8" ht="15" customHeight="1">
      <c r="A51" s="5675" t="s">
        <v>214</v>
      </c>
      <c r="B51" s="5677" t="s">
        <v>730</v>
      </c>
      <c r="C51" s="5677"/>
      <c r="D51" s="5677"/>
      <c r="E51" s="5677"/>
      <c r="F51" s="5678"/>
      <c r="G51" s="436"/>
      <c r="H51" s="437"/>
    </row>
    <row r="52" spans="1:8" ht="15" customHeight="1">
      <c r="A52" s="5676"/>
      <c r="B52" s="438" t="s">
        <v>731</v>
      </c>
      <c r="C52" s="438" t="s">
        <v>732</v>
      </c>
      <c r="D52" s="438" t="s">
        <v>733</v>
      </c>
      <c r="E52" s="438" t="s">
        <v>734</v>
      </c>
      <c r="F52" s="439" t="s">
        <v>735</v>
      </c>
    </row>
    <row r="53" spans="1:8" ht="15" customHeight="1">
      <c r="A53" s="440" t="s">
        <v>736</v>
      </c>
      <c r="B53" s="441" t="s">
        <v>737</v>
      </c>
      <c r="C53" s="441" t="s">
        <v>737</v>
      </c>
      <c r="D53" s="441" t="s">
        <v>738</v>
      </c>
      <c r="E53" s="441" t="s">
        <v>739</v>
      </c>
      <c r="F53" s="442" t="s">
        <v>739</v>
      </c>
    </row>
    <row r="54" spans="1:8" ht="15" customHeight="1">
      <c r="A54" s="440" t="s">
        <v>740</v>
      </c>
      <c r="B54" s="441" t="s">
        <v>738</v>
      </c>
      <c r="C54" s="441" t="s">
        <v>738</v>
      </c>
      <c r="D54" s="441" t="s">
        <v>739</v>
      </c>
      <c r="E54" s="441" t="s">
        <v>739</v>
      </c>
      <c r="F54" s="442" t="s">
        <v>741</v>
      </c>
    </row>
    <row r="55" spans="1:8" ht="15" customHeight="1">
      <c r="A55" s="443" t="s">
        <v>742</v>
      </c>
      <c r="B55" s="441" t="s">
        <v>739</v>
      </c>
      <c r="C55" s="441" t="s">
        <v>741</v>
      </c>
      <c r="D55" s="441" t="s">
        <v>741</v>
      </c>
      <c r="E55" s="441" t="s">
        <v>743</v>
      </c>
      <c r="F55" s="442" t="s">
        <v>744</v>
      </c>
    </row>
    <row r="56" spans="1:8">
      <c r="A56" s="5679" t="s">
        <v>745</v>
      </c>
      <c r="B56" s="5680"/>
      <c r="C56" s="5680"/>
      <c r="D56" s="5680"/>
      <c r="E56" s="5680"/>
      <c r="F56" s="5681"/>
    </row>
    <row r="57" spans="1:8" ht="16" thickBot="1">
      <c r="A57" s="444"/>
      <c r="B57" s="445"/>
      <c r="C57" s="445"/>
      <c r="D57" s="445"/>
      <c r="E57" s="445"/>
      <c r="F57" s="446"/>
    </row>
    <row r="58" spans="1:8" ht="16" thickBot="1">
      <c r="A58" s="5670"/>
      <c r="B58" s="5670"/>
      <c r="C58" s="5670"/>
      <c r="D58" s="5670"/>
      <c r="E58" s="5670"/>
      <c r="F58" s="5670"/>
    </row>
    <row r="59" spans="1:8" ht="18.75" customHeight="1" thickBot="1">
      <c r="A59" s="5627" t="s">
        <v>1901</v>
      </c>
      <c r="B59" s="5628"/>
      <c r="C59" s="5628"/>
      <c r="D59" s="5628"/>
      <c r="E59" s="5628"/>
      <c r="F59" s="5629"/>
    </row>
    <row r="60" spans="1:8">
      <c r="A60" s="5682"/>
      <c r="B60" s="5646"/>
      <c r="C60" s="5646"/>
      <c r="D60" s="5646"/>
      <c r="E60" s="5646"/>
      <c r="F60" s="984" t="s">
        <v>1900</v>
      </c>
    </row>
    <row r="61" spans="1:8" ht="15" customHeight="1">
      <c r="A61" s="5671" t="s">
        <v>1902</v>
      </c>
      <c r="B61" s="5672"/>
      <c r="C61" s="5672"/>
      <c r="D61" s="5672"/>
      <c r="E61" s="5672"/>
      <c r="F61" s="434"/>
    </row>
    <row r="62" spans="1:8" ht="30" customHeight="1">
      <c r="A62" s="5673" t="s">
        <v>1903</v>
      </c>
      <c r="B62" s="5674"/>
      <c r="C62" s="5674"/>
      <c r="D62" s="5674"/>
      <c r="E62" s="5674"/>
      <c r="F62" s="434"/>
    </row>
    <row r="63" spans="1:8" ht="27" customHeight="1">
      <c r="A63" s="5673" t="s">
        <v>1904</v>
      </c>
      <c r="B63" s="5674"/>
      <c r="C63" s="5674"/>
      <c r="D63" s="5674"/>
      <c r="E63" s="5674"/>
      <c r="F63" s="434"/>
    </row>
    <row r="64" spans="1:8" ht="30" customHeight="1">
      <c r="A64" s="5666" t="s">
        <v>1905</v>
      </c>
      <c r="B64" s="5667"/>
      <c r="C64" s="5667"/>
      <c r="D64" s="5667"/>
      <c r="E64" s="5667"/>
      <c r="F64" s="434"/>
    </row>
    <row r="65" spans="1:10" ht="15" customHeight="1">
      <c r="A65" s="5666" t="s">
        <v>746</v>
      </c>
      <c r="B65" s="5667"/>
      <c r="C65" s="5667"/>
      <c r="D65" s="5667"/>
      <c r="E65" s="5667"/>
      <c r="F65" s="434"/>
    </row>
    <row r="66" spans="1:10" ht="15" customHeight="1">
      <c r="A66" s="5664" t="s">
        <v>1906</v>
      </c>
      <c r="B66" s="5665"/>
      <c r="C66" s="5665"/>
      <c r="D66" s="5665"/>
      <c r="E66" s="5665"/>
      <c r="F66" s="434"/>
    </row>
    <row r="67" spans="1:10" ht="15" customHeight="1">
      <c r="A67" s="5664" t="s">
        <v>1907</v>
      </c>
      <c r="B67" s="5665"/>
      <c r="C67" s="5665"/>
      <c r="D67" s="5665"/>
      <c r="E67" s="5665"/>
      <c r="F67" s="434"/>
    </row>
    <row r="68" spans="1:10" ht="15" customHeight="1">
      <c r="A68" s="5664" t="s">
        <v>1908</v>
      </c>
      <c r="B68" s="5665"/>
      <c r="C68" s="5665"/>
      <c r="D68" s="5665"/>
      <c r="E68" s="5665"/>
      <c r="F68" s="434"/>
    </row>
    <row r="69" spans="1:10" ht="30" customHeight="1">
      <c r="A69" s="5666" t="s">
        <v>1909</v>
      </c>
      <c r="B69" s="5667"/>
      <c r="C69" s="5667"/>
      <c r="D69" s="5667"/>
      <c r="E69" s="5667"/>
      <c r="F69" s="434"/>
    </row>
    <row r="70" spans="1:10" ht="30" customHeight="1" thickBot="1">
      <c r="A70" s="5668" t="s">
        <v>1910</v>
      </c>
      <c r="B70" s="5669"/>
      <c r="C70" s="5669"/>
      <c r="D70" s="5669"/>
      <c r="E70" s="5669"/>
      <c r="F70" s="86"/>
    </row>
    <row r="71" spans="1:10" ht="16" thickBot="1">
      <c r="A71" s="5670"/>
      <c r="B71" s="5670"/>
      <c r="C71" s="5670"/>
      <c r="D71" s="5670"/>
      <c r="E71" s="5670"/>
      <c r="F71" s="5670"/>
    </row>
    <row r="72" spans="1:10" ht="18.75" customHeight="1" thickBot="1">
      <c r="A72" s="5661" t="s">
        <v>2516</v>
      </c>
      <c r="B72" s="5661"/>
      <c r="C72" s="5661"/>
      <c r="D72" s="5661"/>
      <c r="E72" s="5661"/>
      <c r="F72" s="5661"/>
      <c r="G72" s="5661"/>
      <c r="H72" s="5661"/>
      <c r="I72" s="5661"/>
      <c r="J72" s="5661"/>
    </row>
    <row r="73" spans="1:10" ht="26.25" customHeight="1" thickBot="1">
      <c r="A73" s="5645"/>
      <c r="B73" s="5646"/>
      <c r="C73" s="5646"/>
      <c r="D73" s="5646"/>
      <c r="E73" s="5646"/>
      <c r="G73" s="766"/>
      <c r="H73" s="697"/>
      <c r="I73" s="5662" t="s">
        <v>2517</v>
      </c>
      <c r="J73" s="5663"/>
    </row>
    <row r="74" spans="1:10" s="115" customFormat="1" ht="14">
      <c r="A74" s="5647" t="s">
        <v>1220</v>
      </c>
      <c r="B74" s="5648"/>
      <c r="C74" s="5648"/>
      <c r="D74" s="5648"/>
      <c r="E74" s="5648"/>
      <c r="F74" s="5649"/>
      <c r="G74" s="768"/>
      <c r="H74" s="689"/>
      <c r="I74" s="689"/>
      <c r="J74" s="769"/>
    </row>
    <row r="75" spans="1:10" s="115" customFormat="1" ht="30">
      <c r="A75" s="770"/>
      <c r="B75" s="704"/>
      <c r="C75" s="5650" t="s">
        <v>1221</v>
      </c>
      <c r="D75" s="5650"/>
      <c r="E75" s="5650"/>
      <c r="F75" s="794" t="s">
        <v>1222</v>
      </c>
      <c r="G75" s="768"/>
      <c r="H75" s="689"/>
      <c r="I75" s="689"/>
      <c r="J75" s="769"/>
    </row>
    <row r="76" spans="1:10" s="115" customFormat="1">
      <c r="A76" s="771" t="s">
        <v>1223</v>
      </c>
      <c r="B76" s="756" t="s">
        <v>1224</v>
      </c>
      <c r="C76" s="756" t="s">
        <v>1227</v>
      </c>
      <c r="D76" s="756" t="s">
        <v>1226</v>
      </c>
      <c r="E76" s="756" t="s">
        <v>1225</v>
      </c>
      <c r="F76" s="795" t="s">
        <v>1228</v>
      </c>
      <c r="G76" s="768"/>
      <c r="H76" s="689"/>
      <c r="I76" s="689"/>
      <c r="J76" s="769"/>
    </row>
    <row r="77" spans="1:10" s="115" customFormat="1" ht="17">
      <c r="A77" s="772" t="s">
        <v>1229</v>
      </c>
      <c r="B77" s="467">
        <v>0.33</v>
      </c>
      <c r="C77" s="467">
        <v>50</v>
      </c>
      <c r="D77" s="467">
        <v>50</v>
      </c>
      <c r="E77" s="467">
        <v>50</v>
      </c>
      <c r="F77" s="796">
        <v>50</v>
      </c>
      <c r="G77" s="768"/>
      <c r="H77" s="689"/>
      <c r="I77" s="689"/>
      <c r="J77" s="769"/>
    </row>
    <row r="78" spans="1:10" s="115" customFormat="1" ht="17">
      <c r="A78" s="772" t="s">
        <v>1230</v>
      </c>
      <c r="B78" s="467">
        <v>0.5</v>
      </c>
      <c r="C78" s="467">
        <v>50</v>
      </c>
      <c r="D78" s="467">
        <v>50</v>
      </c>
      <c r="E78" s="467">
        <v>50</v>
      </c>
      <c r="F78" s="796">
        <v>48</v>
      </c>
      <c r="G78" s="768"/>
      <c r="H78" s="689"/>
      <c r="I78" s="689"/>
      <c r="J78" s="769"/>
    </row>
    <row r="79" spans="1:10" s="115" customFormat="1" ht="17">
      <c r="A79" s="772" t="s">
        <v>1231</v>
      </c>
      <c r="B79" s="467">
        <v>0.75</v>
      </c>
      <c r="C79" s="467">
        <v>50</v>
      </c>
      <c r="D79" s="467">
        <v>50</v>
      </c>
      <c r="E79" s="467">
        <v>43</v>
      </c>
      <c r="F79" s="796">
        <v>32</v>
      </c>
      <c r="G79" s="768"/>
      <c r="H79" s="689"/>
      <c r="I79" s="689"/>
      <c r="J79" s="769"/>
    </row>
    <row r="80" spans="1:10" s="754" customFormat="1">
      <c r="A80" s="773" t="s">
        <v>1232</v>
      </c>
      <c r="B80" s="757">
        <v>1.5</v>
      </c>
      <c r="C80" s="757">
        <v>50</v>
      </c>
      <c r="D80" s="757">
        <v>43</v>
      </c>
      <c r="E80" s="757">
        <v>21</v>
      </c>
      <c r="F80" s="797">
        <v>16</v>
      </c>
      <c r="G80" s="774"/>
      <c r="H80" s="775"/>
      <c r="I80" s="775"/>
      <c r="J80" s="776"/>
    </row>
    <row r="81" spans="1:10" s="754" customFormat="1">
      <c r="A81" s="773" t="s">
        <v>1233</v>
      </c>
      <c r="B81" s="757">
        <v>2</v>
      </c>
      <c r="C81" s="757">
        <v>50</v>
      </c>
      <c r="D81" s="757">
        <v>32</v>
      </c>
      <c r="E81" s="757">
        <v>16</v>
      </c>
      <c r="F81" s="797">
        <v>12</v>
      </c>
      <c r="G81" s="774"/>
      <c r="H81" s="775"/>
      <c r="I81" s="775"/>
      <c r="J81" s="776"/>
    </row>
    <row r="82" spans="1:10" s="754" customFormat="1">
      <c r="A82" s="773" t="s">
        <v>1234</v>
      </c>
      <c r="B82" s="757">
        <v>3</v>
      </c>
      <c r="C82" s="757">
        <v>43</v>
      </c>
      <c r="D82" s="757">
        <v>21</v>
      </c>
      <c r="E82" s="757">
        <v>11</v>
      </c>
      <c r="F82" s="797">
        <v>8</v>
      </c>
      <c r="G82" s="774"/>
      <c r="H82" s="775"/>
      <c r="I82" s="775"/>
      <c r="J82" s="776"/>
    </row>
    <row r="83" spans="1:10" s="755" customFormat="1" ht="16">
      <c r="A83" s="777" t="s">
        <v>1235</v>
      </c>
      <c r="B83" s="758">
        <v>4</v>
      </c>
      <c r="C83" s="759">
        <v>32</v>
      </c>
      <c r="D83" s="759">
        <v>16</v>
      </c>
      <c r="E83" s="759">
        <v>8</v>
      </c>
      <c r="F83" s="797">
        <v>6</v>
      </c>
      <c r="G83" s="778"/>
      <c r="H83" s="779"/>
      <c r="I83" s="779"/>
      <c r="J83" s="780"/>
    </row>
    <row r="84" spans="1:10" s="755" customFormat="1">
      <c r="A84" s="781">
        <v>1</v>
      </c>
      <c r="B84" s="758">
        <v>5</v>
      </c>
      <c r="C84" s="759">
        <v>26</v>
      </c>
      <c r="D84" s="759">
        <v>13</v>
      </c>
      <c r="E84" s="759">
        <v>6</v>
      </c>
      <c r="F84" s="797">
        <v>5</v>
      </c>
      <c r="G84" s="778"/>
      <c r="H84" s="779"/>
      <c r="I84" s="779"/>
      <c r="J84" s="780"/>
    </row>
    <row r="85" spans="1:10" s="755" customFormat="1">
      <c r="A85" s="782">
        <v>1.25</v>
      </c>
      <c r="B85" s="758">
        <v>8</v>
      </c>
      <c r="C85" s="759">
        <v>16</v>
      </c>
      <c r="D85" s="759">
        <v>8</v>
      </c>
      <c r="E85" s="759">
        <v>4</v>
      </c>
      <c r="F85" s="797">
        <v>3</v>
      </c>
      <c r="G85" s="778"/>
      <c r="H85" s="779"/>
      <c r="I85" s="779"/>
      <c r="J85" s="780"/>
    </row>
    <row r="86" spans="1:10" s="755" customFormat="1">
      <c r="A86" s="782">
        <v>1.5</v>
      </c>
      <c r="B86" s="758">
        <v>11</v>
      </c>
      <c r="C86" s="759">
        <v>12</v>
      </c>
      <c r="D86" s="759">
        <v>6</v>
      </c>
      <c r="E86" s="759">
        <v>3</v>
      </c>
      <c r="F86" s="797">
        <v>2</v>
      </c>
      <c r="G86" s="778"/>
      <c r="H86" s="779"/>
      <c r="I86" s="779"/>
      <c r="J86" s="780"/>
    </row>
    <row r="87" spans="1:10" s="755" customFormat="1" ht="16" thickBot="1">
      <c r="A87" s="801">
        <v>2</v>
      </c>
      <c r="B87" s="798">
        <v>18</v>
      </c>
      <c r="C87" s="799">
        <v>7</v>
      </c>
      <c r="D87" s="799">
        <v>4</v>
      </c>
      <c r="E87" s="799">
        <v>2</v>
      </c>
      <c r="F87" s="800">
        <v>1</v>
      </c>
      <c r="G87" s="778"/>
      <c r="H87" s="779"/>
      <c r="I87" s="779"/>
      <c r="J87" s="780"/>
    </row>
    <row r="88" spans="1:10" s="755" customFormat="1" ht="35" customHeight="1">
      <c r="A88" s="5651" t="s">
        <v>1236</v>
      </c>
      <c r="B88" s="5652"/>
      <c r="C88" s="5652"/>
      <c r="D88" s="5652"/>
      <c r="E88" s="5652"/>
      <c r="F88" s="5652"/>
      <c r="G88" s="778"/>
      <c r="H88" s="779"/>
      <c r="I88" s="779"/>
      <c r="J88" s="780"/>
    </row>
    <row r="89" spans="1:10">
      <c r="A89" s="783"/>
      <c r="B89" s="690"/>
      <c r="C89" s="697"/>
      <c r="D89" s="697"/>
      <c r="E89" s="697"/>
      <c r="F89" s="689"/>
      <c r="G89" s="766"/>
      <c r="H89" s="697"/>
      <c r="I89" s="697"/>
      <c r="J89" s="767"/>
    </row>
    <row r="90" spans="1:10" ht="35" customHeight="1">
      <c r="A90" s="5653" t="s">
        <v>1237</v>
      </c>
      <c r="B90" s="5654"/>
      <c r="C90" s="5654"/>
      <c r="D90" s="5654"/>
      <c r="E90" s="5654"/>
      <c r="F90" s="5654"/>
      <c r="G90" s="766"/>
      <c r="H90" s="697"/>
      <c r="I90" s="697"/>
      <c r="J90" s="767"/>
    </row>
    <row r="91" spans="1:10" ht="24.75" customHeight="1" thickBot="1">
      <c r="A91" s="783"/>
      <c r="B91" s="690"/>
      <c r="C91" s="697"/>
      <c r="D91" s="697"/>
      <c r="E91" s="697"/>
      <c r="F91" s="689"/>
      <c r="G91" s="766"/>
      <c r="H91" s="697"/>
      <c r="I91" s="697"/>
      <c r="J91" s="767"/>
    </row>
    <row r="92" spans="1:10">
      <c r="A92" s="5655" t="s">
        <v>1239</v>
      </c>
      <c r="B92" s="5656"/>
      <c r="C92" s="5656"/>
      <c r="D92" s="5656"/>
      <c r="E92" s="5656"/>
      <c r="F92" s="5656"/>
      <c r="G92" s="5656"/>
      <c r="H92" s="5656"/>
      <c r="I92" s="5656"/>
      <c r="J92" s="5657"/>
    </row>
    <row r="93" spans="1:10">
      <c r="A93" s="5658" t="s">
        <v>1240</v>
      </c>
      <c r="B93" s="5659"/>
      <c r="C93" s="5659"/>
      <c r="D93" s="5659"/>
      <c r="E93" s="5659"/>
      <c r="F93" s="5659"/>
      <c r="G93" s="5659"/>
      <c r="H93" s="5659"/>
      <c r="I93" s="5659"/>
      <c r="J93" s="5660"/>
    </row>
    <row r="94" spans="1:10" s="760" customFormat="1" ht="30" customHeight="1">
      <c r="A94" s="784" t="s">
        <v>1241</v>
      </c>
      <c r="B94" s="761" t="s">
        <v>1242</v>
      </c>
      <c r="C94" s="761" t="s">
        <v>1243</v>
      </c>
      <c r="D94" s="761" t="s">
        <v>1244</v>
      </c>
      <c r="E94" s="761" t="s">
        <v>1245</v>
      </c>
      <c r="F94" s="756" t="s">
        <v>1246</v>
      </c>
      <c r="G94" s="762" t="s">
        <v>1247</v>
      </c>
      <c r="H94" s="761" t="s">
        <v>1248</v>
      </c>
      <c r="I94" s="761" t="s">
        <v>1249</v>
      </c>
      <c r="J94" s="785" t="s">
        <v>1250</v>
      </c>
    </row>
    <row r="95" spans="1:10" ht="16">
      <c r="A95" s="786" t="s">
        <v>1251</v>
      </c>
      <c r="B95" s="763">
        <v>1.06</v>
      </c>
      <c r="C95" s="764">
        <v>0.97</v>
      </c>
      <c r="D95" s="764">
        <v>0.84</v>
      </c>
      <c r="E95" s="764" t="s">
        <v>9</v>
      </c>
      <c r="F95" s="704">
        <v>1.17</v>
      </c>
      <c r="G95" s="765" t="s">
        <v>9</v>
      </c>
      <c r="H95" s="764">
        <v>0.64</v>
      </c>
      <c r="I95" s="764">
        <v>0.63</v>
      </c>
      <c r="J95" s="787">
        <v>0.64</v>
      </c>
    </row>
    <row r="96" spans="1:10" ht="16">
      <c r="A96" s="786" t="s">
        <v>1252</v>
      </c>
      <c r="B96" s="763">
        <v>1.69</v>
      </c>
      <c r="C96" s="764">
        <v>1.55</v>
      </c>
      <c r="D96" s="764">
        <v>1.45</v>
      </c>
      <c r="E96" s="764">
        <v>1.25</v>
      </c>
      <c r="F96" s="704">
        <v>1.89</v>
      </c>
      <c r="G96" s="765">
        <v>1.46</v>
      </c>
      <c r="H96" s="764">
        <v>1.18</v>
      </c>
      <c r="I96" s="764">
        <v>1.31</v>
      </c>
      <c r="J96" s="787">
        <v>1.18</v>
      </c>
    </row>
    <row r="97" spans="1:10" ht="16">
      <c r="A97" s="786" t="s">
        <v>1253</v>
      </c>
      <c r="B97" s="763">
        <v>3.43</v>
      </c>
      <c r="C97" s="764">
        <v>3.22</v>
      </c>
      <c r="D97" s="764">
        <v>2.9</v>
      </c>
      <c r="E97" s="764">
        <v>2.67</v>
      </c>
      <c r="F97" s="704">
        <v>3.38</v>
      </c>
      <c r="G97" s="765">
        <v>2.74</v>
      </c>
      <c r="H97" s="764">
        <v>2.35</v>
      </c>
      <c r="I97" s="764">
        <v>3.39</v>
      </c>
      <c r="J97" s="787">
        <v>2.35</v>
      </c>
    </row>
    <row r="98" spans="1:10" ht="16">
      <c r="A98" s="786" t="s">
        <v>1254</v>
      </c>
      <c r="B98" s="763">
        <v>5.81</v>
      </c>
      <c r="C98" s="764">
        <v>5.49</v>
      </c>
      <c r="D98" s="764">
        <v>5.17</v>
      </c>
      <c r="E98" s="764">
        <v>4.43</v>
      </c>
      <c r="F98" s="704">
        <v>5.53</v>
      </c>
      <c r="G98" s="765">
        <v>4.57</v>
      </c>
      <c r="H98" s="764">
        <v>3.91</v>
      </c>
      <c r="I98" s="764">
        <v>5.56</v>
      </c>
      <c r="J98" s="787">
        <v>3.91</v>
      </c>
    </row>
    <row r="99" spans="1:10" ht="16">
      <c r="A99" s="786" t="s">
        <v>1255</v>
      </c>
      <c r="B99" s="763">
        <v>8.6999999999999993</v>
      </c>
      <c r="C99" s="764">
        <v>8.36</v>
      </c>
      <c r="D99" s="764">
        <v>8.09</v>
      </c>
      <c r="E99" s="764">
        <v>6.61</v>
      </c>
      <c r="F99" s="704">
        <v>9.66</v>
      </c>
      <c r="G99" s="765">
        <v>8.24</v>
      </c>
      <c r="H99" s="764">
        <v>5.81</v>
      </c>
      <c r="I99" s="764">
        <v>8.49</v>
      </c>
      <c r="J99" s="787">
        <v>5.81</v>
      </c>
    </row>
    <row r="100" spans="1:10" ht="16">
      <c r="A100" s="786" t="s">
        <v>1256</v>
      </c>
      <c r="B100" s="763">
        <v>12.18</v>
      </c>
      <c r="C100" s="764">
        <v>11.83</v>
      </c>
      <c r="D100" s="764">
        <v>11.45</v>
      </c>
      <c r="E100" s="764">
        <v>9.2200000000000006</v>
      </c>
      <c r="F100" s="704">
        <v>13.2</v>
      </c>
      <c r="G100" s="765">
        <v>11.38</v>
      </c>
      <c r="H100" s="764">
        <v>8.09</v>
      </c>
      <c r="I100" s="764">
        <v>13.88</v>
      </c>
      <c r="J100" s="787">
        <v>8.09</v>
      </c>
    </row>
    <row r="101" spans="1:10" ht="17" thickBot="1">
      <c r="A101" s="788" t="s">
        <v>1257</v>
      </c>
      <c r="B101" s="789">
        <v>21.08</v>
      </c>
      <c r="C101" s="790">
        <v>20.58</v>
      </c>
      <c r="D101" s="790">
        <v>20.04</v>
      </c>
      <c r="E101" s="790">
        <v>15.79</v>
      </c>
      <c r="F101" s="791">
        <v>21.88</v>
      </c>
      <c r="G101" s="792">
        <v>19.11</v>
      </c>
      <c r="H101" s="790">
        <v>13.86</v>
      </c>
      <c r="I101" s="790">
        <v>21.48</v>
      </c>
      <c r="J101" s="793">
        <v>13.86</v>
      </c>
    </row>
    <row r="102" spans="1:10" ht="16" thickBot="1"/>
    <row r="103" spans="1:10" ht="18.75" customHeight="1" thickBot="1">
      <c r="A103" s="5627" t="s">
        <v>1574</v>
      </c>
      <c r="B103" s="5628"/>
      <c r="C103" s="5628"/>
      <c r="D103" s="5628"/>
      <c r="E103" s="5628"/>
      <c r="F103" s="5629"/>
    </row>
    <row r="104" spans="1:10">
      <c r="A104" s="5630"/>
      <c r="B104" s="5631"/>
      <c r="C104" s="5631"/>
      <c r="D104" s="5631"/>
      <c r="E104" s="5631"/>
      <c r="F104" s="984" t="s">
        <v>1575</v>
      </c>
    </row>
    <row r="105" spans="1:10">
      <c r="A105" s="2621"/>
      <c r="B105" s="5639" t="s">
        <v>2887</v>
      </c>
      <c r="C105" s="5639"/>
      <c r="D105" s="2622"/>
      <c r="E105" s="2622"/>
      <c r="F105" s="2623"/>
    </row>
    <row r="106" spans="1:10" ht="16" thickBot="1">
      <c r="A106" s="2621"/>
      <c r="B106" s="5640" t="s">
        <v>2888</v>
      </c>
      <c r="C106" s="5640"/>
      <c r="D106" s="2622"/>
      <c r="E106" s="2622"/>
      <c r="F106" s="2623"/>
    </row>
    <row r="107" spans="1:10">
      <c r="A107" s="2621"/>
      <c r="B107" s="5641" t="s">
        <v>2889</v>
      </c>
      <c r="C107" s="2625" t="s">
        <v>2890</v>
      </c>
      <c r="D107" s="2622"/>
      <c r="E107" s="2622"/>
      <c r="F107" s="2623"/>
    </row>
    <row r="108" spans="1:10" ht="16" thickBot="1">
      <c r="A108" s="2621"/>
      <c r="B108" s="5642"/>
      <c r="C108" s="2626" t="s">
        <v>2891</v>
      </c>
      <c r="D108" s="2622"/>
      <c r="E108" s="2622"/>
      <c r="F108" s="2623"/>
    </row>
    <row r="109" spans="1:10" ht="16" thickBot="1">
      <c r="A109" s="2621"/>
      <c r="B109" s="2627" t="s">
        <v>2892</v>
      </c>
      <c r="C109" s="2628">
        <v>50</v>
      </c>
      <c r="D109" s="2622"/>
      <c r="E109" s="2622"/>
      <c r="F109" s="2623"/>
    </row>
    <row r="110" spans="1:10" ht="16" thickBot="1">
      <c r="A110" s="2621"/>
      <c r="B110" s="2629" t="s">
        <v>2893</v>
      </c>
      <c r="C110" s="2630">
        <v>100</v>
      </c>
      <c r="D110" s="2622"/>
      <c r="E110" s="2622"/>
      <c r="F110" s="2623"/>
    </row>
    <row r="111" spans="1:10" ht="16" thickBot="1">
      <c r="A111" s="2621"/>
      <c r="B111" s="2629" t="s">
        <v>2894</v>
      </c>
      <c r="C111" s="2630">
        <v>150</v>
      </c>
      <c r="D111" s="2622"/>
      <c r="E111" s="2622"/>
      <c r="F111" s="2623"/>
    </row>
    <row r="112" spans="1:10" ht="16" thickBot="1">
      <c r="A112" s="2621"/>
      <c r="B112" s="2631" t="s">
        <v>2895</v>
      </c>
      <c r="C112" s="2632"/>
      <c r="D112" s="2622"/>
      <c r="E112" s="2622"/>
      <c r="F112" s="2623"/>
    </row>
    <row r="113" spans="1:6" ht="16" thickBot="1">
      <c r="A113" s="2621"/>
      <c r="B113" s="2629" t="s">
        <v>2896</v>
      </c>
      <c r="C113" s="2630">
        <v>400</v>
      </c>
      <c r="D113" s="2622"/>
      <c r="E113" s="2622"/>
      <c r="F113" s="2623"/>
    </row>
    <row r="114" spans="1:6" ht="16" thickBot="1">
      <c r="A114" s="2621"/>
      <c r="B114" s="2629" t="s">
        <v>2897</v>
      </c>
      <c r="C114" s="2630">
        <v>400</v>
      </c>
      <c r="D114" s="2622"/>
      <c r="E114" s="2622"/>
      <c r="F114" s="2623"/>
    </row>
    <row r="115" spans="1:6" ht="16" thickBot="1">
      <c r="A115" s="2621"/>
      <c r="B115" s="2629" t="s">
        <v>2898</v>
      </c>
      <c r="C115" s="2630">
        <v>50</v>
      </c>
      <c r="D115" s="2622"/>
      <c r="E115" s="2622"/>
      <c r="F115" s="2623"/>
    </row>
    <row r="116" spans="1:6" ht="16" thickBot="1">
      <c r="A116" s="2621"/>
      <c r="B116" s="2629" t="s">
        <v>2899</v>
      </c>
      <c r="C116" s="2630">
        <v>350</v>
      </c>
      <c r="D116" s="2622"/>
      <c r="E116" s="2622"/>
      <c r="F116" s="2623"/>
    </row>
    <row r="117" spans="1:6" ht="16" thickBot="1">
      <c r="A117" s="2621"/>
      <c r="B117" s="2629" t="s">
        <v>2900</v>
      </c>
      <c r="C117" s="2630">
        <v>350</v>
      </c>
      <c r="D117" s="2622"/>
      <c r="E117" s="2622"/>
      <c r="F117" s="2623"/>
    </row>
    <row r="118" spans="1:6" ht="16" thickBot="1">
      <c r="A118" s="2621"/>
      <c r="B118" s="2629" t="s">
        <v>2901</v>
      </c>
      <c r="C118" s="2630">
        <v>350</v>
      </c>
      <c r="D118" s="2622"/>
      <c r="E118" s="2622"/>
      <c r="F118" s="2623"/>
    </row>
    <row r="119" spans="1:6" ht="16" thickBot="1">
      <c r="A119" s="2621"/>
      <c r="B119" s="2629" t="s">
        <v>2902</v>
      </c>
      <c r="C119" s="2630">
        <v>100</v>
      </c>
      <c r="D119" s="2622"/>
      <c r="E119" s="2622"/>
      <c r="F119" s="2623"/>
    </row>
    <row r="120" spans="1:6" ht="16" thickBot="1">
      <c r="A120" s="2621"/>
      <c r="B120" s="2629" t="s">
        <v>2903</v>
      </c>
      <c r="C120" s="2630">
        <v>50</v>
      </c>
      <c r="D120" s="2622"/>
      <c r="E120" s="2622"/>
      <c r="F120" s="2623"/>
    </row>
    <row r="121" spans="1:6" ht="16" thickBot="1">
      <c r="A121" s="2621"/>
      <c r="B121" s="2629" t="s">
        <v>2904</v>
      </c>
      <c r="C121" s="2630">
        <v>150</v>
      </c>
      <c r="D121" s="2622"/>
      <c r="E121" s="2622"/>
      <c r="F121" s="2623"/>
    </row>
    <row r="122" spans="1:6" ht="16" thickBot="1">
      <c r="A122" s="2621"/>
      <c r="B122" s="2629" t="s">
        <v>2905</v>
      </c>
      <c r="C122" s="2630">
        <v>350</v>
      </c>
      <c r="D122" s="2622"/>
      <c r="E122" s="2622"/>
      <c r="F122" s="2623"/>
    </row>
    <row r="123" spans="1:6" ht="16" thickBot="1">
      <c r="A123" s="2621"/>
      <c r="B123" s="2629" t="s">
        <v>2906</v>
      </c>
      <c r="C123" s="2630">
        <v>350</v>
      </c>
      <c r="D123" s="2622"/>
      <c r="E123" s="2622"/>
      <c r="F123" s="2623"/>
    </row>
    <row r="124" spans="1:6" ht="16" thickBot="1">
      <c r="A124" s="2621"/>
      <c r="B124" s="2629" t="s">
        <v>2907</v>
      </c>
      <c r="C124" s="2630">
        <v>100</v>
      </c>
      <c r="D124" s="2622"/>
      <c r="E124" s="2622"/>
      <c r="F124" s="2623"/>
    </row>
    <row r="125" spans="1:6" ht="16" thickBot="1">
      <c r="A125" s="2621"/>
      <c r="B125" s="2629" t="s">
        <v>2908</v>
      </c>
      <c r="C125" s="2630">
        <v>250</v>
      </c>
      <c r="D125" s="2622"/>
      <c r="E125" s="2622"/>
      <c r="F125" s="2623"/>
    </row>
    <row r="126" spans="1:6" ht="27" thickBot="1">
      <c r="A126" s="2621"/>
      <c r="B126" s="2629" t="s">
        <v>2909</v>
      </c>
      <c r="C126" s="2630">
        <v>500</v>
      </c>
      <c r="D126" s="2622"/>
      <c r="E126" s="2622"/>
      <c r="F126" s="2623"/>
    </row>
    <row r="127" spans="1:6" ht="16" thickBot="1">
      <c r="A127" s="2621"/>
      <c r="B127" s="2629" t="s">
        <v>2910</v>
      </c>
      <c r="C127" s="2630">
        <v>420</v>
      </c>
      <c r="D127" s="2622"/>
      <c r="E127" s="2622"/>
      <c r="F127" s="2623"/>
    </row>
    <row r="128" spans="1:6" ht="16" thickBot="1">
      <c r="A128" s="2621"/>
      <c r="B128" s="2629" t="s">
        <v>2911</v>
      </c>
      <c r="C128" s="2630">
        <v>250</v>
      </c>
      <c r="D128" s="2622"/>
      <c r="E128" s="2622"/>
      <c r="F128" s="2623"/>
    </row>
    <row r="129" spans="1:6" ht="16" thickBot="1">
      <c r="A129" s="2621"/>
      <c r="B129" s="2629" t="s">
        <v>2912</v>
      </c>
      <c r="C129" s="2630" t="s">
        <v>2913</v>
      </c>
      <c r="D129" s="2622"/>
      <c r="E129" s="2622"/>
      <c r="F129" s="2623"/>
    </row>
    <row r="130" spans="1:6" ht="16" thickBot="1">
      <c r="A130" s="2621"/>
      <c r="B130" s="2629" t="s">
        <v>2914</v>
      </c>
      <c r="C130" s="2630">
        <v>450</v>
      </c>
      <c r="D130" s="2622"/>
      <c r="E130" s="2622"/>
      <c r="F130" s="2623"/>
    </row>
    <row r="131" spans="1:6" ht="16" thickBot="1">
      <c r="A131" s="2621"/>
      <c r="B131" s="2629" t="s">
        <v>2915</v>
      </c>
      <c r="C131" s="2630">
        <v>100</v>
      </c>
      <c r="D131" s="2622"/>
      <c r="E131" s="2622"/>
      <c r="F131" s="2623"/>
    </row>
    <row r="132" spans="1:6" ht="16" thickBot="1">
      <c r="A132" s="2621"/>
      <c r="B132" s="2629" t="s">
        <v>2916</v>
      </c>
      <c r="C132" s="2630">
        <v>500</v>
      </c>
      <c r="D132" s="2622"/>
      <c r="E132" s="2622"/>
      <c r="F132" s="2623"/>
    </row>
    <row r="133" spans="1:6" ht="16" thickBot="1">
      <c r="A133" s="2621"/>
      <c r="B133" s="2629" t="s">
        <v>2917</v>
      </c>
      <c r="C133" s="2630">
        <v>250</v>
      </c>
      <c r="D133" s="2622"/>
      <c r="E133" s="2622"/>
      <c r="F133" s="2623"/>
    </row>
    <row r="134" spans="1:6" ht="16" thickBot="1">
      <c r="A134" s="2621"/>
      <c r="B134" s="2624" t="s">
        <v>2918</v>
      </c>
      <c r="C134" s="2633">
        <v>420</v>
      </c>
      <c r="D134" s="2622"/>
      <c r="E134" s="2622"/>
      <c r="F134" s="2623"/>
    </row>
    <row r="135" spans="1:6" ht="27" thickBot="1">
      <c r="A135" s="2621"/>
      <c r="B135" s="2627" t="s">
        <v>2919</v>
      </c>
      <c r="C135" s="2628">
        <v>100</v>
      </c>
      <c r="D135" s="2622"/>
      <c r="E135" s="2622"/>
      <c r="F135" s="2623"/>
    </row>
    <row r="136" spans="1:6" ht="16" thickBot="1">
      <c r="A136" s="2621"/>
      <c r="B136" s="2629" t="s">
        <v>2920</v>
      </c>
      <c r="C136" s="2630">
        <v>350</v>
      </c>
      <c r="D136" s="2622"/>
      <c r="E136" s="2622"/>
      <c r="F136" s="2623"/>
    </row>
    <row r="137" spans="1:6" ht="16" thickBot="1">
      <c r="A137" s="2621"/>
      <c r="B137" s="2629" t="s">
        <v>2921</v>
      </c>
      <c r="C137" s="2630">
        <v>250</v>
      </c>
      <c r="D137" s="2622"/>
      <c r="E137" s="2622"/>
      <c r="F137" s="2623"/>
    </row>
    <row r="138" spans="1:6" ht="16" thickBot="1">
      <c r="A138" s="2621"/>
      <c r="B138" s="2629" t="s">
        <v>2922</v>
      </c>
      <c r="C138" s="2630">
        <v>50</v>
      </c>
      <c r="D138" s="2622"/>
      <c r="E138" s="2622"/>
      <c r="F138" s="2623"/>
    </row>
    <row r="139" spans="1:6" ht="16" thickBot="1">
      <c r="A139" s="2621"/>
      <c r="B139" s="2629" t="s">
        <v>2923</v>
      </c>
      <c r="C139" s="2630">
        <v>250</v>
      </c>
      <c r="D139" s="2622"/>
      <c r="E139" s="2622"/>
      <c r="F139" s="2623"/>
    </row>
    <row r="140" spans="1:6">
      <c r="A140" s="2621"/>
      <c r="B140" s="5641" t="s">
        <v>2924</v>
      </c>
      <c r="C140" s="5641">
        <v>730</v>
      </c>
      <c r="D140" s="2622"/>
      <c r="E140" s="2622"/>
      <c r="F140" s="2623"/>
    </row>
    <row r="141" spans="1:6" ht="16" thickBot="1">
      <c r="A141" s="2621"/>
      <c r="B141" s="5642"/>
      <c r="C141" s="5642"/>
      <c r="D141" s="2622"/>
      <c r="E141" s="2622"/>
      <c r="F141" s="2623"/>
    </row>
    <row r="142" spans="1:6" ht="16" thickBot="1">
      <c r="A142" s="2621"/>
      <c r="B142" s="2629" t="s">
        <v>2925</v>
      </c>
      <c r="C142" s="2630">
        <v>550</v>
      </c>
      <c r="D142" s="2622"/>
      <c r="E142" s="2622"/>
      <c r="F142" s="2623"/>
    </row>
    <row r="143" spans="1:6" ht="27" thickBot="1">
      <c r="A143" s="2621"/>
      <c r="B143" s="2629" t="s">
        <v>2926</v>
      </c>
      <c r="C143" s="2630">
        <v>100</v>
      </c>
      <c r="D143" s="2622"/>
      <c r="E143" s="2622"/>
      <c r="F143" s="2623"/>
    </row>
    <row r="144" spans="1:6" ht="16" thickBot="1">
      <c r="A144" s="2621"/>
      <c r="B144" s="2629" t="s">
        <v>2927</v>
      </c>
      <c r="C144" s="2630">
        <v>250</v>
      </c>
      <c r="D144" s="2622"/>
      <c r="E144" s="2622"/>
      <c r="F144" s="2623"/>
    </row>
    <row r="145" spans="1:6" ht="16" thickBot="1">
      <c r="A145" s="2621"/>
      <c r="B145" s="2629" t="s">
        <v>2928</v>
      </c>
      <c r="C145" s="2630">
        <v>450</v>
      </c>
      <c r="D145" s="2622"/>
      <c r="E145" s="2622"/>
      <c r="F145" s="2623"/>
    </row>
    <row r="146" spans="1:6" ht="16" thickBot="1">
      <c r="A146" s="2621"/>
      <c r="B146" s="2629" t="s">
        <v>2929</v>
      </c>
      <c r="C146" s="2630">
        <v>340</v>
      </c>
      <c r="D146" s="2622"/>
      <c r="E146" s="2622"/>
      <c r="F146" s="2623"/>
    </row>
    <row r="147" spans="1:6" ht="16" thickBot="1">
      <c r="A147" s="2621"/>
      <c r="B147" s="2629" t="s">
        <v>2930</v>
      </c>
      <c r="C147" s="2630">
        <v>100</v>
      </c>
      <c r="D147" s="2622"/>
      <c r="E147" s="2622"/>
      <c r="F147" s="2623"/>
    </row>
    <row r="148" spans="1:6" ht="16" thickBot="1">
      <c r="A148" s="2621"/>
      <c r="B148" s="2629" t="s">
        <v>2931</v>
      </c>
      <c r="C148" s="2630">
        <v>420</v>
      </c>
      <c r="D148" s="2622"/>
      <c r="E148" s="2622"/>
      <c r="F148" s="2623"/>
    </row>
    <row r="149" spans="1:6" ht="16" thickBot="1">
      <c r="A149" s="2621"/>
      <c r="B149" s="2629" t="s">
        <v>2932</v>
      </c>
      <c r="C149" s="2630">
        <v>250</v>
      </c>
      <c r="D149" s="2622"/>
      <c r="E149" s="2622"/>
      <c r="F149" s="2623"/>
    </row>
    <row r="150" spans="1:6" ht="16" thickBot="1">
      <c r="A150" s="2621"/>
      <c r="B150" s="2629" t="s">
        <v>2933</v>
      </c>
      <c r="C150" s="2630">
        <v>275</v>
      </c>
      <c r="D150" s="2622"/>
      <c r="E150" s="2622"/>
      <c r="F150" s="2623"/>
    </row>
    <row r="151" spans="1:6" ht="16" thickBot="1">
      <c r="A151" s="2621"/>
      <c r="B151" s="2629" t="s">
        <v>2934</v>
      </c>
      <c r="C151" s="2630">
        <v>350</v>
      </c>
      <c r="D151" s="2622"/>
      <c r="E151" s="2622"/>
      <c r="F151" s="2623"/>
    </row>
    <row r="152" spans="1:6" ht="16" thickBot="1">
      <c r="A152" s="2621"/>
      <c r="B152" s="2629" t="s">
        <v>2935</v>
      </c>
      <c r="C152" s="2630">
        <v>340</v>
      </c>
      <c r="D152" s="2622"/>
      <c r="E152" s="2622"/>
      <c r="F152" s="2623"/>
    </row>
    <row r="153" spans="1:6">
      <c r="A153" s="2621"/>
      <c r="B153" s="2622"/>
      <c r="C153" s="2622"/>
      <c r="D153" s="2622"/>
      <c r="E153" s="2622"/>
      <c r="F153" s="2623"/>
    </row>
    <row r="154" spans="1:6">
      <c r="A154" s="2634" t="s">
        <v>2936</v>
      </c>
      <c r="B154" s="32"/>
      <c r="C154" s="2622"/>
      <c r="D154" s="2622"/>
      <c r="E154" s="2622"/>
      <c r="F154" s="2623"/>
    </row>
    <row r="155" spans="1:6">
      <c r="A155" s="2635" t="s">
        <v>2938</v>
      </c>
      <c r="B155" s="32"/>
      <c r="C155" s="2622"/>
      <c r="D155" s="2622"/>
      <c r="E155" s="2622"/>
      <c r="F155" s="2623"/>
    </row>
    <row r="156" spans="1:6">
      <c r="A156" s="2635" t="s">
        <v>2939</v>
      </c>
      <c r="B156" s="32"/>
      <c r="C156" s="2622"/>
      <c r="D156" s="2622"/>
      <c r="E156" s="2622"/>
      <c r="F156" s="2623"/>
    </row>
    <row r="157" spans="1:6">
      <c r="A157" s="2634" t="s">
        <v>2937</v>
      </c>
      <c r="B157" s="32"/>
      <c r="C157" s="2622"/>
      <c r="D157" s="2622"/>
      <c r="E157" s="2622"/>
      <c r="F157" s="2623"/>
    </row>
    <row r="158" spans="1:6" ht="24.75" customHeight="1">
      <c r="A158" s="5702" t="s">
        <v>2940</v>
      </c>
      <c r="B158" s="5703"/>
      <c r="C158" s="5703"/>
      <c r="D158" s="5703"/>
      <c r="E158" s="5703"/>
      <c r="F158" s="5704"/>
    </row>
    <row r="159" spans="1:6">
      <c r="A159" s="2621"/>
      <c r="B159" s="2622"/>
      <c r="C159" s="2622"/>
      <c r="D159" s="2622"/>
      <c r="E159" s="2622"/>
      <c r="F159" s="2623"/>
    </row>
    <row r="160" spans="1:6">
      <c r="A160" s="2621"/>
      <c r="B160" s="2622"/>
      <c r="C160" s="2622"/>
      <c r="D160" s="2622"/>
      <c r="E160" s="2622"/>
      <c r="F160" s="2623"/>
    </row>
    <row r="161" spans="1:6">
      <c r="A161" s="982"/>
      <c r="B161" s="889"/>
      <c r="C161" s="892"/>
      <c r="D161" s="892"/>
      <c r="E161" s="892"/>
      <c r="F161" s="434"/>
    </row>
    <row r="162" spans="1:6" ht="17" thickBot="1">
      <c r="A162" s="2637"/>
      <c r="B162" s="5638" t="s">
        <v>1571</v>
      </c>
      <c r="C162" s="5638"/>
      <c r="D162" s="5638"/>
      <c r="E162" s="892"/>
      <c r="F162" s="2636" t="s">
        <v>2527</v>
      </c>
    </row>
    <row r="163" spans="1:6">
      <c r="A163" s="982"/>
      <c r="B163" s="5636" t="s">
        <v>1543</v>
      </c>
      <c r="C163" s="5637"/>
      <c r="D163" s="975" t="s">
        <v>1570</v>
      </c>
      <c r="E163" s="892"/>
      <c r="F163" s="434"/>
    </row>
    <row r="164" spans="1:6">
      <c r="A164" s="982"/>
      <c r="B164" s="5632" t="s">
        <v>1544</v>
      </c>
      <c r="C164" s="5633"/>
      <c r="D164" s="980">
        <v>50</v>
      </c>
      <c r="E164" s="892"/>
      <c r="F164" s="434"/>
    </row>
    <row r="165" spans="1:6">
      <c r="A165" s="982"/>
      <c r="B165" s="5632" t="s">
        <v>1545</v>
      </c>
      <c r="C165" s="5633"/>
      <c r="D165" s="980">
        <v>50</v>
      </c>
      <c r="E165" s="892"/>
      <c r="F165" s="434"/>
    </row>
    <row r="166" spans="1:6">
      <c r="A166" s="982"/>
      <c r="B166" s="5632" t="s">
        <v>1546</v>
      </c>
      <c r="C166" s="5633"/>
      <c r="D166" s="980">
        <v>150</v>
      </c>
      <c r="E166" s="892"/>
      <c r="F166" s="434"/>
    </row>
    <row r="167" spans="1:6">
      <c r="A167" s="982"/>
      <c r="B167" s="5632" t="s">
        <v>1547</v>
      </c>
      <c r="C167" s="5633"/>
      <c r="D167" s="980">
        <v>100</v>
      </c>
      <c r="E167" s="892"/>
      <c r="F167" s="434"/>
    </row>
    <row r="168" spans="1:6">
      <c r="A168" s="982"/>
      <c r="B168" s="5632" t="s">
        <v>1548</v>
      </c>
      <c r="C168" s="5633"/>
      <c r="D168" s="980">
        <v>60</v>
      </c>
      <c r="E168" s="892"/>
      <c r="F168" s="434"/>
    </row>
    <row r="169" spans="1:6">
      <c r="A169" s="982"/>
      <c r="B169" s="5632" t="s">
        <v>1549</v>
      </c>
      <c r="C169" s="5633"/>
      <c r="D169" s="980">
        <v>50</v>
      </c>
      <c r="E169" s="892"/>
      <c r="F169" s="434"/>
    </row>
    <row r="170" spans="1:6">
      <c r="A170" s="982"/>
      <c r="B170" s="5632" t="s">
        <v>1550</v>
      </c>
      <c r="C170" s="5633"/>
      <c r="D170" s="980">
        <v>65</v>
      </c>
      <c r="E170" s="892"/>
      <c r="F170" s="434"/>
    </row>
    <row r="171" spans="1:6">
      <c r="A171" s="982"/>
      <c r="B171" s="5632" t="s">
        <v>1551</v>
      </c>
      <c r="C171" s="5633"/>
      <c r="D171" s="980">
        <v>50</v>
      </c>
      <c r="E171" s="892"/>
      <c r="F171" s="434"/>
    </row>
    <row r="172" spans="1:6">
      <c r="A172" s="982"/>
      <c r="B172" s="5632" t="s">
        <v>1552</v>
      </c>
      <c r="C172" s="5633"/>
      <c r="D172" s="980">
        <v>50</v>
      </c>
      <c r="E172" s="892"/>
      <c r="F172" s="434"/>
    </row>
    <row r="173" spans="1:6">
      <c r="A173" s="982"/>
      <c r="B173" s="5632" t="s">
        <v>1553</v>
      </c>
      <c r="C173" s="5633"/>
      <c r="D173" s="980">
        <v>50</v>
      </c>
      <c r="E173" s="892"/>
      <c r="F173" s="434"/>
    </row>
    <row r="174" spans="1:6">
      <c r="A174" s="982"/>
      <c r="B174" s="5632" t="s">
        <v>1554</v>
      </c>
      <c r="C174" s="5633"/>
      <c r="D174" s="980">
        <v>70</v>
      </c>
      <c r="E174" s="892"/>
      <c r="F174" s="434"/>
    </row>
    <row r="175" spans="1:6">
      <c r="A175" s="982"/>
      <c r="B175" s="5632" t="s">
        <v>1555</v>
      </c>
      <c r="C175" s="5633"/>
      <c r="D175" s="980">
        <v>100</v>
      </c>
      <c r="E175" s="892"/>
      <c r="F175" s="434"/>
    </row>
    <row r="176" spans="1:6">
      <c r="A176" s="982"/>
      <c r="B176" s="5632" t="s">
        <v>1556</v>
      </c>
      <c r="C176" s="5633"/>
      <c r="D176" s="980">
        <v>250</v>
      </c>
      <c r="E176" s="892"/>
      <c r="F176" s="434"/>
    </row>
    <row r="177" spans="1:6">
      <c r="A177" s="982"/>
      <c r="B177" s="5632" t="s">
        <v>1557</v>
      </c>
      <c r="C177" s="5633"/>
      <c r="D177" s="980">
        <v>250</v>
      </c>
      <c r="E177" s="892"/>
      <c r="F177" s="434"/>
    </row>
    <row r="178" spans="1:6">
      <c r="A178" s="982"/>
      <c r="B178" s="5632" t="s">
        <v>1568</v>
      </c>
      <c r="C178" s="5633"/>
      <c r="D178" s="980">
        <v>250</v>
      </c>
      <c r="E178" s="892"/>
      <c r="F178" s="434"/>
    </row>
    <row r="179" spans="1:6">
      <c r="A179" s="982"/>
      <c r="B179" s="5632" t="s">
        <v>1569</v>
      </c>
      <c r="C179" s="5633"/>
      <c r="D179" s="980">
        <v>775</v>
      </c>
      <c r="E179" s="892"/>
      <c r="F179" s="434"/>
    </row>
    <row r="180" spans="1:6">
      <c r="A180" s="982"/>
      <c r="B180" s="5632" t="s">
        <v>1558</v>
      </c>
      <c r="C180" s="5633"/>
      <c r="D180" s="980">
        <v>500</v>
      </c>
      <c r="E180" s="892"/>
      <c r="F180" s="434"/>
    </row>
    <row r="181" spans="1:6">
      <c r="A181" s="982"/>
      <c r="B181" s="5632" t="s">
        <v>1559</v>
      </c>
      <c r="C181" s="5633"/>
      <c r="D181" s="980">
        <v>750</v>
      </c>
      <c r="E181" s="892"/>
      <c r="F181" s="434"/>
    </row>
    <row r="182" spans="1:6">
      <c r="A182" s="982"/>
      <c r="B182" s="5632" t="s">
        <v>1560</v>
      </c>
      <c r="C182" s="5633"/>
      <c r="D182" s="980">
        <v>490</v>
      </c>
      <c r="E182" s="892"/>
      <c r="F182" s="434"/>
    </row>
    <row r="183" spans="1:6">
      <c r="A183" s="982"/>
      <c r="B183" s="5632" t="s">
        <v>1561</v>
      </c>
      <c r="C183" s="5633"/>
      <c r="D183" s="980">
        <v>510</v>
      </c>
      <c r="E183" s="892"/>
      <c r="F183" s="434"/>
    </row>
    <row r="184" spans="1:6">
      <c r="A184" s="982"/>
      <c r="B184" s="5632" t="s">
        <v>1562</v>
      </c>
      <c r="C184" s="5633"/>
      <c r="D184" s="980">
        <v>325</v>
      </c>
      <c r="E184" s="892"/>
      <c r="F184" s="434"/>
    </row>
    <row r="185" spans="1:6">
      <c r="A185" s="982"/>
      <c r="B185" s="5632" t="s">
        <v>1563</v>
      </c>
      <c r="C185" s="5633"/>
      <c r="D185" s="980">
        <v>250</v>
      </c>
      <c r="E185" s="892"/>
      <c r="F185" s="434"/>
    </row>
    <row r="186" spans="1:6">
      <c r="A186" s="982"/>
      <c r="B186" s="5632" t="s">
        <v>1564</v>
      </c>
      <c r="C186" s="5633"/>
      <c r="D186" s="980">
        <v>550</v>
      </c>
      <c r="E186" s="892"/>
      <c r="F186" s="434"/>
    </row>
    <row r="187" spans="1:6">
      <c r="A187" s="982"/>
      <c r="B187" s="5632" t="s">
        <v>1565</v>
      </c>
      <c r="C187" s="5633"/>
      <c r="D187" s="980">
        <v>80</v>
      </c>
      <c r="E187" s="892"/>
      <c r="F187" s="434"/>
    </row>
    <row r="188" spans="1:6">
      <c r="A188" s="982"/>
      <c r="B188" s="5632" t="s">
        <v>1566</v>
      </c>
      <c r="C188" s="5633"/>
      <c r="D188" s="980">
        <v>250</v>
      </c>
      <c r="E188" s="892"/>
      <c r="F188" s="434"/>
    </row>
    <row r="189" spans="1:6" ht="16" thickBot="1">
      <c r="A189" s="982"/>
      <c r="B189" s="5634" t="s">
        <v>1567</v>
      </c>
      <c r="C189" s="5635"/>
      <c r="D189" s="981">
        <v>140</v>
      </c>
      <c r="E189" s="892"/>
      <c r="F189" s="434"/>
    </row>
    <row r="190" spans="1:6" ht="30" customHeight="1">
      <c r="A190" s="982"/>
      <c r="B190" s="5643" t="s">
        <v>1572</v>
      </c>
      <c r="C190" s="5643"/>
      <c r="D190" s="5643"/>
      <c r="E190" s="892"/>
      <c r="F190" s="434"/>
    </row>
    <row r="191" spans="1:6" ht="60" customHeight="1">
      <c r="A191" s="982"/>
      <c r="B191" s="5644" t="s">
        <v>1573</v>
      </c>
      <c r="C191" s="5644"/>
      <c r="D191" s="5644"/>
      <c r="E191" s="892"/>
      <c r="F191" s="434"/>
    </row>
    <row r="192" spans="1:6" ht="16" thickBot="1">
      <c r="A192" s="983"/>
      <c r="B192" s="890"/>
      <c r="C192" s="893"/>
      <c r="D192" s="893"/>
      <c r="E192" s="893"/>
      <c r="F192" s="86"/>
    </row>
  </sheetData>
  <sheetProtection password="CA4F" sheet="1" objects="1" scenarios="1" formatRows="0" selectLockedCells="1"/>
  <mergeCells count="114">
    <mergeCell ref="B140:B141"/>
    <mergeCell ref="C140:C141"/>
    <mergeCell ref="A158:F158"/>
    <mergeCell ref="A2:B2"/>
    <mergeCell ref="A3:F3"/>
    <mergeCell ref="A4:E4"/>
    <mergeCell ref="A5:E5"/>
    <mergeCell ref="A13:E13"/>
    <mergeCell ref="A14:E14"/>
    <mergeCell ref="A15:E15"/>
    <mergeCell ref="A11:E11"/>
    <mergeCell ref="D2:F2"/>
    <mergeCell ref="A16:E16"/>
    <mergeCell ref="A17:E17"/>
    <mergeCell ref="A18:E18"/>
    <mergeCell ref="A6:E6"/>
    <mergeCell ref="A7:E7"/>
    <mergeCell ref="A8:E8"/>
    <mergeCell ref="A9:E9"/>
    <mergeCell ref="A10:E10"/>
    <mergeCell ref="A12:E12"/>
    <mergeCell ref="A25:E25"/>
    <mergeCell ref="A26:E26"/>
    <mergeCell ref="A27:E27"/>
    <mergeCell ref="A28:E28"/>
    <mergeCell ref="A29:E29"/>
    <mergeCell ref="A30:E30"/>
    <mergeCell ref="A19:E19"/>
    <mergeCell ref="A20:E20"/>
    <mergeCell ref="A21:E21"/>
    <mergeCell ref="A22:E22"/>
    <mergeCell ref="A23:E23"/>
    <mergeCell ref="A24:E24"/>
    <mergeCell ref="A31:E31"/>
    <mergeCell ref="A32:F32"/>
    <mergeCell ref="A39:E39"/>
    <mergeCell ref="A40:E40"/>
    <mergeCell ref="A41:E41"/>
    <mergeCell ref="A42:E42"/>
    <mergeCell ref="A43:E43"/>
    <mergeCell ref="A44:E44"/>
    <mergeCell ref="A33:F33"/>
    <mergeCell ref="A34:E34"/>
    <mergeCell ref="A35:E35"/>
    <mergeCell ref="A36:E36"/>
    <mergeCell ref="A37:E37"/>
    <mergeCell ref="A38:E38"/>
    <mergeCell ref="A51:A52"/>
    <mergeCell ref="B51:F51"/>
    <mergeCell ref="A56:F56"/>
    <mergeCell ref="A58:F58"/>
    <mergeCell ref="A59:F59"/>
    <mergeCell ref="A60:E60"/>
    <mergeCell ref="A45:E45"/>
    <mergeCell ref="A46:E46"/>
    <mergeCell ref="A47:E47"/>
    <mergeCell ref="A48:E48"/>
    <mergeCell ref="A49:F49"/>
    <mergeCell ref="A50:F50"/>
    <mergeCell ref="A67:E67"/>
    <mergeCell ref="A68:E68"/>
    <mergeCell ref="A69:E69"/>
    <mergeCell ref="A70:E70"/>
    <mergeCell ref="A71:F71"/>
    <mergeCell ref="A61:E61"/>
    <mergeCell ref="A62:E62"/>
    <mergeCell ref="A63:E63"/>
    <mergeCell ref="A64:E64"/>
    <mergeCell ref="A65:E65"/>
    <mergeCell ref="A66:E66"/>
    <mergeCell ref="A73:E73"/>
    <mergeCell ref="A74:F74"/>
    <mergeCell ref="C75:E75"/>
    <mergeCell ref="A88:F88"/>
    <mergeCell ref="A90:F90"/>
    <mergeCell ref="A92:J92"/>
    <mergeCell ref="A93:J93"/>
    <mergeCell ref="A72:J72"/>
    <mergeCell ref="I73:J73"/>
    <mergeCell ref="B190:D190"/>
    <mergeCell ref="B191:D191"/>
    <mergeCell ref="B178:C178"/>
    <mergeCell ref="B179:C179"/>
    <mergeCell ref="B180:C180"/>
    <mergeCell ref="B181:C181"/>
    <mergeCell ref="B173:C173"/>
    <mergeCell ref="B174:C174"/>
    <mergeCell ref="B175:C175"/>
    <mergeCell ref="B176:C176"/>
    <mergeCell ref="B177:C177"/>
    <mergeCell ref="A103:F103"/>
    <mergeCell ref="A104:E104"/>
    <mergeCell ref="B186:C186"/>
    <mergeCell ref="B187:C187"/>
    <mergeCell ref="B188:C188"/>
    <mergeCell ref="B189:C189"/>
    <mergeCell ref="B163:C163"/>
    <mergeCell ref="B162:D162"/>
    <mergeCell ref="B182:C182"/>
    <mergeCell ref="B183:C183"/>
    <mergeCell ref="B184:C184"/>
    <mergeCell ref="B185:C185"/>
    <mergeCell ref="B169:C169"/>
    <mergeCell ref="B170:C170"/>
    <mergeCell ref="B171:C171"/>
    <mergeCell ref="B172:C172"/>
    <mergeCell ref="B164:C164"/>
    <mergeCell ref="B165:C165"/>
    <mergeCell ref="B166:C166"/>
    <mergeCell ref="B167:C167"/>
    <mergeCell ref="B168:C168"/>
    <mergeCell ref="B105:C105"/>
    <mergeCell ref="B106:C106"/>
    <mergeCell ref="B107:B108"/>
  </mergeCells>
  <hyperlinks>
    <hyperlink ref="F4" location="link703.1.2" display="See Practice 703.1.2" xr:uid="{00000000-0004-0000-0E00-000000000000}"/>
    <hyperlink ref="A46" r:id="rId1" display="http://www.nahbgreen.org/GreenStandard/Maps/climatezonesbystates.pdf" xr:uid="{00000000-0004-0000-0E00-000001000000}"/>
    <hyperlink ref="F34" location="link703.6.1" display="See Practice 703.6.1" xr:uid="{00000000-0004-0000-0E00-000002000000}"/>
    <hyperlink ref="I73" location="claim801.1.1_1thru4a" display="See Practice 704.3.1.4" xr:uid="{00000000-0004-0000-0E00-000003000000}"/>
    <hyperlink ref="I73:J73" location="choice801.1.1_1thru4a" display="See Practice 801.1.1" xr:uid="{00000000-0004-0000-0E00-000004000000}"/>
    <hyperlink ref="F104" location="link901.9.1" display="See Practice 901.9.1" xr:uid="{00000000-0004-0000-0E00-000005000000}"/>
    <hyperlink ref="F60" location="link703.6.4" display="See Practice 703.6.4" xr:uid="{00000000-0004-0000-0E00-000006000000}"/>
    <hyperlink ref="F162" location="link901.10" display="See Practice 901.10" xr:uid="{00000000-0004-0000-0E00-000007000000}"/>
  </hyperlinks>
  <pageMargins left="0.7" right="0.7" top="0.75" bottom="0.75" header="0.3" footer="0.3"/>
  <pageSetup scale="45" fitToHeight="0" orientation="portrait" r:id="rId2"/>
  <headerFooter>
    <oddFooter xml:space="preserve">&amp;C© 2013 Home Innovation Research Labs.  Practices of ICC700-2012 © 2013 National Association of Home Builders- used by permission.   Home Innovation authorizes use by those persons participating in the Home Innovation’s Green Building Certification.&amp;R
</oddFooter>
  </headerFooter>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pageSetUpPr fitToPage="1"/>
  </sheetPr>
  <dimension ref="A1:J139"/>
  <sheetViews>
    <sheetView showGridLines="0" zoomScaleNormal="100" zoomScaleSheetLayoutView="100" workbookViewId="0">
      <pane ySplit="2" topLeftCell="A3" activePane="bottomLeft" state="frozen"/>
      <selection activeCell="A3" sqref="A1:K3"/>
      <selection pane="bottomLeft" activeCell="H4" sqref="H4:I4"/>
    </sheetView>
  </sheetViews>
  <sheetFormatPr baseColWidth="10" defaultColWidth="9.1640625" defaultRowHeight="15"/>
  <cols>
    <col min="1" max="1" width="30.6640625" style="32" customWidth="1"/>
    <col min="2" max="2" width="15.6640625" style="32" customWidth="1"/>
    <col min="3" max="3" width="15.33203125" style="32" customWidth="1"/>
    <col min="4" max="9" width="15.6640625" style="32" customWidth="1"/>
    <col min="10" max="10" width="17.6640625" style="433" customWidth="1"/>
    <col min="11" max="16384" width="9.1640625" style="32"/>
  </cols>
  <sheetData>
    <row r="1" spans="1:10" s="83" customFormat="1" ht="45" customHeight="1">
      <c r="A1" s="4752"/>
      <c r="B1" s="4752"/>
      <c r="C1" s="5540">
        <v>2012</v>
      </c>
      <c r="D1" s="5540"/>
      <c r="E1" s="2302"/>
      <c r="F1" s="2302"/>
      <c r="G1" s="2302"/>
      <c r="H1" s="2302"/>
      <c r="I1" s="2302"/>
      <c r="J1" s="448"/>
    </row>
    <row r="2" spans="1:10" s="114" customFormat="1" ht="72.75" customHeight="1" thickBot="1">
      <c r="A2" s="5837" t="s">
        <v>2866</v>
      </c>
      <c r="B2" s="5837"/>
      <c r="C2" s="5838" t="str">
        <f>CONCATENATE("Revised ",TEXT(startRevisionDate,"mmmm dd, yyyy"))</f>
        <v>Revised August 21, 2020</v>
      </c>
      <c r="D2" s="5838"/>
      <c r="E2" s="3024" t="str">
        <f>CONCATENATE(copyright," All rights reserved.  This document is protected by U.S. copyright law. Requirements from ICC700-2012 National Green Building Standard™ © 2013 National Association of Home Builders of the U.S. - used by permission."," Home Innovation authorizes use of this document only by those individuals/organizations participating in Home Innovation's Green Building Certification and solely for purpose of seeking project certification from the Home Innovation Research Labs.")</f>
        <v>© 2020 Home Innovation Research Labs, Inc. All rights reserved.  This document is protected by U.S. copyright law. Requirements from ICC700-2012 National Green Building Standard™ © 2013 National Association of Home Builders of the U.S. - used by permission. Home Innovation authorizes use of this document only by those individuals/organizations participating in Home Innovation's Green Building Certification and solely for purpose of seeking project certification from the Home Innovation Research Labs.</v>
      </c>
      <c r="F2" s="3024"/>
      <c r="G2" s="3024"/>
      <c r="H2" s="3024"/>
      <c r="I2" s="3024"/>
      <c r="J2" s="462"/>
    </row>
    <row r="3" spans="1:10" ht="19.5" customHeight="1" thickBot="1">
      <c r="A3" s="4745" t="s">
        <v>761</v>
      </c>
      <c r="B3" s="4745"/>
      <c r="C3" s="4745"/>
      <c r="D3" s="4745"/>
      <c r="E3" s="4745"/>
      <c r="F3" s="4745"/>
      <c r="G3" s="4745"/>
      <c r="H3" s="4745"/>
      <c r="I3" s="4745"/>
    </row>
    <row r="4" spans="1:10" ht="30" customHeight="1" thickBot="1">
      <c r="A4" s="5816"/>
      <c r="B4" s="5817"/>
      <c r="C4" s="5817"/>
      <c r="D4" s="5817"/>
      <c r="E4" s="5817"/>
      <c r="F4" s="5817"/>
      <c r="G4" s="5817"/>
      <c r="H4" s="5762" t="s">
        <v>762</v>
      </c>
      <c r="I4" s="5763"/>
    </row>
    <row r="5" spans="1:10">
      <c r="A5" s="5825" t="s">
        <v>763</v>
      </c>
      <c r="B5" s="5826"/>
      <c r="C5" s="5826"/>
      <c r="D5" s="5826"/>
      <c r="E5" s="5826"/>
      <c r="F5" s="5826"/>
      <c r="G5" s="5826"/>
      <c r="H5" s="5826"/>
      <c r="I5" s="5827"/>
    </row>
    <row r="6" spans="1:10">
      <c r="A6" s="5774" t="s">
        <v>764</v>
      </c>
      <c r="B6" s="5775"/>
      <c r="C6" s="5775"/>
      <c r="D6" s="5775"/>
      <c r="E6" s="5775"/>
      <c r="F6" s="5775"/>
      <c r="G6" s="5775"/>
      <c r="H6" s="5775"/>
      <c r="I6" s="5776"/>
    </row>
    <row r="7" spans="1:10" ht="57.75" customHeight="1">
      <c r="A7" s="5774" t="s">
        <v>765</v>
      </c>
      <c r="B7" s="5775"/>
      <c r="C7" s="5775"/>
      <c r="D7" s="5775"/>
      <c r="E7" s="5775"/>
      <c r="F7" s="5775"/>
      <c r="G7" s="5775"/>
      <c r="H7" s="5775"/>
      <c r="I7" s="5776"/>
    </row>
    <row r="8" spans="1:10" ht="77.25" customHeight="1">
      <c r="A8" s="5774" t="s">
        <v>766</v>
      </c>
      <c r="B8" s="5775"/>
      <c r="C8" s="5775"/>
      <c r="D8" s="5775"/>
      <c r="E8" s="5775"/>
      <c r="F8" s="5775"/>
      <c r="G8" s="5775"/>
      <c r="H8" s="5775"/>
      <c r="I8" s="5776"/>
    </row>
    <row r="9" spans="1:10">
      <c r="A9" s="5825" t="s">
        <v>767</v>
      </c>
      <c r="B9" s="5826"/>
      <c r="C9" s="5826"/>
      <c r="D9" s="5826"/>
      <c r="E9" s="5826"/>
      <c r="F9" s="5826"/>
      <c r="G9" s="5826"/>
      <c r="H9" s="5826"/>
      <c r="I9" s="5827"/>
    </row>
    <row r="10" spans="1:10" ht="56.25" customHeight="1">
      <c r="A10" s="5774" t="s">
        <v>768</v>
      </c>
      <c r="B10" s="5775"/>
      <c r="C10" s="5775"/>
      <c r="D10" s="5775"/>
      <c r="E10" s="5775"/>
      <c r="F10" s="5775"/>
      <c r="G10" s="5775"/>
      <c r="H10" s="5775"/>
      <c r="I10" s="5776"/>
    </row>
    <row r="11" spans="1:10">
      <c r="A11" s="3450"/>
      <c r="B11" s="5828"/>
      <c r="C11" s="5828"/>
      <c r="D11" s="5828"/>
      <c r="E11" s="5828"/>
      <c r="F11" s="5828"/>
      <c r="G11" s="5828"/>
      <c r="H11" s="5828"/>
      <c r="I11" s="5829"/>
    </row>
    <row r="12" spans="1:10" ht="35" customHeight="1">
      <c r="A12" s="5689" t="s">
        <v>769</v>
      </c>
      <c r="B12" s="5690"/>
      <c r="C12" s="5690"/>
      <c r="D12" s="5690"/>
      <c r="E12" s="5690"/>
      <c r="F12" s="5690"/>
      <c r="G12" s="5690"/>
      <c r="H12" s="5690"/>
      <c r="I12" s="5691"/>
    </row>
    <row r="13" spans="1:10">
      <c r="A13" s="463"/>
      <c r="B13" s="5830" t="s">
        <v>770</v>
      </c>
      <c r="C13" s="5830"/>
      <c r="D13" s="5830"/>
      <c r="E13" s="5830"/>
      <c r="F13" s="5830"/>
      <c r="G13" s="5830"/>
      <c r="H13" s="5830"/>
      <c r="I13" s="5831"/>
    </row>
    <row r="14" spans="1:10">
      <c r="A14" s="464" t="s">
        <v>771</v>
      </c>
      <c r="B14" s="5832" t="s">
        <v>772</v>
      </c>
      <c r="C14" s="5832"/>
      <c r="D14" s="5832"/>
      <c r="E14" s="5832"/>
      <c r="F14" s="5832" t="s">
        <v>773</v>
      </c>
      <c r="G14" s="5832"/>
      <c r="H14" s="5832"/>
      <c r="I14" s="5833"/>
    </row>
    <row r="15" spans="1:10" ht="30">
      <c r="A15" s="464" t="s">
        <v>774</v>
      </c>
      <c r="B15" s="137" t="s">
        <v>775</v>
      </c>
      <c r="C15" s="137" t="s">
        <v>776</v>
      </c>
      <c r="D15" s="137" t="s">
        <v>777</v>
      </c>
      <c r="E15" s="137" t="s">
        <v>778</v>
      </c>
      <c r="F15" s="137" t="s">
        <v>775</v>
      </c>
      <c r="G15" s="137" t="s">
        <v>776</v>
      </c>
      <c r="H15" s="137" t="s">
        <v>777</v>
      </c>
      <c r="I15" s="465" t="s">
        <v>778</v>
      </c>
    </row>
    <row r="16" spans="1:10">
      <c r="A16" s="466" t="s">
        <v>779</v>
      </c>
      <c r="B16" s="5832" t="s">
        <v>780</v>
      </c>
      <c r="C16" s="5832"/>
      <c r="D16" s="5832"/>
      <c r="E16" s="5832"/>
      <c r="F16" s="5832"/>
      <c r="G16" s="5832"/>
      <c r="H16" s="5832"/>
      <c r="I16" s="5833"/>
    </row>
    <row r="17" spans="1:9">
      <c r="A17" s="466" t="s">
        <v>781</v>
      </c>
      <c r="B17" s="467" t="s">
        <v>782</v>
      </c>
      <c r="C17" s="467" t="s">
        <v>782</v>
      </c>
      <c r="D17" s="467" t="s">
        <v>782</v>
      </c>
      <c r="E17" s="467" t="s">
        <v>782</v>
      </c>
      <c r="F17" s="467" t="s">
        <v>783</v>
      </c>
      <c r="G17" s="467" t="s">
        <v>782</v>
      </c>
      <c r="H17" s="467" t="s">
        <v>782</v>
      </c>
      <c r="I17" s="468" t="s">
        <v>782</v>
      </c>
    </row>
    <row r="18" spans="1:9">
      <c r="A18" s="466" t="s">
        <v>784</v>
      </c>
      <c r="B18" s="467" t="s">
        <v>785</v>
      </c>
      <c r="C18" s="467" t="s">
        <v>786</v>
      </c>
      <c r="D18" s="467" t="s">
        <v>782</v>
      </c>
      <c r="E18" s="467" t="s">
        <v>782</v>
      </c>
      <c r="F18" s="467" t="s">
        <v>787</v>
      </c>
      <c r="G18" s="467" t="s">
        <v>788</v>
      </c>
      <c r="H18" s="467" t="s">
        <v>783</v>
      </c>
      <c r="I18" s="468" t="s">
        <v>782</v>
      </c>
    </row>
    <row r="19" spans="1:9">
      <c r="A19" s="466" t="s">
        <v>789</v>
      </c>
      <c r="B19" s="467" t="s">
        <v>790</v>
      </c>
      <c r="C19" s="467" t="s">
        <v>785</v>
      </c>
      <c r="D19" s="467" t="s">
        <v>788</v>
      </c>
      <c r="E19" s="467" t="s">
        <v>791</v>
      </c>
      <c r="F19" s="467" t="s">
        <v>790</v>
      </c>
      <c r="G19" s="467" t="s">
        <v>792</v>
      </c>
      <c r="H19" s="467" t="s">
        <v>793</v>
      </c>
      <c r="I19" s="468" t="s">
        <v>794</v>
      </c>
    </row>
    <row r="20" spans="1:9">
      <c r="A20" s="466" t="s">
        <v>795</v>
      </c>
      <c r="B20" s="467" t="s">
        <v>790</v>
      </c>
      <c r="C20" s="467" t="s">
        <v>790</v>
      </c>
      <c r="D20" s="467" t="s">
        <v>796</v>
      </c>
      <c r="E20" s="467" t="s">
        <v>797</v>
      </c>
      <c r="F20" s="467" t="s">
        <v>790</v>
      </c>
      <c r="G20" s="467" t="s">
        <v>790</v>
      </c>
      <c r="H20" s="467" t="s">
        <v>790</v>
      </c>
      <c r="I20" s="468" t="s">
        <v>798</v>
      </c>
    </row>
    <row r="21" spans="1:9">
      <c r="A21" s="466" t="s">
        <v>799</v>
      </c>
      <c r="B21" s="467" t="s">
        <v>790</v>
      </c>
      <c r="C21" s="467" t="s">
        <v>790</v>
      </c>
      <c r="D21" s="467" t="s">
        <v>790</v>
      </c>
      <c r="E21" s="467" t="s">
        <v>790</v>
      </c>
      <c r="F21" s="467" t="s">
        <v>790</v>
      </c>
      <c r="G21" s="467" t="s">
        <v>790</v>
      </c>
      <c r="H21" s="467" t="s">
        <v>790</v>
      </c>
      <c r="I21" s="468" t="s">
        <v>790</v>
      </c>
    </row>
    <row r="22" spans="1:9" ht="14" customHeight="1">
      <c r="A22" s="5834" t="s">
        <v>800</v>
      </c>
      <c r="B22" s="5835"/>
      <c r="C22" s="5835"/>
      <c r="D22" s="5835"/>
      <c r="E22" s="5835"/>
      <c r="F22" s="5835"/>
      <c r="G22" s="5835"/>
      <c r="H22" s="5835"/>
      <c r="I22" s="5836"/>
    </row>
    <row r="23" spans="1:9" ht="14" customHeight="1">
      <c r="A23" s="5822" t="s">
        <v>801</v>
      </c>
      <c r="B23" s="5823"/>
      <c r="C23" s="5823"/>
      <c r="D23" s="5823"/>
      <c r="E23" s="5823"/>
      <c r="F23" s="5823"/>
      <c r="G23" s="5823"/>
      <c r="H23" s="5823"/>
      <c r="I23" s="5824"/>
    </row>
    <row r="24" spans="1:9" ht="14" customHeight="1">
      <c r="A24" s="5813" t="s">
        <v>802</v>
      </c>
      <c r="B24" s="5814"/>
      <c r="C24" s="5814"/>
      <c r="D24" s="5814"/>
      <c r="E24" s="5814"/>
      <c r="F24" s="5814"/>
      <c r="G24" s="5814"/>
      <c r="H24" s="5814"/>
      <c r="I24" s="5815"/>
    </row>
    <row r="25" spans="1:9" ht="16" thickBot="1">
      <c r="A25" s="224"/>
      <c r="B25" s="469"/>
      <c r="C25" s="469"/>
      <c r="D25" s="469"/>
      <c r="E25" s="469"/>
      <c r="F25" s="469"/>
      <c r="G25" s="469"/>
      <c r="H25" s="469"/>
      <c r="I25" s="470"/>
    </row>
    <row r="26" spans="1:9" ht="16" thickBot="1"/>
    <row r="27" spans="1:9" ht="19.5" customHeight="1" thickBot="1">
      <c r="A27" s="5627" t="s">
        <v>803</v>
      </c>
      <c r="B27" s="5628"/>
      <c r="C27" s="5628"/>
      <c r="D27" s="5628"/>
      <c r="E27" s="5628"/>
      <c r="F27" s="5628"/>
      <c r="G27" s="5628"/>
      <c r="H27" s="5628"/>
      <c r="I27" s="5629"/>
    </row>
    <row r="28" spans="1:9" ht="25.5" customHeight="1" thickBot="1">
      <c r="A28" s="5816"/>
      <c r="B28" s="5817"/>
      <c r="C28" s="5817"/>
      <c r="D28" s="5817"/>
      <c r="E28" s="5817"/>
      <c r="F28" s="5817"/>
      <c r="G28" s="5818"/>
      <c r="H28" s="5762" t="s">
        <v>2525</v>
      </c>
      <c r="I28" s="5763"/>
    </row>
    <row r="29" spans="1:9">
      <c r="A29" s="5819" t="s">
        <v>804</v>
      </c>
      <c r="B29" s="5820"/>
      <c r="C29" s="5820"/>
      <c r="D29" s="5820"/>
      <c r="E29" s="5820"/>
      <c r="F29" s="5820"/>
      <c r="G29" s="5820"/>
      <c r="H29" s="5820"/>
      <c r="I29" s="5821"/>
    </row>
    <row r="30" spans="1:9">
      <c r="A30" s="5774" t="s">
        <v>805</v>
      </c>
      <c r="B30" s="5775"/>
      <c r="C30" s="5775"/>
      <c r="D30" s="5775"/>
      <c r="E30" s="5775"/>
      <c r="F30" s="5775"/>
      <c r="G30" s="5775"/>
      <c r="H30" s="5775"/>
      <c r="I30" s="5776"/>
    </row>
    <row r="31" spans="1:9" ht="75" customHeight="1">
      <c r="A31" s="2889" t="s">
        <v>806</v>
      </c>
      <c r="B31" s="5775"/>
      <c r="C31" s="5775"/>
      <c r="D31" s="5775"/>
      <c r="E31" s="5775"/>
      <c r="F31" s="5775"/>
      <c r="G31" s="5775"/>
      <c r="H31" s="5775"/>
      <c r="I31" s="5776"/>
    </row>
    <row r="32" spans="1:9" ht="75" customHeight="1">
      <c r="A32" s="2889" t="s">
        <v>807</v>
      </c>
      <c r="B32" s="5775"/>
      <c r="C32" s="5775"/>
      <c r="D32" s="5775"/>
      <c r="E32" s="5775"/>
      <c r="F32" s="5775"/>
      <c r="G32" s="5775"/>
      <c r="H32" s="5775"/>
      <c r="I32" s="5776"/>
    </row>
    <row r="33" spans="1:9">
      <c r="A33" s="5819" t="s">
        <v>808</v>
      </c>
      <c r="B33" s="5820"/>
      <c r="C33" s="5820"/>
      <c r="D33" s="5820"/>
      <c r="E33" s="5820"/>
      <c r="F33" s="5820"/>
      <c r="G33" s="5820"/>
      <c r="H33" s="5820"/>
      <c r="I33" s="5821"/>
    </row>
    <row r="34" spans="1:9" ht="60" customHeight="1">
      <c r="A34" s="5774" t="s">
        <v>809</v>
      </c>
      <c r="B34" s="5775"/>
      <c r="C34" s="5775"/>
      <c r="D34" s="5775"/>
      <c r="E34" s="5775"/>
      <c r="F34" s="5775"/>
      <c r="G34" s="5775"/>
      <c r="H34" s="5775"/>
      <c r="I34" s="5776"/>
    </row>
    <row r="35" spans="1:9" ht="29.25" customHeight="1">
      <c r="A35" s="5777" t="s">
        <v>810</v>
      </c>
      <c r="B35" s="5778"/>
      <c r="C35" s="5778"/>
      <c r="D35" s="5778"/>
      <c r="E35" s="5778"/>
      <c r="F35" s="5778"/>
      <c r="G35" s="5778"/>
      <c r="H35" s="5778"/>
      <c r="I35" s="5779"/>
    </row>
    <row r="36" spans="1:9">
      <c r="A36" s="5801" t="s">
        <v>811</v>
      </c>
      <c r="B36" s="5778"/>
      <c r="C36" s="5778"/>
      <c r="D36" s="5778"/>
      <c r="E36" s="5778"/>
      <c r="F36" s="5778"/>
      <c r="G36" s="5778"/>
      <c r="H36" s="5778"/>
      <c r="I36" s="5779"/>
    </row>
    <row r="37" spans="1:9" ht="30" customHeight="1">
      <c r="A37" s="5801" t="s">
        <v>812</v>
      </c>
      <c r="B37" s="5778"/>
      <c r="C37" s="5778"/>
      <c r="D37" s="5778"/>
      <c r="E37" s="5778"/>
      <c r="F37" s="5778"/>
      <c r="G37" s="5778"/>
      <c r="H37" s="5778"/>
      <c r="I37" s="5779"/>
    </row>
    <row r="38" spans="1:9">
      <c r="A38" s="5801" t="s">
        <v>813</v>
      </c>
      <c r="B38" s="5778"/>
      <c r="C38" s="5778"/>
      <c r="D38" s="5778"/>
      <c r="E38" s="5778"/>
      <c r="F38" s="5778"/>
      <c r="G38" s="5778"/>
      <c r="H38" s="5778"/>
      <c r="I38" s="5779"/>
    </row>
    <row r="39" spans="1:9" ht="30" customHeight="1">
      <c r="A39" s="5777" t="s">
        <v>814</v>
      </c>
      <c r="B39" s="5778"/>
      <c r="C39" s="5778"/>
      <c r="D39" s="5778"/>
      <c r="E39" s="5778"/>
      <c r="F39" s="5778"/>
      <c r="G39" s="5778"/>
      <c r="H39" s="5778"/>
      <c r="I39" s="5779"/>
    </row>
    <row r="40" spans="1:9" ht="60" customHeight="1">
      <c r="A40" s="5812" t="s">
        <v>815</v>
      </c>
      <c r="B40" s="5781"/>
      <c r="C40" s="5781"/>
      <c r="D40" s="5781"/>
      <c r="E40" s="5781"/>
      <c r="F40" s="5781"/>
      <c r="G40" s="5781"/>
      <c r="H40" s="5781"/>
      <c r="I40" s="5782"/>
    </row>
    <row r="41" spans="1:9" ht="30" customHeight="1">
      <c r="A41" s="5780" t="s">
        <v>816</v>
      </c>
      <c r="B41" s="5781"/>
      <c r="C41" s="5781"/>
      <c r="D41" s="5781"/>
      <c r="E41" s="5781"/>
      <c r="F41" s="5781"/>
      <c r="G41" s="5781"/>
      <c r="H41" s="5781"/>
      <c r="I41" s="5782"/>
    </row>
    <row r="42" spans="1:9" ht="90" customHeight="1">
      <c r="A42" s="5812" t="s">
        <v>817</v>
      </c>
      <c r="B42" s="5781"/>
      <c r="C42" s="5781"/>
      <c r="D42" s="5781"/>
      <c r="E42" s="5781"/>
      <c r="F42" s="5781"/>
      <c r="G42" s="5781"/>
      <c r="H42" s="5781"/>
      <c r="I42" s="5782"/>
    </row>
    <row r="43" spans="1:9">
      <c r="A43" s="471"/>
      <c r="B43" s="472"/>
      <c r="C43" s="472"/>
      <c r="D43" s="472"/>
      <c r="E43" s="472"/>
      <c r="F43" s="472"/>
      <c r="G43" s="472"/>
      <c r="H43" s="472"/>
      <c r="I43" s="473"/>
    </row>
    <row r="44" spans="1:9">
      <c r="A44" s="471"/>
      <c r="B44" s="5802" t="s">
        <v>818</v>
      </c>
      <c r="C44" s="5803"/>
      <c r="D44" s="5803"/>
      <c r="E44" s="5803"/>
      <c r="F44" s="5803"/>
      <c r="G44" s="5804"/>
      <c r="H44" s="472"/>
      <c r="I44" s="473"/>
    </row>
    <row r="45" spans="1:9" ht="15" customHeight="1">
      <c r="A45" s="471"/>
      <c r="B45" s="474" t="s">
        <v>819</v>
      </c>
      <c r="C45" s="475" t="s">
        <v>820</v>
      </c>
      <c r="D45" s="5772" t="s">
        <v>821</v>
      </c>
      <c r="E45" s="5772"/>
      <c r="F45" s="5772"/>
      <c r="G45" s="5808"/>
      <c r="H45" s="472"/>
      <c r="I45" s="473"/>
    </row>
    <row r="46" spans="1:9">
      <c r="A46" s="471"/>
      <c r="B46" s="5807" t="s">
        <v>822</v>
      </c>
      <c r="C46" s="5772"/>
      <c r="D46" s="5772"/>
      <c r="E46" s="5772"/>
      <c r="F46" s="5772"/>
      <c r="G46" s="5808"/>
      <c r="H46" s="472"/>
      <c r="I46" s="473"/>
    </row>
    <row r="47" spans="1:9" ht="15" customHeight="1">
      <c r="A47" s="471"/>
      <c r="B47" s="474" t="s">
        <v>819</v>
      </c>
      <c r="C47" s="475" t="s">
        <v>820</v>
      </c>
      <c r="D47" s="5772" t="s">
        <v>823</v>
      </c>
      <c r="E47" s="5772"/>
      <c r="F47" s="5772"/>
      <c r="G47" s="5808"/>
      <c r="H47" s="472"/>
      <c r="I47" s="473"/>
    </row>
    <row r="48" spans="1:9" ht="15" customHeight="1">
      <c r="A48" s="471"/>
      <c r="B48" s="474" t="s">
        <v>824</v>
      </c>
      <c r="C48" s="475" t="s">
        <v>820</v>
      </c>
      <c r="D48" s="5772" t="s">
        <v>825</v>
      </c>
      <c r="E48" s="5772"/>
      <c r="F48" s="5772"/>
      <c r="G48" s="5808"/>
      <c r="H48" s="472"/>
      <c r="I48" s="473"/>
    </row>
    <row r="49" spans="1:9" ht="16">
      <c r="A49" s="471"/>
      <c r="B49" s="476" t="s">
        <v>826</v>
      </c>
      <c r="C49" s="477" t="s">
        <v>820</v>
      </c>
      <c r="D49" s="5799" t="s">
        <v>827</v>
      </c>
      <c r="E49" s="5799"/>
      <c r="F49" s="5799"/>
      <c r="G49" s="5800"/>
      <c r="H49" s="472"/>
      <c r="I49" s="473"/>
    </row>
    <row r="50" spans="1:9">
      <c r="A50" s="478"/>
      <c r="B50" s="479"/>
      <c r="C50" s="479"/>
      <c r="D50" s="479"/>
      <c r="E50" s="479"/>
      <c r="F50" s="479"/>
      <c r="G50" s="479"/>
      <c r="H50" s="479"/>
      <c r="I50" s="480"/>
    </row>
    <row r="51" spans="1:9">
      <c r="A51" s="471"/>
      <c r="B51" s="5802" t="s">
        <v>828</v>
      </c>
      <c r="C51" s="5803"/>
      <c r="D51" s="5803"/>
      <c r="E51" s="5803"/>
      <c r="F51" s="5803"/>
      <c r="G51" s="5804"/>
      <c r="H51" s="472"/>
      <c r="I51" s="473"/>
    </row>
    <row r="52" spans="1:9" ht="15" customHeight="1">
      <c r="A52" s="471"/>
      <c r="B52" s="474" t="s">
        <v>819</v>
      </c>
      <c r="C52" s="475" t="s">
        <v>820</v>
      </c>
      <c r="D52" s="5772" t="s">
        <v>829</v>
      </c>
      <c r="E52" s="5772"/>
      <c r="F52" s="5772"/>
      <c r="G52" s="5808"/>
      <c r="H52" s="472"/>
      <c r="I52" s="473"/>
    </row>
    <row r="53" spans="1:9">
      <c r="A53" s="471"/>
      <c r="B53" s="5807" t="s">
        <v>822</v>
      </c>
      <c r="C53" s="5772"/>
      <c r="D53" s="5772"/>
      <c r="E53" s="5772"/>
      <c r="F53" s="5772"/>
      <c r="G53" s="5808"/>
      <c r="H53" s="472"/>
      <c r="I53" s="473"/>
    </row>
    <row r="54" spans="1:9" ht="15" customHeight="1">
      <c r="A54" s="471"/>
      <c r="B54" s="474" t="s">
        <v>819</v>
      </c>
      <c r="C54" s="475" t="s">
        <v>820</v>
      </c>
      <c r="D54" s="5772" t="s">
        <v>830</v>
      </c>
      <c r="E54" s="5772"/>
      <c r="F54" s="5772"/>
      <c r="G54" s="5808"/>
      <c r="H54" s="472"/>
      <c r="I54" s="473"/>
    </row>
    <row r="55" spans="1:9" ht="15" customHeight="1">
      <c r="A55" s="471"/>
      <c r="B55" s="474" t="s">
        <v>824</v>
      </c>
      <c r="C55" s="475" t="s">
        <v>820</v>
      </c>
      <c r="D55" s="5772" t="s">
        <v>831</v>
      </c>
      <c r="E55" s="5772"/>
      <c r="F55" s="5772"/>
      <c r="G55" s="5808"/>
      <c r="H55" s="472"/>
      <c r="I55" s="473"/>
    </row>
    <row r="56" spans="1:9" ht="16">
      <c r="A56" s="471"/>
      <c r="B56" s="476" t="s">
        <v>826</v>
      </c>
      <c r="C56" s="477" t="s">
        <v>820</v>
      </c>
      <c r="D56" s="5799" t="s">
        <v>827</v>
      </c>
      <c r="E56" s="5799"/>
      <c r="F56" s="5799"/>
      <c r="G56" s="5800"/>
      <c r="H56" s="472"/>
      <c r="I56" s="473"/>
    </row>
    <row r="57" spans="1:9">
      <c r="A57" s="478"/>
      <c r="B57" s="479"/>
      <c r="C57" s="479"/>
      <c r="D57" s="479"/>
      <c r="E57" s="479"/>
      <c r="F57" s="479"/>
      <c r="G57" s="479"/>
      <c r="H57" s="479"/>
      <c r="I57" s="480"/>
    </row>
    <row r="58" spans="1:9" ht="30" customHeight="1">
      <c r="A58" s="478"/>
      <c r="B58" s="5809" t="s">
        <v>832</v>
      </c>
      <c r="C58" s="5809"/>
      <c r="D58" s="5809"/>
      <c r="E58" s="5809"/>
      <c r="F58" s="5809"/>
      <c r="G58" s="5809"/>
      <c r="H58" s="479"/>
      <c r="I58" s="480"/>
    </row>
    <row r="59" spans="1:9" ht="16">
      <c r="A59" s="218"/>
      <c r="B59" s="481" t="s">
        <v>833</v>
      </c>
      <c r="C59" s="5810" t="s">
        <v>834</v>
      </c>
      <c r="D59" s="5810"/>
      <c r="E59" s="5810"/>
      <c r="F59" s="5810"/>
      <c r="G59" s="5811"/>
      <c r="H59" s="479"/>
      <c r="I59" s="480"/>
    </row>
    <row r="60" spans="1:9" ht="18">
      <c r="A60" s="218"/>
      <c r="B60" s="482" t="s">
        <v>835</v>
      </c>
      <c r="C60" s="483" t="s">
        <v>836</v>
      </c>
      <c r="D60" s="483" t="s">
        <v>837</v>
      </c>
      <c r="E60" s="483" t="s">
        <v>838</v>
      </c>
      <c r="F60" s="483" t="s">
        <v>839</v>
      </c>
      <c r="G60" s="484" t="s">
        <v>840</v>
      </c>
      <c r="H60" s="485"/>
      <c r="I60" s="486"/>
    </row>
    <row r="61" spans="1:9" ht="16">
      <c r="A61" s="478"/>
      <c r="B61" s="487" t="s">
        <v>841</v>
      </c>
      <c r="C61" s="488">
        <v>30</v>
      </c>
      <c r="D61" s="488">
        <v>45</v>
      </c>
      <c r="E61" s="488">
        <v>60</v>
      </c>
      <c r="F61" s="488">
        <v>75</v>
      </c>
      <c r="G61" s="489">
        <v>90</v>
      </c>
      <c r="H61" s="479"/>
      <c r="I61" s="480"/>
    </row>
    <row r="62" spans="1:9" ht="16">
      <c r="A62" s="478"/>
      <c r="B62" s="487" t="s">
        <v>842</v>
      </c>
      <c r="C62" s="488">
        <v>45</v>
      </c>
      <c r="D62" s="488">
        <v>60</v>
      </c>
      <c r="E62" s="488">
        <v>75</v>
      </c>
      <c r="F62" s="488">
        <v>90</v>
      </c>
      <c r="G62" s="489">
        <v>105</v>
      </c>
      <c r="H62" s="479"/>
      <c r="I62" s="480"/>
    </row>
    <row r="63" spans="1:9" ht="16">
      <c r="A63" s="478"/>
      <c r="B63" s="487" t="s">
        <v>843</v>
      </c>
      <c r="C63" s="488">
        <v>60</v>
      </c>
      <c r="D63" s="488">
        <v>75</v>
      </c>
      <c r="E63" s="488">
        <v>90</v>
      </c>
      <c r="F63" s="488">
        <v>15</v>
      </c>
      <c r="G63" s="489">
        <v>120</v>
      </c>
      <c r="H63" s="479"/>
      <c r="I63" s="480"/>
    </row>
    <row r="64" spans="1:9" ht="16">
      <c r="A64" s="478"/>
      <c r="B64" s="487" t="s">
        <v>844</v>
      </c>
      <c r="C64" s="488">
        <v>75</v>
      </c>
      <c r="D64" s="488">
        <v>90</v>
      </c>
      <c r="E64" s="488">
        <v>105</v>
      </c>
      <c r="F64" s="488">
        <v>120</v>
      </c>
      <c r="G64" s="489">
        <v>135</v>
      </c>
      <c r="H64" s="479"/>
      <c r="I64" s="480"/>
    </row>
    <row r="65" spans="1:9" ht="16">
      <c r="A65" s="478"/>
      <c r="B65" s="487" t="s">
        <v>845</v>
      </c>
      <c r="C65" s="488">
        <v>90</v>
      </c>
      <c r="D65" s="488">
        <v>105</v>
      </c>
      <c r="E65" s="488">
        <v>120</v>
      </c>
      <c r="F65" s="488">
        <v>135</v>
      </c>
      <c r="G65" s="489">
        <v>150</v>
      </c>
      <c r="H65" s="479"/>
      <c r="I65" s="480"/>
    </row>
    <row r="66" spans="1:9" ht="16">
      <c r="A66" s="478"/>
      <c r="B66" s="490" t="s">
        <v>846</v>
      </c>
      <c r="C66" s="491">
        <v>105</v>
      </c>
      <c r="D66" s="491">
        <v>120</v>
      </c>
      <c r="E66" s="491">
        <v>135</v>
      </c>
      <c r="F66" s="491">
        <v>150</v>
      </c>
      <c r="G66" s="492">
        <v>165</v>
      </c>
      <c r="H66" s="479"/>
      <c r="I66" s="480"/>
    </row>
    <row r="67" spans="1:9">
      <c r="A67" s="478"/>
      <c r="B67" s="479"/>
      <c r="C67" s="479"/>
      <c r="D67" s="479"/>
      <c r="E67" s="479"/>
      <c r="F67" s="479"/>
      <c r="G67" s="479"/>
      <c r="H67" s="479"/>
      <c r="I67" s="480"/>
    </row>
    <row r="68" spans="1:9" ht="30" customHeight="1">
      <c r="A68" s="478"/>
      <c r="B68" s="5809" t="s">
        <v>847</v>
      </c>
      <c r="C68" s="5809"/>
      <c r="D68" s="5809"/>
      <c r="E68" s="5809"/>
      <c r="F68" s="5809"/>
      <c r="G68" s="5809"/>
      <c r="H68" s="479"/>
      <c r="I68" s="480"/>
    </row>
    <row r="69" spans="1:9" ht="16">
      <c r="A69" s="218"/>
      <c r="B69" s="481" t="s">
        <v>833</v>
      </c>
      <c r="C69" s="5810" t="s">
        <v>834</v>
      </c>
      <c r="D69" s="5810"/>
      <c r="E69" s="5810"/>
      <c r="F69" s="5810"/>
      <c r="G69" s="5811"/>
      <c r="H69" s="479"/>
      <c r="I69" s="480"/>
    </row>
    <row r="70" spans="1:9" ht="18">
      <c r="A70" s="218"/>
      <c r="B70" s="482" t="s">
        <v>848</v>
      </c>
      <c r="C70" s="483" t="s">
        <v>836</v>
      </c>
      <c r="D70" s="483" t="s">
        <v>837</v>
      </c>
      <c r="E70" s="483" t="s">
        <v>838</v>
      </c>
      <c r="F70" s="483" t="s">
        <v>839</v>
      </c>
      <c r="G70" s="484" t="s">
        <v>840</v>
      </c>
      <c r="H70" s="485"/>
      <c r="I70" s="486"/>
    </row>
    <row r="71" spans="1:9" ht="16">
      <c r="A71" s="478"/>
      <c r="B71" s="487" t="s">
        <v>849</v>
      </c>
      <c r="C71" s="488">
        <v>14</v>
      </c>
      <c r="D71" s="488">
        <v>21</v>
      </c>
      <c r="E71" s="488">
        <v>28</v>
      </c>
      <c r="F71" s="488">
        <v>35</v>
      </c>
      <c r="G71" s="489">
        <v>42</v>
      </c>
      <c r="H71" s="479"/>
      <c r="I71" s="480"/>
    </row>
    <row r="72" spans="1:9" ht="16">
      <c r="A72" s="478"/>
      <c r="B72" s="487" t="s">
        <v>850</v>
      </c>
      <c r="C72" s="488">
        <v>21</v>
      </c>
      <c r="D72" s="488">
        <v>28</v>
      </c>
      <c r="E72" s="488">
        <v>35</v>
      </c>
      <c r="F72" s="488">
        <v>42</v>
      </c>
      <c r="G72" s="489">
        <v>50</v>
      </c>
      <c r="H72" s="479"/>
      <c r="I72" s="480"/>
    </row>
    <row r="73" spans="1:9" ht="16">
      <c r="A73" s="478"/>
      <c r="B73" s="487" t="s">
        <v>851</v>
      </c>
      <c r="C73" s="488">
        <v>28</v>
      </c>
      <c r="D73" s="488">
        <v>35</v>
      </c>
      <c r="E73" s="488">
        <v>42</v>
      </c>
      <c r="F73" s="488">
        <v>50</v>
      </c>
      <c r="G73" s="489">
        <v>57</v>
      </c>
      <c r="H73" s="479"/>
      <c r="I73" s="480"/>
    </row>
    <row r="74" spans="1:9" ht="16">
      <c r="A74" s="478"/>
      <c r="B74" s="487" t="s">
        <v>852</v>
      </c>
      <c r="C74" s="488">
        <v>35</v>
      </c>
      <c r="D74" s="488">
        <v>42</v>
      </c>
      <c r="E74" s="488">
        <v>50</v>
      </c>
      <c r="F74" s="488">
        <v>57</v>
      </c>
      <c r="G74" s="489">
        <v>64</v>
      </c>
      <c r="H74" s="479"/>
      <c r="I74" s="480"/>
    </row>
    <row r="75" spans="1:9" ht="16">
      <c r="A75" s="478"/>
      <c r="B75" s="487" t="s">
        <v>853</v>
      </c>
      <c r="C75" s="488">
        <v>42</v>
      </c>
      <c r="D75" s="488">
        <v>50</v>
      </c>
      <c r="E75" s="488">
        <v>57</v>
      </c>
      <c r="F75" s="488">
        <v>64</v>
      </c>
      <c r="G75" s="489">
        <v>71</v>
      </c>
      <c r="H75" s="479"/>
      <c r="I75" s="480"/>
    </row>
    <row r="76" spans="1:9" ht="16">
      <c r="A76" s="478"/>
      <c r="B76" s="490" t="s">
        <v>854</v>
      </c>
      <c r="C76" s="491">
        <v>50</v>
      </c>
      <c r="D76" s="491">
        <v>57</v>
      </c>
      <c r="E76" s="491">
        <v>64</v>
      </c>
      <c r="F76" s="491">
        <v>71</v>
      </c>
      <c r="G76" s="492">
        <v>78</v>
      </c>
      <c r="H76" s="479"/>
      <c r="I76" s="480"/>
    </row>
    <row r="77" spans="1:9">
      <c r="A77" s="478"/>
      <c r="B77" s="479"/>
      <c r="C77" s="479"/>
      <c r="D77" s="479"/>
      <c r="E77" s="479"/>
      <c r="F77" s="479"/>
      <c r="G77" s="479"/>
      <c r="H77" s="479"/>
      <c r="I77" s="480"/>
    </row>
    <row r="78" spans="1:9" ht="90" customHeight="1">
      <c r="A78" s="2889" t="s">
        <v>855</v>
      </c>
      <c r="B78" s="5775"/>
      <c r="C78" s="5775"/>
      <c r="D78" s="5775"/>
      <c r="E78" s="5775"/>
      <c r="F78" s="5775"/>
      <c r="G78" s="5775"/>
      <c r="H78" s="5775"/>
      <c r="I78" s="5776"/>
    </row>
    <row r="79" spans="1:9" ht="75.75" customHeight="1">
      <c r="A79" s="2889" t="s">
        <v>856</v>
      </c>
      <c r="B79" s="5775"/>
      <c r="C79" s="5775"/>
      <c r="D79" s="5775"/>
      <c r="E79" s="5775"/>
      <c r="F79" s="5775"/>
      <c r="G79" s="5775"/>
      <c r="H79" s="5775"/>
      <c r="I79" s="5776"/>
    </row>
    <row r="80" spans="1:9" ht="60" customHeight="1">
      <c r="A80" s="5801" t="s">
        <v>857</v>
      </c>
      <c r="B80" s="5778"/>
      <c r="C80" s="5778"/>
      <c r="D80" s="5778"/>
      <c r="E80" s="5778"/>
      <c r="F80" s="5778"/>
      <c r="G80" s="5778"/>
      <c r="H80" s="5778"/>
      <c r="I80" s="5779"/>
    </row>
    <row r="81" spans="1:9" ht="30" customHeight="1">
      <c r="A81" s="5774" t="s">
        <v>858</v>
      </c>
      <c r="B81" s="5775"/>
      <c r="C81" s="5775"/>
      <c r="D81" s="5775"/>
      <c r="E81" s="5775"/>
      <c r="F81" s="5775"/>
      <c r="G81" s="5775"/>
      <c r="H81" s="5775"/>
      <c r="I81" s="5776"/>
    </row>
    <row r="82" spans="1:9" ht="30" customHeight="1">
      <c r="A82" s="5801" t="s">
        <v>859</v>
      </c>
      <c r="B82" s="5778"/>
      <c r="C82" s="5778"/>
      <c r="D82" s="5778"/>
      <c r="E82" s="5778"/>
      <c r="F82" s="5778"/>
      <c r="G82" s="5778"/>
      <c r="H82" s="5778"/>
      <c r="I82" s="5779"/>
    </row>
    <row r="83" spans="1:9">
      <c r="A83" s="5771"/>
      <c r="B83" s="5772"/>
      <c r="C83" s="5772"/>
      <c r="D83" s="5772"/>
      <c r="E83" s="5772"/>
      <c r="F83" s="5772"/>
      <c r="G83" s="5772"/>
      <c r="H83" s="5772"/>
      <c r="I83" s="5773"/>
    </row>
    <row r="84" spans="1:9">
      <c r="A84" s="471"/>
      <c r="B84" s="5802" t="s">
        <v>860</v>
      </c>
      <c r="C84" s="5803"/>
      <c r="D84" s="5803"/>
      <c r="E84" s="5803"/>
      <c r="F84" s="5803"/>
      <c r="G84" s="5804"/>
      <c r="H84" s="472"/>
      <c r="I84" s="473"/>
    </row>
    <row r="85" spans="1:9" ht="15" customHeight="1">
      <c r="A85" s="471"/>
      <c r="B85" s="474" t="s">
        <v>819</v>
      </c>
      <c r="C85" s="475" t="s">
        <v>820</v>
      </c>
      <c r="D85" s="5805" t="s">
        <v>861</v>
      </c>
      <c r="E85" s="5805"/>
      <c r="F85" s="5805"/>
      <c r="G85" s="5806"/>
      <c r="H85" s="472"/>
      <c r="I85" s="473"/>
    </row>
    <row r="86" spans="1:9">
      <c r="A86" s="471"/>
      <c r="B86" s="5807" t="s">
        <v>822</v>
      </c>
      <c r="C86" s="5772"/>
      <c r="D86" s="5772"/>
      <c r="E86" s="5772"/>
      <c r="F86" s="5772"/>
      <c r="G86" s="5808"/>
      <c r="H86" s="472"/>
      <c r="I86" s="473"/>
    </row>
    <row r="87" spans="1:9" ht="15" customHeight="1">
      <c r="A87" s="471"/>
      <c r="B87" s="474" t="s">
        <v>862</v>
      </c>
      <c r="C87" s="475" t="s">
        <v>820</v>
      </c>
      <c r="D87" s="5772" t="s">
        <v>863</v>
      </c>
      <c r="E87" s="5772"/>
      <c r="F87" s="5772"/>
      <c r="G87" s="5808"/>
      <c r="H87" s="472"/>
      <c r="I87" s="473"/>
    </row>
    <row r="88" spans="1:9" ht="15" customHeight="1">
      <c r="A88" s="471"/>
      <c r="B88" s="474" t="s">
        <v>864</v>
      </c>
      <c r="C88" s="475" t="s">
        <v>820</v>
      </c>
      <c r="D88" s="5772" t="s">
        <v>865</v>
      </c>
      <c r="E88" s="5772"/>
      <c r="F88" s="5772"/>
      <c r="G88" s="5808"/>
      <c r="H88" s="472"/>
      <c r="I88" s="473"/>
    </row>
    <row r="89" spans="1:9" ht="16">
      <c r="A89" s="471"/>
      <c r="B89" s="474" t="s">
        <v>866</v>
      </c>
      <c r="C89" s="475" t="s">
        <v>820</v>
      </c>
      <c r="D89" s="5772" t="s">
        <v>867</v>
      </c>
      <c r="E89" s="5772"/>
      <c r="F89" s="5772"/>
      <c r="G89" s="5808"/>
      <c r="H89" s="472"/>
      <c r="I89" s="473"/>
    </row>
    <row r="90" spans="1:9" ht="16">
      <c r="A90" s="471"/>
      <c r="B90" s="474" t="s">
        <v>868</v>
      </c>
      <c r="C90" s="493" t="s">
        <v>820</v>
      </c>
      <c r="D90" s="5772" t="s">
        <v>869</v>
      </c>
      <c r="E90" s="5772"/>
      <c r="F90" s="5772"/>
      <c r="G90" s="5808"/>
      <c r="H90" s="472"/>
      <c r="I90" s="473"/>
    </row>
    <row r="91" spans="1:9" ht="45" customHeight="1">
      <c r="A91" s="471"/>
      <c r="B91" s="5798" t="s">
        <v>870</v>
      </c>
      <c r="C91" s="5799"/>
      <c r="D91" s="5799"/>
      <c r="E91" s="5799"/>
      <c r="F91" s="5799"/>
      <c r="G91" s="5800"/>
      <c r="H91" s="472"/>
      <c r="I91" s="473"/>
    </row>
    <row r="92" spans="1:9">
      <c r="A92" s="5771"/>
      <c r="B92" s="5772"/>
      <c r="C92" s="5772"/>
      <c r="D92" s="5772"/>
      <c r="E92" s="5772"/>
      <c r="F92" s="5772"/>
      <c r="G92" s="5772"/>
      <c r="H92" s="5772"/>
      <c r="I92" s="5773"/>
    </row>
    <row r="93" spans="1:9" ht="30" customHeight="1">
      <c r="A93" s="471"/>
      <c r="B93" s="5794" t="s">
        <v>871</v>
      </c>
      <c r="C93" s="5794"/>
      <c r="D93" s="5794"/>
      <c r="E93" s="5794"/>
      <c r="F93" s="5794"/>
      <c r="G93" s="5794"/>
      <c r="H93" s="472"/>
      <c r="I93" s="473"/>
    </row>
    <row r="94" spans="1:9">
      <c r="A94" s="471"/>
      <c r="B94" s="5795" t="s">
        <v>872</v>
      </c>
      <c r="C94" s="5796"/>
      <c r="D94" s="5796"/>
      <c r="E94" s="5796" t="s">
        <v>873</v>
      </c>
      <c r="F94" s="5796"/>
      <c r="G94" s="5797"/>
      <c r="H94" s="472"/>
      <c r="I94" s="473"/>
    </row>
    <row r="95" spans="1:9">
      <c r="A95" s="471"/>
      <c r="B95" s="5789" t="s">
        <v>874</v>
      </c>
      <c r="C95" s="5786"/>
      <c r="D95" s="5786"/>
      <c r="E95" s="5787">
        <v>0.33</v>
      </c>
      <c r="F95" s="5787"/>
      <c r="G95" s="5788"/>
      <c r="H95" s="472"/>
      <c r="I95" s="473"/>
    </row>
    <row r="96" spans="1:9">
      <c r="A96" s="471"/>
      <c r="B96" s="5785" t="s">
        <v>875</v>
      </c>
      <c r="C96" s="5786"/>
      <c r="D96" s="5786"/>
      <c r="E96" s="5787">
        <v>0.5</v>
      </c>
      <c r="F96" s="5787"/>
      <c r="G96" s="5788"/>
      <c r="H96" s="472"/>
      <c r="I96" s="473"/>
    </row>
    <row r="97" spans="1:10">
      <c r="A97" s="471"/>
      <c r="B97" s="5789" t="s">
        <v>876</v>
      </c>
      <c r="C97" s="5786"/>
      <c r="D97" s="5786"/>
      <c r="E97" s="5787">
        <v>0.75</v>
      </c>
      <c r="F97" s="5787"/>
      <c r="G97" s="5788"/>
      <c r="H97" s="472"/>
      <c r="I97" s="473"/>
    </row>
    <row r="98" spans="1:10">
      <c r="A98" s="471"/>
      <c r="B98" s="5790" t="s">
        <v>877</v>
      </c>
      <c r="C98" s="5791"/>
      <c r="D98" s="5791"/>
      <c r="E98" s="5792">
        <v>1</v>
      </c>
      <c r="F98" s="5792"/>
      <c r="G98" s="5793"/>
      <c r="H98" s="472"/>
      <c r="I98" s="473"/>
    </row>
    <row r="99" spans="1:10">
      <c r="A99" s="5771"/>
      <c r="B99" s="5772"/>
      <c r="C99" s="5772"/>
      <c r="D99" s="5772"/>
      <c r="E99" s="5772"/>
      <c r="F99" s="5772"/>
      <c r="G99" s="5772"/>
      <c r="H99" s="5772"/>
      <c r="I99" s="5773"/>
    </row>
    <row r="100" spans="1:10">
      <c r="A100" s="5774" t="s">
        <v>878</v>
      </c>
      <c r="B100" s="5775"/>
      <c r="C100" s="5775"/>
      <c r="D100" s="5775"/>
      <c r="E100" s="5775"/>
      <c r="F100" s="5775"/>
      <c r="G100" s="5775"/>
      <c r="H100" s="5775"/>
      <c r="I100" s="5776"/>
    </row>
    <row r="101" spans="1:10" ht="59.25" customHeight="1">
      <c r="A101" s="5777" t="s">
        <v>879</v>
      </c>
      <c r="B101" s="5778"/>
      <c r="C101" s="5778"/>
      <c r="D101" s="5778"/>
      <c r="E101" s="5778"/>
      <c r="F101" s="5778"/>
      <c r="G101" s="5778"/>
      <c r="H101" s="5778"/>
      <c r="I101" s="5779"/>
    </row>
    <row r="102" spans="1:10" ht="34.5" customHeight="1">
      <c r="A102" s="5777" t="s">
        <v>880</v>
      </c>
      <c r="B102" s="5778"/>
      <c r="C102" s="5778"/>
      <c r="D102" s="5778"/>
      <c r="E102" s="5778"/>
      <c r="F102" s="5778"/>
      <c r="G102" s="5778"/>
      <c r="H102" s="5778"/>
      <c r="I102" s="5779"/>
    </row>
    <row r="103" spans="1:10" ht="30" customHeight="1">
      <c r="A103" s="5780" t="s">
        <v>881</v>
      </c>
      <c r="B103" s="5781"/>
      <c r="C103" s="5781"/>
      <c r="D103" s="5781"/>
      <c r="E103" s="5781"/>
      <c r="F103" s="5781"/>
      <c r="G103" s="5781"/>
      <c r="H103" s="5781"/>
      <c r="I103" s="5782"/>
    </row>
    <row r="104" spans="1:10" ht="45" customHeight="1">
      <c r="A104" s="5783" t="s">
        <v>882</v>
      </c>
      <c r="B104" s="4241"/>
      <c r="C104" s="4241"/>
      <c r="D104" s="4241"/>
      <c r="E104" s="4241"/>
      <c r="F104" s="4241"/>
      <c r="G104" s="4241"/>
      <c r="H104" s="4241"/>
      <c r="I104" s="5784"/>
    </row>
    <row r="105" spans="1:10" ht="16" thickBot="1">
      <c r="A105" s="5768"/>
      <c r="B105" s="5769"/>
      <c r="C105" s="5769"/>
      <c r="D105" s="5769"/>
      <c r="E105" s="5769"/>
      <c r="F105" s="5769"/>
      <c r="G105" s="5769"/>
      <c r="H105" s="5769"/>
      <c r="I105" s="5770"/>
    </row>
    <row r="106" spans="1:10" ht="16" thickBot="1"/>
    <row r="107" spans="1:10" ht="19.5" customHeight="1" thickBot="1">
      <c r="A107" s="4745" t="s">
        <v>1512</v>
      </c>
      <c r="B107" s="4745"/>
      <c r="C107" s="4745"/>
      <c r="D107" s="4745"/>
      <c r="E107" s="4745"/>
      <c r="F107" s="4745"/>
      <c r="G107" s="4745"/>
      <c r="H107" s="4745"/>
      <c r="I107" s="4745"/>
    </row>
    <row r="108" spans="1:10" ht="20" customHeight="1" thickBot="1">
      <c r="A108" s="1722" t="s">
        <v>2521</v>
      </c>
      <c r="B108" s="5762" t="s">
        <v>2531</v>
      </c>
      <c r="C108" s="5763"/>
      <c r="D108" s="5764" t="s">
        <v>2530</v>
      </c>
      <c r="E108" s="5765"/>
      <c r="F108" s="5764" t="s">
        <v>2529</v>
      </c>
      <c r="G108" s="5765"/>
      <c r="H108" s="5764" t="s">
        <v>2528</v>
      </c>
      <c r="I108" s="5765"/>
    </row>
    <row r="109" spans="1:10" ht="20" customHeight="1" thickBot="1">
      <c r="A109" s="1736" t="s">
        <v>2527</v>
      </c>
      <c r="B109" s="5766" t="s">
        <v>2526</v>
      </c>
      <c r="C109" s="5767"/>
      <c r="D109" s="1718"/>
      <c r="E109" s="1718"/>
      <c r="F109" s="1718"/>
      <c r="G109" s="1718"/>
      <c r="H109" s="979"/>
      <c r="I109" s="1731"/>
    </row>
    <row r="110" spans="1:10" ht="17" thickBot="1">
      <c r="A110" s="1714"/>
      <c r="B110" s="5716" t="s">
        <v>1532</v>
      </c>
      <c r="C110" s="5717"/>
      <c r="D110" s="5717"/>
      <c r="E110" s="5717"/>
      <c r="F110" s="5717"/>
      <c r="G110" s="5717"/>
      <c r="H110" s="5717"/>
      <c r="I110" s="1719"/>
    </row>
    <row r="111" spans="1:10" s="497" customFormat="1" ht="17" thickBot="1">
      <c r="A111" s="1732"/>
      <c r="B111" s="976" t="s">
        <v>1513</v>
      </c>
      <c r="C111" s="5729" t="s">
        <v>1514</v>
      </c>
      <c r="D111" s="5730"/>
      <c r="E111" s="5730"/>
      <c r="F111" s="5730"/>
      <c r="G111" s="5730"/>
      <c r="H111" s="5731"/>
      <c r="I111" s="1733"/>
      <c r="J111" s="462"/>
    </row>
    <row r="112" spans="1:10" ht="17" thickBot="1">
      <c r="A112" s="1714"/>
      <c r="B112" s="977" t="s">
        <v>1515</v>
      </c>
      <c r="C112" s="5732" t="s">
        <v>1516</v>
      </c>
      <c r="D112" s="5733"/>
      <c r="E112" s="5733"/>
      <c r="F112" s="5733"/>
      <c r="G112" s="5733"/>
      <c r="H112" s="5734"/>
      <c r="I112" s="1719"/>
    </row>
    <row r="113" spans="1:9" ht="17" thickBot="1">
      <c r="A113" s="1714"/>
      <c r="B113" s="978" t="s">
        <v>1517</v>
      </c>
      <c r="C113" s="5742" t="s">
        <v>1518</v>
      </c>
      <c r="D113" s="5743"/>
      <c r="E113" s="5743"/>
      <c r="F113" s="5743"/>
      <c r="G113" s="5743"/>
      <c r="H113" s="5744"/>
      <c r="I113" s="1719"/>
    </row>
    <row r="114" spans="1:9">
      <c r="A114" s="1714"/>
      <c r="B114" s="5724" t="s">
        <v>1519</v>
      </c>
      <c r="C114" s="5745" t="s">
        <v>1520</v>
      </c>
      <c r="D114" s="5746"/>
      <c r="E114" s="5746"/>
      <c r="F114" s="5746"/>
      <c r="G114" s="5746"/>
      <c r="H114" s="5747"/>
      <c r="I114" s="1719"/>
    </row>
    <row r="115" spans="1:9" ht="16" thickBot="1">
      <c r="A115" s="1714"/>
      <c r="B115" s="5726"/>
      <c r="C115" s="5737" t="s">
        <v>1521</v>
      </c>
      <c r="D115" s="5738"/>
      <c r="E115" s="5738"/>
      <c r="F115" s="5738"/>
      <c r="G115" s="5738"/>
      <c r="H115" s="5739"/>
      <c r="I115" s="1719"/>
    </row>
    <row r="116" spans="1:9">
      <c r="A116" s="1714"/>
      <c r="B116" s="5727" t="s">
        <v>1522</v>
      </c>
      <c r="C116" s="5748" t="s">
        <v>1520</v>
      </c>
      <c r="D116" s="5749"/>
      <c r="E116" s="5749"/>
      <c r="F116" s="5749"/>
      <c r="G116" s="5749"/>
      <c r="H116" s="5750"/>
      <c r="I116" s="1719"/>
    </row>
    <row r="117" spans="1:9" ht="16" thickBot="1">
      <c r="A117" s="1714"/>
      <c r="B117" s="5728"/>
      <c r="C117" s="5751" t="s">
        <v>1523</v>
      </c>
      <c r="D117" s="5752"/>
      <c r="E117" s="5752"/>
      <c r="F117" s="5752"/>
      <c r="G117" s="5752"/>
      <c r="H117" s="5753"/>
      <c r="I117" s="1719"/>
    </row>
    <row r="118" spans="1:9">
      <c r="A118" s="1714"/>
      <c r="B118" s="5724" t="s">
        <v>1524</v>
      </c>
      <c r="C118" s="5745" t="s">
        <v>1520</v>
      </c>
      <c r="D118" s="5746"/>
      <c r="E118" s="5746"/>
      <c r="F118" s="5746"/>
      <c r="G118" s="5746"/>
      <c r="H118" s="5747"/>
      <c r="I118" s="1719"/>
    </row>
    <row r="119" spans="1:9">
      <c r="A119" s="1714"/>
      <c r="B119" s="5725"/>
      <c r="C119" s="5735" t="s">
        <v>1523</v>
      </c>
      <c r="D119" s="5714"/>
      <c r="E119" s="5714"/>
      <c r="F119" s="5714"/>
      <c r="G119" s="5714"/>
      <c r="H119" s="5736"/>
      <c r="I119" s="1719"/>
    </row>
    <row r="120" spans="1:9">
      <c r="A120" s="1714"/>
      <c r="B120" s="5725"/>
      <c r="C120" s="5735" t="s">
        <v>1525</v>
      </c>
      <c r="D120" s="5714"/>
      <c r="E120" s="5714"/>
      <c r="F120" s="5714"/>
      <c r="G120" s="5714"/>
      <c r="H120" s="5736"/>
      <c r="I120" s="1719"/>
    </row>
    <row r="121" spans="1:9" ht="16" thickBot="1">
      <c r="A121" s="1714"/>
      <c r="B121" s="5726"/>
      <c r="C121" s="5737" t="s">
        <v>1526</v>
      </c>
      <c r="D121" s="5738"/>
      <c r="E121" s="5738"/>
      <c r="F121" s="5738"/>
      <c r="G121" s="5738"/>
      <c r="H121" s="5739"/>
      <c r="I121" s="1719"/>
    </row>
    <row r="122" spans="1:9">
      <c r="A122" s="1714"/>
      <c r="B122" s="5727" t="s">
        <v>1527</v>
      </c>
      <c r="C122" s="5748" t="s">
        <v>1528</v>
      </c>
      <c r="D122" s="5749"/>
      <c r="E122" s="5749"/>
      <c r="F122" s="5749"/>
      <c r="G122" s="5749"/>
      <c r="H122" s="5750"/>
      <c r="I122" s="1719"/>
    </row>
    <row r="123" spans="1:9">
      <c r="A123" s="1714"/>
      <c r="B123" s="5754"/>
      <c r="C123" s="5755" t="s">
        <v>1529</v>
      </c>
      <c r="D123" s="5756"/>
      <c r="E123" s="5756"/>
      <c r="F123" s="5756"/>
      <c r="G123" s="5756"/>
      <c r="H123" s="5757"/>
      <c r="I123" s="1719"/>
    </row>
    <row r="124" spans="1:9">
      <c r="A124" s="1714"/>
      <c r="B124" s="5754"/>
      <c r="C124" s="5755" t="s">
        <v>1518</v>
      </c>
      <c r="D124" s="5756"/>
      <c r="E124" s="5756"/>
      <c r="F124" s="5756"/>
      <c r="G124" s="5756"/>
      <c r="H124" s="5757"/>
      <c r="I124" s="1719"/>
    </row>
    <row r="125" spans="1:9">
      <c r="A125" s="1714"/>
      <c r="B125" s="5754"/>
      <c r="C125" s="5755" t="s">
        <v>1521</v>
      </c>
      <c r="D125" s="5756"/>
      <c r="E125" s="5756"/>
      <c r="F125" s="5756"/>
      <c r="G125" s="5756"/>
      <c r="H125" s="5757"/>
      <c r="I125" s="1719"/>
    </row>
    <row r="126" spans="1:9" ht="16" thickBot="1">
      <c r="A126" s="1714"/>
      <c r="B126" s="5728"/>
      <c r="C126" s="5751" t="s">
        <v>1530</v>
      </c>
      <c r="D126" s="5752"/>
      <c r="E126" s="5752"/>
      <c r="F126" s="5752"/>
      <c r="G126" s="5752"/>
      <c r="H126" s="5753"/>
      <c r="I126" s="1719"/>
    </row>
    <row r="127" spans="1:9">
      <c r="A127" s="1714"/>
      <c r="B127" s="5725" t="s">
        <v>1531</v>
      </c>
      <c r="C127" s="5758" t="s">
        <v>1528</v>
      </c>
      <c r="D127" s="5759"/>
      <c r="E127" s="5759"/>
      <c r="F127" s="5759"/>
      <c r="G127" s="5759"/>
      <c r="H127" s="5760"/>
      <c r="I127" s="1719"/>
    </row>
    <row r="128" spans="1:9" ht="16" thickBot="1">
      <c r="A128" s="1714"/>
      <c r="B128" s="5726"/>
      <c r="C128" s="5737" t="s">
        <v>1529</v>
      </c>
      <c r="D128" s="5738"/>
      <c r="E128" s="5738"/>
      <c r="F128" s="5738"/>
      <c r="G128" s="5738"/>
      <c r="H128" s="5739"/>
      <c r="I128" s="1719"/>
    </row>
    <row r="129" spans="1:9">
      <c r="A129" s="1714"/>
      <c r="B129" s="1716"/>
      <c r="C129" s="1716"/>
      <c r="D129" s="1716"/>
      <c r="E129" s="1716"/>
      <c r="F129" s="1716"/>
      <c r="G129" s="1716"/>
      <c r="H129" s="1716"/>
      <c r="I129" s="1719"/>
    </row>
    <row r="130" spans="1:9" ht="17" thickBot="1">
      <c r="A130" s="1714"/>
      <c r="B130" s="5718" t="s">
        <v>1533</v>
      </c>
      <c r="C130" s="5718"/>
      <c r="D130" s="5718"/>
      <c r="E130" s="5718"/>
      <c r="F130" s="5718"/>
      <c r="G130" s="5718"/>
      <c r="H130" s="5718"/>
      <c r="I130" s="1719"/>
    </row>
    <row r="131" spans="1:9">
      <c r="A131" s="1714"/>
      <c r="B131" s="5719" t="s">
        <v>1534</v>
      </c>
      <c r="C131" s="5720"/>
      <c r="D131" s="5720"/>
      <c r="E131" s="5720" t="s">
        <v>1535</v>
      </c>
      <c r="F131" s="5720"/>
      <c r="G131" s="5720"/>
      <c r="H131" s="5721"/>
      <c r="I131" s="1719"/>
    </row>
    <row r="132" spans="1:9" ht="75" customHeight="1">
      <c r="A132" s="1714"/>
      <c r="B132" s="5722" t="s">
        <v>1516</v>
      </c>
      <c r="C132" s="5723"/>
      <c r="D132" s="5723"/>
      <c r="E132" s="5723" t="s">
        <v>1536</v>
      </c>
      <c r="F132" s="5723"/>
      <c r="G132" s="5723"/>
      <c r="H132" s="5761"/>
      <c r="I132" s="1719"/>
    </row>
    <row r="133" spans="1:9" ht="90" customHeight="1">
      <c r="A133" s="1714"/>
      <c r="B133" s="5722" t="s">
        <v>1518</v>
      </c>
      <c r="C133" s="5723"/>
      <c r="D133" s="5723"/>
      <c r="E133" s="5735" t="s">
        <v>1537</v>
      </c>
      <c r="F133" s="5714"/>
      <c r="G133" s="5714"/>
      <c r="H133" s="5736"/>
      <c r="I133" s="1719"/>
    </row>
    <row r="134" spans="1:9" ht="76.5" customHeight="1">
      <c r="A134" s="1714"/>
      <c r="B134" s="5713" t="s">
        <v>1520</v>
      </c>
      <c r="C134" s="5714"/>
      <c r="D134" s="5715"/>
      <c r="E134" s="5735" t="s">
        <v>1538</v>
      </c>
      <c r="F134" s="5714"/>
      <c r="G134" s="5714"/>
      <c r="H134" s="5736"/>
      <c r="I134" s="1719"/>
    </row>
    <row r="135" spans="1:9" ht="75" customHeight="1">
      <c r="A135" s="1714"/>
      <c r="B135" s="5713" t="s">
        <v>1521</v>
      </c>
      <c r="C135" s="5714"/>
      <c r="D135" s="5715"/>
      <c r="E135" s="5735" t="s">
        <v>1539</v>
      </c>
      <c r="F135" s="5714"/>
      <c r="G135" s="5714"/>
      <c r="H135" s="5736"/>
      <c r="I135" s="1719"/>
    </row>
    <row r="136" spans="1:9" ht="75" customHeight="1">
      <c r="A136" s="1714"/>
      <c r="B136" s="5713" t="s">
        <v>1523</v>
      </c>
      <c r="C136" s="5714"/>
      <c r="D136" s="5715"/>
      <c r="E136" s="5735" t="s">
        <v>1540</v>
      </c>
      <c r="F136" s="5714"/>
      <c r="G136" s="5714"/>
      <c r="H136" s="5736"/>
      <c r="I136" s="1719"/>
    </row>
    <row r="137" spans="1:9" ht="90" customHeight="1">
      <c r="A137" s="1714"/>
      <c r="B137" s="5713" t="s">
        <v>1525</v>
      </c>
      <c r="C137" s="5714"/>
      <c r="D137" s="5715"/>
      <c r="E137" s="5735" t="s">
        <v>1541</v>
      </c>
      <c r="F137" s="5714"/>
      <c r="G137" s="5714"/>
      <c r="H137" s="5736"/>
      <c r="I137" s="1719"/>
    </row>
    <row r="138" spans="1:9" ht="75" customHeight="1" thickBot="1">
      <c r="A138" s="1714"/>
      <c r="B138" s="5740" t="s">
        <v>1526</v>
      </c>
      <c r="C138" s="5738"/>
      <c r="D138" s="5741"/>
      <c r="E138" s="5737" t="s">
        <v>1542</v>
      </c>
      <c r="F138" s="5738"/>
      <c r="G138" s="5738"/>
      <c r="H138" s="5739"/>
      <c r="I138" s="1719"/>
    </row>
    <row r="139" spans="1:9" ht="16" thickBot="1">
      <c r="A139" s="1720"/>
      <c r="B139" s="1717"/>
      <c r="C139" s="1717"/>
      <c r="D139" s="1717"/>
      <c r="E139" s="1717"/>
      <c r="F139" s="1717"/>
      <c r="G139" s="1717"/>
      <c r="H139" s="1717"/>
      <c r="I139" s="1721"/>
    </row>
  </sheetData>
  <sheetProtection password="CA4F" sheet="1" objects="1" scenarios="1" formatRows="0" selectLockedCells="1"/>
  <mergeCells count="136">
    <mergeCell ref="A2:B2"/>
    <mergeCell ref="A1:B1"/>
    <mergeCell ref="C2:D2"/>
    <mergeCell ref="E2:I2"/>
    <mergeCell ref="A6:I6"/>
    <mergeCell ref="A3:I3"/>
    <mergeCell ref="A4:G4"/>
    <mergeCell ref="H4:I4"/>
    <mergeCell ref="A5:I5"/>
    <mergeCell ref="C1:D1"/>
    <mergeCell ref="A23:I23"/>
    <mergeCell ref="A7:I7"/>
    <mergeCell ref="A8:I8"/>
    <mergeCell ref="A9:I9"/>
    <mergeCell ref="A10:I10"/>
    <mergeCell ref="A11:I11"/>
    <mergeCell ref="A12:I12"/>
    <mergeCell ref="B13:I13"/>
    <mergeCell ref="B14:E14"/>
    <mergeCell ref="F14:I14"/>
    <mergeCell ref="B16:I16"/>
    <mergeCell ref="A22:I22"/>
    <mergeCell ref="A36:I36"/>
    <mergeCell ref="A24:I24"/>
    <mergeCell ref="A27:I27"/>
    <mergeCell ref="A28:G28"/>
    <mergeCell ref="H28:I28"/>
    <mergeCell ref="A29:I29"/>
    <mergeCell ref="A30:I30"/>
    <mergeCell ref="A31:I31"/>
    <mergeCell ref="A32:I32"/>
    <mergeCell ref="A33:I33"/>
    <mergeCell ref="A34:I34"/>
    <mergeCell ref="A35:I35"/>
    <mergeCell ref="D49:G49"/>
    <mergeCell ref="A37:I37"/>
    <mergeCell ref="A38:I38"/>
    <mergeCell ref="A39:I39"/>
    <mergeCell ref="A40:I40"/>
    <mergeCell ref="A41:I41"/>
    <mergeCell ref="A42:I42"/>
    <mergeCell ref="B44:G44"/>
    <mergeCell ref="D45:G45"/>
    <mergeCell ref="B46:G46"/>
    <mergeCell ref="D47:G47"/>
    <mergeCell ref="D48:G48"/>
    <mergeCell ref="A79:I79"/>
    <mergeCell ref="B51:G51"/>
    <mergeCell ref="D52:G52"/>
    <mergeCell ref="B53:G53"/>
    <mergeCell ref="D54:G54"/>
    <mergeCell ref="D55:G55"/>
    <mergeCell ref="D56:G56"/>
    <mergeCell ref="B58:G58"/>
    <mergeCell ref="C59:G59"/>
    <mergeCell ref="B68:G68"/>
    <mergeCell ref="C69:G69"/>
    <mergeCell ref="A78:I78"/>
    <mergeCell ref="B91:G91"/>
    <mergeCell ref="A80:I80"/>
    <mergeCell ref="A81:I81"/>
    <mergeCell ref="A82:I82"/>
    <mergeCell ref="A83:I83"/>
    <mergeCell ref="B84:G84"/>
    <mergeCell ref="D85:G85"/>
    <mergeCell ref="B86:G86"/>
    <mergeCell ref="D87:G87"/>
    <mergeCell ref="D88:G88"/>
    <mergeCell ref="D89:G89"/>
    <mergeCell ref="D90:G90"/>
    <mergeCell ref="B96:D96"/>
    <mergeCell ref="E96:G96"/>
    <mergeCell ref="B97:D97"/>
    <mergeCell ref="E97:G97"/>
    <mergeCell ref="B98:D98"/>
    <mergeCell ref="E98:G98"/>
    <mergeCell ref="A92:I92"/>
    <mergeCell ref="B93:G93"/>
    <mergeCell ref="B94:D94"/>
    <mergeCell ref="E94:G94"/>
    <mergeCell ref="B95:D95"/>
    <mergeCell ref="E95:G95"/>
    <mergeCell ref="A107:I107"/>
    <mergeCell ref="B108:C108"/>
    <mergeCell ref="F108:G108"/>
    <mergeCell ref="D108:E108"/>
    <mergeCell ref="H108:I108"/>
    <mergeCell ref="B109:C109"/>
    <mergeCell ref="A105:I105"/>
    <mergeCell ref="A99:I99"/>
    <mergeCell ref="A100:I100"/>
    <mergeCell ref="A101:I101"/>
    <mergeCell ref="A102:I102"/>
    <mergeCell ref="A103:I103"/>
    <mergeCell ref="A104:I104"/>
    <mergeCell ref="E137:H137"/>
    <mergeCell ref="E138:H138"/>
    <mergeCell ref="B137:D137"/>
    <mergeCell ref="B138:D138"/>
    <mergeCell ref="B133:D133"/>
    <mergeCell ref="C113:H113"/>
    <mergeCell ref="C114:H114"/>
    <mergeCell ref="C115:H115"/>
    <mergeCell ref="C116:H116"/>
    <mergeCell ref="C117:H117"/>
    <mergeCell ref="C118:H118"/>
    <mergeCell ref="C119:H119"/>
    <mergeCell ref="C120:H120"/>
    <mergeCell ref="C121:H121"/>
    <mergeCell ref="B127:B128"/>
    <mergeCell ref="B122:B126"/>
    <mergeCell ref="C122:H122"/>
    <mergeCell ref="C123:H123"/>
    <mergeCell ref="C124:H124"/>
    <mergeCell ref="C125:H125"/>
    <mergeCell ref="C126:H126"/>
    <mergeCell ref="C127:H127"/>
    <mergeCell ref="C128:H128"/>
    <mergeCell ref="E132:H132"/>
    <mergeCell ref="B134:D134"/>
    <mergeCell ref="B135:D135"/>
    <mergeCell ref="B136:D136"/>
    <mergeCell ref="B110:H110"/>
    <mergeCell ref="B130:H130"/>
    <mergeCell ref="B131:D131"/>
    <mergeCell ref="E131:H131"/>
    <mergeCell ref="B132:D132"/>
    <mergeCell ref="B118:B121"/>
    <mergeCell ref="B116:B117"/>
    <mergeCell ref="B114:B115"/>
    <mergeCell ref="C111:H111"/>
    <mergeCell ref="C112:H112"/>
    <mergeCell ref="E133:H133"/>
    <mergeCell ref="E134:H134"/>
    <mergeCell ref="E135:H135"/>
    <mergeCell ref="E136:H136"/>
  </mergeCells>
  <hyperlinks>
    <hyperlink ref="H4" location="pn901_3_c" display="See Practice 901.3(1)(c)" xr:uid="{00000000-0004-0000-1000-000000000000}"/>
    <hyperlink ref="H28" location="pn902_2" display="See Practice 902.2" xr:uid="{00000000-0004-0000-1000-000001000000}"/>
    <hyperlink ref="A108" location="link901.5" display="See Practice 901.5-901.11" xr:uid="{00000000-0004-0000-1000-000002000000}"/>
    <hyperlink ref="H4:I4" location="link901.3" display="See Practice 901.3(1)(c)" xr:uid="{00000000-0004-0000-1000-000003000000}"/>
    <hyperlink ref="B108" location="pn901_3_c" display="See Practice 901.3(1)(c)" xr:uid="{00000000-0004-0000-1000-000004000000}"/>
    <hyperlink ref="B108:C108" location="link901.6" display="See Practice 901.6" xr:uid="{00000000-0004-0000-1000-000005000000}"/>
    <hyperlink ref="H28:I28" location="link902.2.1" display="See Practice 902.2.1" xr:uid="{00000000-0004-0000-1000-000006000000}"/>
    <hyperlink ref="B109" location="link901.11" display="See Practice 901.11" xr:uid="{00000000-0004-0000-1000-000007000000}"/>
    <hyperlink ref="A109" location="link901.10" display="See Practice 901.10" xr:uid="{00000000-0004-0000-1000-000008000000}"/>
    <hyperlink ref="H108" location="link901.9.3" display="See Practice 901.9.3" xr:uid="{00000000-0004-0000-1000-000009000000}"/>
    <hyperlink ref="F108" location="link901.8" display="See Practice 901.8" xr:uid="{00000000-0004-0000-1000-00000A000000}"/>
    <hyperlink ref="D108" location="link901.7" display="See Practice 901.7" xr:uid="{00000000-0004-0000-1000-00000B000000}"/>
  </hyperlinks>
  <pageMargins left="0.7" right="0.7" top="0.75" bottom="0.75" header="0.3" footer="0.3"/>
  <pageSetup scale="58" fitToHeight="0" orientation="portrait" r:id="rId1"/>
  <headerFooter>
    <oddFooter xml:space="preserve">&amp;C© 2013 Home Innovation Research Labs.  Practices of ICC700-2012 © 2013 National Association of Home Builders- used by permission.   Home Innovation authorizes use by those persons participating in the Home Innovation’s Green Building Certification.&amp;R
</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H95"/>
  <sheetViews>
    <sheetView workbookViewId="0">
      <selection activeCell="C3" sqref="C3"/>
    </sheetView>
  </sheetViews>
  <sheetFormatPr baseColWidth="10" defaultColWidth="8.83203125" defaultRowHeight="15"/>
  <cols>
    <col min="1" max="1" width="10.6640625" bestFit="1" customWidth="1"/>
    <col min="2" max="2" width="11.5" bestFit="1" customWidth="1"/>
    <col min="3" max="3" width="142.5" customWidth="1"/>
  </cols>
  <sheetData>
    <row r="1" spans="1:3" ht="19">
      <c r="A1" s="5839" t="s">
        <v>883</v>
      </c>
      <c r="B1" s="5839"/>
      <c r="C1" s="5839"/>
    </row>
    <row r="2" spans="1:3">
      <c r="A2" s="2817" t="s">
        <v>884</v>
      </c>
      <c r="B2" s="2860" t="s">
        <v>169</v>
      </c>
      <c r="C2" s="2817" t="s">
        <v>885</v>
      </c>
    </row>
    <row r="3" spans="1:3" s="2869" customFormat="1">
      <c r="A3" s="2867">
        <v>44064</v>
      </c>
      <c r="B3" s="2866">
        <v>2.5299999999999998</v>
      </c>
      <c r="C3" s="2865" t="s">
        <v>3138</v>
      </c>
    </row>
    <row r="4" spans="1:3" s="2864" customFormat="1">
      <c r="A4" s="2867">
        <v>43846</v>
      </c>
      <c r="B4" s="2866">
        <v>2.52</v>
      </c>
      <c r="C4" s="2865" t="s">
        <v>3135</v>
      </c>
    </row>
    <row r="5" spans="1:3" s="2849" customFormat="1">
      <c r="A5" s="2867">
        <v>43840</v>
      </c>
      <c r="B5" s="2866">
        <v>2.5099999999999998</v>
      </c>
      <c r="C5" s="2865" t="s">
        <v>3133</v>
      </c>
    </row>
    <row r="6" spans="1:3" s="2844" customFormat="1">
      <c r="A6" s="2821">
        <v>43823</v>
      </c>
      <c r="B6" s="2863" t="s">
        <v>3131</v>
      </c>
      <c r="C6" s="2861" t="s">
        <v>3132</v>
      </c>
    </row>
    <row r="7" spans="1:3" s="2841" customFormat="1">
      <c r="A7" s="2821">
        <v>43329</v>
      </c>
      <c r="B7" s="2859">
        <v>2.4900000000000002</v>
      </c>
      <c r="C7" s="2862" t="s">
        <v>3127</v>
      </c>
    </row>
    <row r="8" spans="1:3" s="2840" customFormat="1">
      <c r="A8" s="2821">
        <v>43307</v>
      </c>
      <c r="B8" s="2859">
        <v>2.48</v>
      </c>
      <c r="C8" s="2862" t="s">
        <v>3126</v>
      </c>
    </row>
    <row r="9" spans="1:3" s="2814" customFormat="1">
      <c r="A9" s="2821">
        <v>43252</v>
      </c>
      <c r="B9" s="2828">
        <v>2.4700000000000002</v>
      </c>
      <c r="C9" s="32" t="s">
        <v>3124</v>
      </c>
    </row>
    <row r="10" spans="1:3" s="2833" customFormat="1">
      <c r="A10" s="2821">
        <v>43235</v>
      </c>
      <c r="B10" s="2828">
        <v>2.46</v>
      </c>
      <c r="C10" s="32" t="s">
        <v>3123</v>
      </c>
    </row>
    <row r="11" spans="1:3" s="2832" customFormat="1">
      <c r="A11" s="2821">
        <v>43220</v>
      </c>
      <c r="B11" s="2828">
        <v>2.4500000000000002</v>
      </c>
      <c r="C11" s="32" t="s">
        <v>3120</v>
      </c>
    </row>
    <row r="12" spans="1:3" s="2816" customFormat="1">
      <c r="A12" s="2821">
        <v>43150</v>
      </c>
      <c r="B12" s="2828">
        <v>2.44</v>
      </c>
      <c r="C12" s="32" t="s">
        <v>3119</v>
      </c>
    </row>
    <row r="13" spans="1:3" s="32" customFormat="1">
      <c r="A13" s="2821">
        <v>42832</v>
      </c>
      <c r="B13" s="2828">
        <v>2.4300000000000002</v>
      </c>
      <c r="C13" s="32" t="s">
        <v>3118</v>
      </c>
    </row>
    <row r="14" spans="1:3">
      <c r="A14" s="2822">
        <v>42508</v>
      </c>
      <c r="B14" s="2823">
        <v>2.42</v>
      </c>
      <c r="C14" s="2707" t="s">
        <v>3115</v>
      </c>
    </row>
    <row r="15" spans="1:3" s="2813" customFormat="1">
      <c r="A15" s="2822">
        <v>42241</v>
      </c>
      <c r="B15" s="2823">
        <v>2.41</v>
      </c>
      <c r="C15" s="2813" t="s">
        <v>3110</v>
      </c>
    </row>
    <row r="16" spans="1:3" s="2812" customFormat="1">
      <c r="A16" s="2822">
        <v>42186</v>
      </c>
      <c r="B16" s="2823">
        <v>2.4</v>
      </c>
      <c r="C16" s="2812" t="s">
        <v>3080</v>
      </c>
    </row>
    <row r="17" spans="1:8" s="2749" customFormat="1">
      <c r="A17" s="2822">
        <v>42125</v>
      </c>
      <c r="B17" s="2824">
        <v>2.39</v>
      </c>
      <c r="C17" s="2749" t="s">
        <v>3055</v>
      </c>
      <c r="H17" s="2750"/>
    </row>
    <row r="18" spans="1:8" s="2711" customFormat="1">
      <c r="A18" s="2822">
        <v>42055</v>
      </c>
      <c r="B18" s="2824">
        <v>2.38</v>
      </c>
      <c r="C18" s="2711" t="s">
        <v>3042</v>
      </c>
    </row>
    <row r="19" spans="1:8" s="2709" customFormat="1">
      <c r="A19" s="2822">
        <v>41992</v>
      </c>
      <c r="B19" s="2824">
        <v>2.37</v>
      </c>
      <c r="C19" s="2709" t="s">
        <v>3041</v>
      </c>
    </row>
    <row r="20" spans="1:8" s="2708" customFormat="1">
      <c r="A20" s="2822">
        <v>41960</v>
      </c>
      <c r="B20" s="2824">
        <v>2.36</v>
      </c>
      <c r="C20" s="2708" t="s">
        <v>3040</v>
      </c>
    </row>
    <row r="21" spans="1:8" s="2707" customFormat="1">
      <c r="A21" s="2822">
        <v>41871</v>
      </c>
      <c r="B21" s="2824">
        <v>2.35</v>
      </c>
      <c r="C21" s="2707" t="s">
        <v>3038</v>
      </c>
    </row>
    <row r="22" spans="1:8">
      <c r="A22" s="2822">
        <v>41845</v>
      </c>
      <c r="B22" s="2824">
        <v>2.34</v>
      </c>
      <c r="C22" s="2707" t="s">
        <v>3036</v>
      </c>
    </row>
    <row r="23" spans="1:8">
      <c r="A23" s="2822">
        <v>41814</v>
      </c>
      <c r="B23" s="2824">
        <v>2.33</v>
      </c>
      <c r="C23" s="2707" t="s">
        <v>3035</v>
      </c>
    </row>
    <row r="24" spans="1:8">
      <c r="A24" s="2822">
        <v>41761</v>
      </c>
      <c r="B24" s="2824">
        <v>2.3199999999999998</v>
      </c>
      <c r="C24" s="2707" t="s">
        <v>3034</v>
      </c>
    </row>
    <row r="25" spans="1:8">
      <c r="A25" s="2822">
        <v>41684</v>
      </c>
      <c r="B25" s="2824">
        <v>2.31</v>
      </c>
      <c r="C25" s="2707" t="s">
        <v>3033</v>
      </c>
    </row>
    <row r="26" spans="1:8">
      <c r="A26" s="2825">
        <v>41654</v>
      </c>
      <c r="B26" s="2824">
        <v>2.2999999999999998</v>
      </c>
      <c r="C26" s="2707" t="s">
        <v>3024</v>
      </c>
    </row>
    <row r="27" spans="1:8">
      <c r="A27" s="2822">
        <v>41561</v>
      </c>
      <c r="B27" s="2824">
        <v>2.29</v>
      </c>
      <c r="C27" s="2707" t="s">
        <v>3022</v>
      </c>
    </row>
    <row r="28" spans="1:8">
      <c r="A28" s="2822">
        <v>41555</v>
      </c>
      <c r="B28" s="2824">
        <v>2.2799999999999998</v>
      </c>
      <c r="C28" s="2707" t="s">
        <v>3021</v>
      </c>
    </row>
    <row r="29" spans="1:8">
      <c r="A29" s="2822">
        <v>41550</v>
      </c>
      <c r="B29" s="2824">
        <v>2.27</v>
      </c>
      <c r="C29" s="2707" t="s">
        <v>3020</v>
      </c>
    </row>
    <row r="30" spans="1:8">
      <c r="A30" s="2822">
        <v>41547</v>
      </c>
      <c r="B30" s="2824">
        <v>2.2599999999999998</v>
      </c>
      <c r="C30" s="2707" t="s">
        <v>3017</v>
      </c>
    </row>
    <row r="31" spans="1:8">
      <c r="A31" s="2826">
        <v>41540</v>
      </c>
      <c r="B31" s="2824">
        <v>2.25</v>
      </c>
      <c r="C31" s="2707" t="s">
        <v>3016</v>
      </c>
    </row>
    <row r="32" spans="1:8">
      <c r="A32" s="2822">
        <v>41516</v>
      </c>
      <c r="B32" s="2824">
        <v>2.2400000000000002</v>
      </c>
      <c r="C32" s="2707" t="s">
        <v>3013</v>
      </c>
    </row>
    <row r="33" spans="1:3">
      <c r="A33" s="2822">
        <v>41508</v>
      </c>
      <c r="B33" s="2824">
        <v>2.23</v>
      </c>
      <c r="C33" s="2707" t="s">
        <v>3012</v>
      </c>
    </row>
    <row r="34" spans="1:3">
      <c r="A34" s="2822">
        <v>41507</v>
      </c>
      <c r="B34" s="2824">
        <v>2.2200000000000002</v>
      </c>
      <c r="C34" s="2707" t="s">
        <v>3011</v>
      </c>
    </row>
    <row r="35" spans="1:3">
      <c r="A35" s="2822">
        <v>41499</v>
      </c>
      <c r="B35" s="2824">
        <v>2.21</v>
      </c>
      <c r="C35" s="2707" t="s">
        <v>3010</v>
      </c>
    </row>
    <row r="36" spans="1:3">
      <c r="A36" s="2826">
        <v>41470</v>
      </c>
      <c r="B36" s="2824">
        <v>2.2000000000000002</v>
      </c>
      <c r="C36" s="2707" t="s">
        <v>2999</v>
      </c>
    </row>
    <row r="37" spans="1:3">
      <c r="A37" s="2826">
        <v>41429</v>
      </c>
      <c r="B37" s="2824">
        <v>2.19</v>
      </c>
      <c r="C37" s="2707" t="s">
        <v>2990</v>
      </c>
    </row>
    <row r="38" spans="1:3">
      <c r="A38" s="2826">
        <v>41423</v>
      </c>
      <c r="B38" s="2824">
        <v>2.1800000000000002</v>
      </c>
      <c r="C38" s="2707" t="s">
        <v>2979</v>
      </c>
    </row>
    <row r="39" spans="1:3">
      <c r="A39" s="2826">
        <v>41409</v>
      </c>
      <c r="B39" s="2824">
        <v>2.17</v>
      </c>
      <c r="C39" s="2707" t="s">
        <v>2970</v>
      </c>
    </row>
    <row r="40" spans="1:3">
      <c r="A40" s="2826">
        <v>41401</v>
      </c>
      <c r="B40" s="2824">
        <v>2.16</v>
      </c>
      <c r="C40" s="2707" t="s">
        <v>3007</v>
      </c>
    </row>
    <row r="41" spans="1:3">
      <c r="A41" s="2826">
        <v>41401</v>
      </c>
      <c r="B41" s="2824">
        <v>2.15</v>
      </c>
      <c r="C41" s="2707" t="s">
        <v>2969</v>
      </c>
    </row>
    <row r="42" spans="1:3">
      <c r="A42" s="2826">
        <v>41400</v>
      </c>
      <c r="B42" s="2824">
        <v>2.14</v>
      </c>
      <c r="C42" s="2707" t="s">
        <v>2966</v>
      </c>
    </row>
    <row r="43" spans="1:3">
      <c r="A43" s="2826">
        <v>41387</v>
      </c>
      <c r="B43" s="2824">
        <v>2.13</v>
      </c>
      <c r="C43" s="2707" t="s">
        <v>2965</v>
      </c>
    </row>
    <row r="44" spans="1:3">
      <c r="A44" s="2826">
        <v>41386</v>
      </c>
      <c r="B44" s="2824">
        <v>2.12</v>
      </c>
      <c r="C44" s="2707" t="s">
        <v>2967</v>
      </c>
    </row>
    <row r="45" spans="1:3">
      <c r="A45" s="2826">
        <v>41373</v>
      </c>
      <c r="B45" s="2824">
        <v>2.11</v>
      </c>
      <c r="C45" s="2707" t="s">
        <v>2962</v>
      </c>
    </row>
    <row r="46" spans="1:3">
      <c r="A46" s="2826">
        <v>41353</v>
      </c>
      <c r="B46" s="2824">
        <v>2.1</v>
      </c>
      <c r="C46" s="2707" t="s">
        <v>2961</v>
      </c>
    </row>
    <row r="47" spans="1:3">
      <c r="A47" s="2822">
        <v>41348</v>
      </c>
      <c r="B47" s="2824">
        <v>2.09</v>
      </c>
      <c r="C47" s="2707" t="s">
        <v>2956</v>
      </c>
    </row>
    <row r="48" spans="1:3">
      <c r="A48" s="2826">
        <v>41346</v>
      </c>
      <c r="B48" s="2824">
        <v>2.08</v>
      </c>
      <c r="C48" s="2707" t="s">
        <v>2941</v>
      </c>
    </row>
    <row r="49" spans="1:3">
      <c r="A49" s="2822">
        <v>41345</v>
      </c>
      <c r="B49" s="2824">
        <v>2.0699999999999998</v>
      </c>
      <c r="C49" s="2707" t="s">
        <v>2886</v>
      </c>
    </row>
    <row r="50" spans="1:3">
      <c r="A50" s="2822">
        <v>41339</v>
      </c>
      <c r="B50" s="2824">
        <v>2.06</v>
      </c>
      <c r="C50" s="2707" t="s">
        <v>2885</v>
      </c>
    </row>
    <row r="51" spans="1:3">
      <c r="A51" s="2826">
        <v>41326</v>
      </c>
      <c r="B51" s="2824">
        <v>2.0499999999999998</v>
      </c>
      <c r="C51" s="2707" t="s">
        <v>2883</v>
      </c>
    </row>
    <row r="52" spans="1:3">
      <c r="A52" s="2822">
        <v>41325</v>
      </c>
      <c r="B52" s="2829" t="s">
        <v>2878</v>
      </c>
      <c r="C52" s="2707" t="s">
        <v>2879</v>
      </c>
    </row>
    <row r="53" spans="1:3">
      <c r="A53" s="2822">
        <v>41325</v>
      </c>
      <c r="B53" s="2828">
        <v>2.04</v>
      </c>
      <c r="C53" s="2818" t="s">
        <v>2876</v>
      </c>
    </row>
    <row r="54" spans="1:3">
      <c r="A54" s="2822">
        <v>41318</v>
      </c>
      <c r="B54" s="2828">
        <v>2.0299999999999998</v>
      </c>
      <c r="C54" s="2818" t="s">
        <v>2875</v>
      </c>
    </row>
    <row r="55" spans="1:3">
      <c r="A55" s="2826">
        <v>41298</v>
      </c>
      <c r="B55" s="2830">
        <v>2.02</v>
      </c>
      <c r="C55" s="2819" t="s">
        <v>2860</v>
      </c>
    </row>
    <row r="56" spans="1:3">
      <c r="A56" s="2827">
        <v>41297</v>
      </c>
      <c r="B56" s="2831">
        <v>2.0099999999999998</v>
      </c>
      <c r="C56" s="2820" t="s">
        <v>2532</v>
      </c>
    </row>
    <row r="57" spans="1:3">
      <c r="B57" s="2643"/>
    </row>
    <row r="58" spans="1:3">
      <c r="B58" s="2643"/>
    </row>
    <row r="59" spans="1:3">
      <c r="B59" s="2643"/>
    </row>
    <row r="60" spans="1:3">
      <c r="B60" s="2643"/>
    </row>
    <row r="61" spans="1:3">
      <c r="B61" s="2643"/>
    </row>
    <row r="62" spans="1:3">
      <c r="B62" s="2643"/>
    </row>
    <row r="63" spans="1:3">
      <c r="B63" s="2643"/>
    </row>
    <row r="64" spans="1:3">
      <c r="B64" s="2643"/>
    </row>
    <row r="65" spans="2:2">
      <c r="B65" s="2643"/>
    </row>
    <row r="66" spans="2:2">
      <c r="B66" s="2643"/>
    </row>
    <row r="67" spans="2:2">
      <c r="B67" s="2643"/>
    </row>
    <row r="68" spans="2:2">
      <c r="B68" s="2643"/>
    </row>
    <row r="69" spans="2:2">
      <c r="B69" s="2643"/>
    </row>
    <row r="70" spans="2:2">
      <c r="B70" s="2643"/>
    </row>
    <row r="71" spans="2:2">
      <c r="B71" s="2643"/>
    </row>
    <row r="72" spans="2:2">
      <c r="B72" s="2643"/>
    </row>
    <row r="73" spans="2:2">
      <c r="B73" s="2643"/>
    </row>
    <row r="74" spans="2:2">
      <c r="B74" s="2643"/>
    </row>
    <row r="75" spans="2:2">
      <c r="B75" s="2643"/>
    </row>
    <row r="76" spans="2:2">
      <c r="B76" s="2643"/>
    </row>
    <row r="77" spans="2:2">
      <c r="B77" s="2643"/>
    </row>
    <row r="78" spans="2:2">
      <c r="B78" s="2643"/>
    </row>
    <row r="79" spans="2:2">
      <c r="B79" s="2643"/>
    </row>
    <row r="80" spans="2:2">
      <c r="B80" s="2643"/>
    </row>
    <row r="81" spans="2:2">
      <c r="B81" s="2643"/>
    </row>
    <row r="82" spans="2:2">
      <c r="B82" s="2643"/>
    </row>
    <row r="83" spans="2:2">
      <c r="B83" s="2643"/>
    </row>
    <row r="84" spans="2:2">
      <c r="B84" s="2643"/>
    </row>
    <row r="85" spans="2:2">
      <c r="B85" s="2643"/>
    </row>
    <row r="86" spans="2:2">
      <c r="B86" s="2643"/>
    </row>
    <row r="87" spans="2:2">
      <c r="B87" s="2643"/>
    </row>
    <row r="88" spans="2:2">
      <c r="B88" s="2643"/>
    </row>
    <row r="89" spans="2:2">
      <c r="B89" s="2643"/>
    </row>
    <row r="90" spans="2:2">
      <c r="B90" s="2643"/>
    </row>
    <row r="91" spans="2:2">
      <c r="B91" s="2643"/>
    </row>
    <row r="92" spans="2:2">
      <c r="B92" s="2643"/>
    </row>
    <row r="93" spans="2:2">
      <c r="B93" s="2643"/>
    </row>
    <row r="94" spans="2:2">
      <c r="B94" s="2643"/>
    </row>
    <row r="95" spans="2:2">
      <c r="B95" s="2643"/>
    </row>
  </sheetData>
  <sheetProtection algorithmName="SHA-512" hashValue="kBzkeYsVzCtA+Dz8d14otI/XGekYNL828K4sG5J87RqAm+9GIVNfZYl6CZlF0exuP1w3V/vWT1kJTJbUcKLhLg==" saltValue="pTGUAGCkqP//hNl7OIVswA==" spinCount="100000" sheet="1" objects="1" scenarios="1"/>
  <mergeCells count="1">
    <mergeCell ref="A1:C1"/>
  </mergeCells>
  <pageMargins left="0.7" right="0.7" top="0.75" bottom="0.75" header="0.3" footer="0.3"/>
  <pageSetup orientation="portrait" r:id="rId1"/>
  <ignoredErrors>
    <ignoredError sqref="B6"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U128"/>
  <sheetViews>
    <sheetView topLeftCell="B1" zoomScaleNormal="100" workbookViewId="0">
      <pane ySplit="6" topLeftCell="A7" activePane="bottomLeft" state="frozen"/>
      <selection activeCell="A3" sqref="A1:K3"/>
      <selection pane="bottomLeft" activeCell="O11" sqref="O11"/>
    </sheetView>
  </sheetViews>
  <sheetFormatPr baseColWidth="10" defaultColWidth="8.83203125" defaultRowHeight="15"/>
  <cols>
    <col min="1" max="1" width="5.6640625" hidden="1" customWidth="1"/>
    <col min="2" max="2" width="6.6640625" style="48" customWidth="1"/>
    <col min="3" max="3" width="4.33203125" style="46" customWidth="1"/>
    <col min="4" max="4" width="3.6640625" style="46" customWidth="1"/>
    <col min="5" max="12" width="8.6640625" customWidth="1"/>
    <col min="13" max="13" width="10.6640625" bestFit="1" customWidth="1"/>
    <col min="14" max="14" width="15.6640625" style="49" customWidth="1"/>
    <col min="15" max="15" width="15.6640625" style="586" customWidth="1"/>
    <col min="16" max="17" width="11.6640625" customWidth="1"/>
    <col min="18" max="18" width="11.6640625" style="47" customWidth="1"/>
    <col min="19" max="19" width="11.6640625" customWidth="1"/>
  </cols>
  <sheetData>
    <row r="1" spans="1:21" ht="15" customHeight="1">
      <c r="B1" s="3022"/>
      <c r="C1" s="3022"/>
      <c r="D1" s="3022"/>
      <c r="E1" s="3022"/>
      <c r="F1" s="3022"/>
      <c r="G1" s="3022"/>
      <c r="H1" s="3022"/>
      <c r="I1" s="3020" t="str">
        <f>levelStatement</f>
        <v>This project has not met all the requirements for Bronze, Silver, Gold, or Emerald.</v>
      </c>
      <c r="J1" s="3020"/>
      <c r="K1" s="3020"/>
      <c r="L1" s="3021"/>
      <c r="M1" s="2877">
        <v>2012</v>
      </c>
      <c r="N1" s="2879" t="s">
        <v>0</v>
      </c>
      <c r="O1" s="2880"/>
      <c r="P1" s="2879" t="s">
        <v>1</v>
      </c>
      <c r="Q1" s="2881"/>
      <c r="R1" s="2881"/>
      <c r="S1" s="2880"/>
    </row>
    <row r="2" spans="1:21">
      <c r="B2" s="3022"/>
      <c r="C2" s="3022"/>
      <c r="D2" s="3022"/>
      <c r="E2" s="3022"/>
      <c r="F2" s="3022"/>
      <c r="G2" s="3022"/>
      <c r="H2" s="3022"/>
      <c r="I2" s="3020"/>
      <c r="J2" s="3020"/>
      <c r="K2" s="3020"/>
      <c r="L2" s="3021"/>
      <c r="M2" s="2878"/>
      <c r="N2" s="1" t="s">
        <v>2</v>
      </c>
      <c r="O2" s="1" t="s">
        <v>3</v>
      </c>
      <c r="P2" s="2" t="s">
        <v>4</v>
      </c>
      <c r="Q2" s="3" t="s">
        <v>5</v>
      </c>
      <c r="R2" s="4" t="s">
        <v>6</v>
      </c>
      <c r="S2" s="5" t="s">
        <v>7</v>
      </c>
    </row>
    <row r="3" spans="1:21">
      <c r="B3" s="3022"/>
      <c r="C3" s="3022"/>
      <c r="D3" s="3022"/>
      <c r="E3" s="3022"/>
      <c r="F3" s="3022"/>
      <c r="G3" s="3022"/>
      <c r="H3" s="3022"/>
      <c r="I3" s="3020"/>
      <c r="J3" s="3020"/>
      <c r="K3" s="3020"/>
      <c r="L3" s="3021"/>
      <c r="M3" s="6" t="s">
        <v>8</v>
      </c>
      <c r="N3" s="82">
        <f>SUM(O11:O123)</f>
        <v>0</v>
      </c>
      <c r="O3" s="203" t="s">
        <v>9</v>
      </c>
      <c r="P3" s="7">
        <v>50</v>
      </c>
      <c r="Q3" s="7">
        <v>64</v>
      </c>
      <c r="R3" s="7">
        <v>93</v>
      </c>
      <c r="S3" s="7">
        <v>121</v>
      </c>
    </row>
    <row r="4" spans="1:21" ht="15" customHeight="1">
      <c r="A4" s="3036" t="s">
        <v>2981</v>
      </c>
      <c r="B4" s="3036"/>
      <c r="C4" s="3036"/>
      <c r="D4" s="3036"/>
      <c r="E4" s="3036"/>
      <c r="F4" s="3036"/>
      <c r="G4" s="3036"/>
      <c r="H4" s="3036"/>
      <c r="I4" s="2874" t="str">
        <f>CONCATENATE("Revised ",TEXT(startRevisionDate,"mmmm dd, yyyy"))</f>
        <v>Revised August 21, 2020</v>
      </c>
      <c r="J4" s="2874"/>
      <c r="K4" s="2874"/>
      <c r="L4" s="2875"/>
      <c r="M4" s="2287" t="s">
        <v>10</v>
      </c>
      <c r="N4" s="2290">
        <f>projectTotal</f>
        <v>0</v>
      </c>
      <c r="O4" s="2291" t="str">
        <f>IF(SUM(projectMandatoryCount)=4,"Met","Not Met")</f>
        <v>Not Met</v>
      </c>
      <c r="P4" s="2283">
        <f>SUM(bronzeMinimum)</f>
        <v>231</v>
      </c>
      <c r="Q4" s="2283">
        <f>SUM(silverMinimum)</f>
        <v>349</v>
      </c>
      <c r="R4" s="2283">
        <f>SUM(goldMinimum)</f>
        <v>509</v>
      </c>
      <c r="S4" s="2283">
        <f>SUM(emeraldMinimum)</f>
        <v>641</v>
      </c>
    </row>
    <row r="5" spans="1:21" ht="15" customHeight="1" thickBot="1">
      <c r="A5" s="3036"/>
      <c r="B5" s="3036"/>
      <c r="C5" s="3036"/>
      <c r="D5" s="3036"/>
      <c r="E5" s="3036"/>
      <c r="F5" s="3036"/>
      <c r="G5" s="3036"/>
      <c r="H5" s="3036"/>
      <c r="I5" s="3024" t="str">
        <f>CONCATENATE(copyright," All rights reserved.  See full notice at bottom of this sheet")</f>
        <v>© 2020 Home Innovation Research Labs, Inc. All rights reserved.  See full notice at bottom of this sheet</v>
      </c>
      <c r="J5" s="3024"/>
      <c r="K5" s="3024"/>
      <c r="L5" s="3024"/>
      <c r="M5" s="3024"/>
      <c r="N5" s="3024"/>
      <c r="O5" s="3024"/>
      <c r="P5" s="3024"/>
      <c r="Q5" s="3024"/>
      <c r="R5" s="3024"/>
      <c r="S5" s="3024"/>
    </row>
    <row r="6" spans="1:21" s="8" customFormat="1" ht="16" thickBot="1">
      <c r="B6" s="3028" t="s">
        <v>11</v>
      </c>
      <c r="C6" s="3029"/>
      <c r="D6" s="3029"/>
      <c r="E6" s="3030" t="s">
        <v>12</v>
      </c>
      <c r="F6" s="3031"/>
      <c r="G6" s="3031"/>
      <c r="H6" s="3031"/>
      <c r="I6" s="3031"/>
      <c r="J6" s="3031"/>
      <c r="K6" s="3031"/>
      <c r="L6" s="3031"/>
      <c r="M6" s="3032"/>
      <c r="N6" s="2664" t="s">
        <v>2984</v>
      </c>
      <c r="O6" s="2664" t="s">
        <v>232</v>
      </c>
      <c r="P6" s="3025" t="s">
        <v>16</v>
      </c>
      <c r="Q6" s="3026"/>
      <c r="R6" s="3027"/>
      <c r="S6" s="2663" t="s">
        <v>2983</v>
      </c>
    </row>
    <row r="7" spans="1:21" s="8" customFormat="1" ht="17.25" customHeight="1">
      <c r="B7" s="3023" t="s">
        <v>17</v>
      </c>
      <c r="C7" s="3023"/>
      <c r="D7" s="3023"/>
      <c r="E7" s="3023"/>
      <c r="F7" s="3023"/>
      <c r="G7" s="3023"/>
      <c r="H7" s="3023"/>
      <c r="I7" s="3023"/>
      <c r="J7" s="3023"/>
      <c r="K7" s="3023"/>
      <c r="L7" s="3023"/>
      <c r="M7" s="3023"/>
      <c r="N7" s="3023"/>
      <c r="O7" s="3023"/>
      <c r="P7" s="3023"/>
      <c r="Q7" s="3023"/>
      <c r="R7" s="3023"/>
      <c r="S7" s="3023"/>
    </row>
    <row r="8" spans="1:21" s="8" customFormat="1" ht="27.75" customHeight="1">
      <c r="B8" s="9">
        <v>500</v>
      </c>
      <c r="C8" s="10"/>
      <c r="D8" s="10"/>
      <c r="E8" s="3033" t="s">
        <v>43</v>
      </c>
      <c r="F8" s="3033"/>
      <c r="G8" s="3033"/>
      <c r="H8" s="3033"/>
      <c r="I8" s="3033"/>
      <c r="J8" s="3033"/>
      <c r="K8" s="3033"/>
      <c r="L8" s="3033"/>
      <c r="M8" s="3033"/>
      <c r="N8" s="3034"/>
      <c r="O8" s="3034"/>
      <c r="P8" s="3034"/>
      <c r="Q8" s="3034"/>
      <c r="R8" s="3034"/>
      <c r="S8" s="3035"/>
    </row>
    <row r="9" spans="1:21" s="8" customFormat="1" ht="17.25" customHeight="1">
      <c r="B9" s="3011" t="s">
        <v>18</v>
      </c>
      <c r="C9" s="3011"/>
      <c r="D9" s="3011"/>
      <c r="E9" s="3011"/>
      <c r="F9" s="3011"/>
      <c r="G9" s="3011"/>
      <c r="H9" s="3011"/>
      <c r="I9" s="3011"/>
      <c r="J9" s="3011"/>
      <c r="K9" s="3011"/>
      <c r="L9" s="3011"/>
      <c r="M9" s="3011"/>
      <c r="N9" s="3011"/>
      <c r="O9" s="3011"/>
      <c r="P9" s="3011"/>
      <c r="Q9" s="3011"/>
      <c r="R9" s="3011"/>
      <c r="S9" s="3011"/>
    </row>
    <row r="10" spans="1:21" s="8" customFormat="1" ht="29.25" customHeight="1">
      <c r="B10" s="11">
        <v>501.1</v>
      </c>
      <c r="C10" s="12"/>
      <c r="D10" s="12"/>
      <c r="E10" s="3012" t="s">
        <v>73</v>
      </c>
      <c r="F10" s="3012"/>
      <c r="G10" s="3012"/>
      <c r="H10" s="3012"/>
      <c r="I10" s="3012"/>
      <c r="J10" s="3012"/>
      <c r="K10" s="3012"/>
      <c r="L10" s="3012"/>
      <c r="M10" s="3012"/>
      <c r="N10" s="1264"/>
      <c r="O10" s="1271"/>
      <c r="P10" s="3015"/>
      <c r="Q10" s="3015"/>
      <c r="R10" s="3015"/>
      <c r="S10" s="1272"/>
    </row>
    <row r="11" spans="1:21" s="8" customFormat="1">
      <c r="B11" s="13"/>
      <c r="C11" s="14">
        <v>1</v>
      </c>
      <c r="D11" s="14"/>
      <c r="E11" s="3013" t="s">
        <v>44</v>
      </c>
      <c r="F11" s="3013"/>
      <c r="G11" s="3013"/>
      <c r="H11" s="3013"/>
      <c r="I11" s="3013"/>
      <c r="J11" s="3013"/>
      <c r="K11" s="3013"/>
      <c r="L11" s="3013"/>
      <c r="M11" s="3013"/>
      <c r="N11" s="15">
        <v>6</v>
      </c>
      <c r="O11" s="1285"/>
      <c r="P11" s="3016"/>
      <c r="Q11" s="3017"/>
      <c r="R11" s="3017"/>
      <c r="S11" s="622" t="s">
        <v>20</v>
      </c>
    </row>
    <row r="12" spans="1:21" s="8" customFormat="1" ht="20" customHeight="1">
      <c r="B12" s="13"/>
      <c r="C12" s="16">
        <v>2</v>
      </c>
      <c r="D12" s="16"/>
      <c r="E12" s="3014" t="s">
        <v>19</v>
      </c>
      <c r="F12" s="3014"/>
      <c r="G12" s="3014"/>
      <c r="H12" s="3014"/>
      <c r="I12" s="3014"/>
      <c r="J12" s="3014"/>
      <c r="K12" s="3014"/>
      <c r="L12" s="3014"/>
      <c r="M12" s="3014"/>
      <c r="N12" s="50">
        <v>8</v>
      </c>
      <c r="O12" s="1286"/>
      <c r="P12" s="3018"/>
      <c r="Q12" s="3019"/>
      <c r="R12" s="3019"/>
      <c r="S12" s="623" t="s">
        <v>20</v>
      </c>
    </row>
    <row r="13" spans="1:21" s="8" customFormat="1" ht="20" customHeight="1">
      <c r="B13" s="13"/>
      <c r="C13" s="16">
        <v>3</v>
      </c>
      <c r="D13" s="16"/>
      <c r="E13" s="3014" t="s">
        <v>46</v>
      </c>
      <c r="F13" s="3014"/>
      <c r="G13" s="3014"/>
      <c r="H13" s="3014"/>
      <c r="I13" s="3014"/>
      <c r="J13" s="3014"/>
      <c r="K13" s="3014"/>
      <c r="L13" s="3014"/>
      <c r="M13" s="3014"/>
      <c r="N13" s="50">
        <v>7</v>
      </c>
      <c r="O13" s="1286"/>
      <c r="P13" s="3018"/>
      <c r="Q13" s="3019"/>
      <c r="R13" s="3019"/>
      <c r="S13" s="623" t="s">
        <v>20</v>
      </c>
    </row>
    <row r="14" spans="1:21" s="8" customFormat="1" ht="20" customHeight="1">
      <c r="B14" s="13"/>
      <c r="C14" s="16">
        <v>4</v>
      </c>
      <c r="D14" s="16"/>
      <c r="E14" s="3014" t="s">
        <v>47</v>
      </c>
      <c r="F14" s="3014"/>
      <c r="G14" s="3014"/>
      <c r="H14" s="3014"/>
      <c r="I14" s="3014"/>
      <c r="J14" s="3014"/>
      <c r="K14" s="3014"/>
      <c r="L14" s="3014"/>
      <c r="M14" s="3014"/>
      <c r="N14" s="50">
        <v>9</v>
      </c>
      <c r="O14" s="1286"/>
      <c r="P14" s="3018"/>
      <c r="Q14" s="3019"/>
      <c r="R14" s="3019"/>
      <c r="S14" s="623" t="s">
        <v>20</v>
      </c>
    </row>
    <row r="15" spans="1:21" s="8" customFormat="1" ht="20" customHeight="1" thickBot="1">
      <c r="B15" s="13"/>
      <c r="C15" s="16">
        <v>5</v>
      </c>
      <c r="D15" s="16"/>
      <c r="E15" s="3014" t="s">
        <v>48</v>
      </c>
      <c r="F15" s="3014"/>
      <c r="G15" s="3014"/>
      <c r="H15" s="3014"/>
      <c r="I15" s="3014"/>
      <c r="J15" s="3014"/>
      <c r="K15" s="3014"/>
      <c r="L15" s="3014"/>
      <c r="M15" s="3014"/>
      <c r="N15" s="50">
        <v>9</v>
      </c>
      <c r="O15" s="1287"/>
      <c r="P15" s="3037"/>
      <c r="Q15" s="3038"/>
      <c r="R15" s="3038"/>
      <c r="S15" s="623" t="s">
        <v>20</v>
      </c>
    </row>
    <row r="16" spans="1:21" s="8" customFormat="1" ht="45" customHeight="1" thickTop="1">
      <c r="B16" s="51">
        <v>501.2</v>
      </c>
      <c r="C16" s="52"/>
      <c r="D16" s="52"/>
      <c r="E16" s="3054" t="s">
        <v>49</v>
      </c>
      <c r="F16" s="3054"/>
      <c r="G16" s="3054"/>
      <c r="H16" s="3054"/>
      <c r="I16" s="3054"/>
      <c r="J16" s="3054"/>
      <c r="K16" s="3054"/>
      <c r="L16" s="3054"/>
      <c r="M16" s="3054"/>
      <c r="N16" s="953"/>
      <c r="O16" s="953"/>
      <c r="P16" s="3058"/>
      <c r="Q16" s="3058"/>
      <c r="R16" s="3058"/>
      <c r="S16" s="1273"/>
      <c r="U16" s="2307"/>
    </row>
    <row r="17" spans="2:19" s="8" customFormat="1" ht="30" customHeight="1">
      <c r="B17" s="13"/>
      <c r="C17" s="605">
        <v>1</v>
      </c>
      <c r="D17" s="605"/>
      <c r="E17" s="3039" t="s">
        <v>21</v>
      </c>
      <c r="F17" s="3039"/>
      <c r="G17" s="3039"/>
      <c r="H17" s="3039"/>
      <c r="I17" s="3039"/>
      <c r="J17" s="3039"/>
      <c r="K17" s="3039"/>
      <c r="L17" s="3039"/>
      <c r="M17" s="3039"/>
      <c r="N17" s="595">
        <v>4</v>
      </c>
      <c r="O17" s="1274"/>
      <c r="P17" s="3059"/>
      <c r="Q17" s="3060"/>
      <c r="R17" s="3060"/>
      <c r="S17" s="1309" t="s">
        <v>20</v>
      </c>
    </row>
    <row r="18" spans="2:19" s="8" customFormat="1" ht="30" customHeight="1">
      <c r="B18" s="13"/>
      <c r="C18" s="20">
        <v>2</v>
      </c>
      <c r="D18" s="20"/>
      <c r="E18" s="3040" t="s">
        <v>50</v>
      </c>
      <c r="F18" s="3040"/>
      <c r="G18" s="3040"/>
      <c r="H18" s="3040"/>
      <c r="I18" s="3040"/>
      <c r="J18" s="3040"/>
      <c r="K18" s="3040"/>
      <c r="L18" s="3040"/>
      <c r="M18" s="3040"/>
      <c r="N18" s="21">
        <v>5</v>
      </c>
      <c r="O18" s="1311"/>
      <c r="P18" s="3061"/>
      <c r="Q18" s="3062"/>
      <c r="R18" s="3062"/>
      <c r="S18" s="1318" t="s">
        <v>20</v>
      </c>
    </row>
    <row r="19" spans="2:19" s="8" customFormat="1" ht="60" customHeight="1">
      <c r="B19" s="13"/>
      <c r="C19" s="604">
        <v>3</v>
      </c>
      <c r="D19" s="604"/>
      <c r="E19" s="3041" t="s">
        <v>51</v>
      </c>
      <c r="F19" s="3041"/>
      <c r="G19" s="3041"/>
      <c r="H19" s="3041"/>
      <c r="I19" s="3041"/>
      <c r="J19" s="3041"/>
      <c r="K19" s="3041"/>
      <c r="L19" s="3041"/>
      <c r="M19" s="3041"/>
      <c r="N19" s="3042">
        <v>4</v>
      </c>
      <c r="O19" s="3044"/>
      <c r="P19" s="3046"/>
      <c r="Q19" s="3047"/>
      <c r="R19" s="3048"/>
      <c r="S19" s="3055" t="s">
        <v>20</v>
      </c>
    </row>
    <row r="20" spans="2:19" s="8" customFormat="1">
      <c r="B20" s="609"/>
      <c r="C20" s="608"/>
      <c r="D20" s="608"/>
      <c r="E20" s="3057" t="s">
        <v>45</v>
      </c>
      <c r="F20" s="3057"/>
      <c r="G20" s="3057"/>
      <c r="H20" s="3057"/>
      <c r="I20" s="3057"/>
      <c r="J20" s="3057"/>
      <c r="K20" s="3057"/>
      <c r="L20" s="3057"/>
      <c r="M20" s="3057"/>
      <c r="N20" s="3043"/>
      <c r="O20" s="3044"/>
      <c r="P20" s="3049"/>
      <c r="Q20" s="3050"/>
      <c r="R20" s="3051"/>
      <c r="S20" s="3056"/>
    </row>
    <row r="21" spans="2:19" s="8" customFormat="1" ht="45" customHeight="1">
      <c r="B21" s="609"/>
      <c r="C21" s="54">
        <v>4</v>
      </c>
      <c r="D21" s="599"/>
      <c r="E21" s="3045" t="s">
        <v>52</v>
      </c>
      <c r="F21" s="3045"/>
      <c r="G21" s="3045"/>
      <c r="H21" s="3045"/>
      <c r="I21" s="3045"/>
      <c r="J21" s="3045"/>
      <c r="K21" s="3045"/>
      <c r="L21" s="3045"/>
      <c r="M21" s="3045"/>
      <c r="N21" s="593">
        <v>5</v>
      </c>
      <c r="O21" s="1275"/>
      <c r="P21" s="3052"/>
      <c r="Q21" s="3053"/>
      <c r="R21" s="3053"/>
      <c r="S21" s="1312" t="s">
        <v>20</v>
      </c>
    </row>
    <row r="22" spans="2:19" s="8" customFormat="1">
      <c r="B22" s="3011" t="s">
        <v>22</v>
      </c>
      <c r="C22" s="3011"/>
      <c r="D22" s="3011"/>
      <c r="E22" s="3011"/>
      <c r="F22" s="3011"/>
      <c r="G22" s="3011"/>
      <c r="H22" s="3011"/>
      <c r="I22" s="3011"/>
      <c r="J22" s="3011"/>
      <c r="K22" s="3011"/>
      <c r="L22" s="3011"/>
      <c r="M22" s="3011"/>
      <c r="N22" s="3011"/>
      <c r="O22" s="3011"/>
      <c r="P22" s="3011"/>
      <c r="Q22" s="3011"/>
      <c r="R22" s="3011"/>
      <c r="S22" s="3011"/>
    </row>
    <row r="23" spans="2:19" s="8" customFormat="1" ht="45" customHeight="1">
      <c r="B23" s="603">
        <v>502.1</v>
      </c>
      <c r="C23" s="19"/>
      <c r="D23" s="19"/>
      <c r="E23" s="3065" t="s">
        <v>53</v>
      </c>
      <c r="F23" s="3065"/>
      <c r="G23" s="3065"/>
      <c r="H23" s="3065"/>
      <c r="I23" s="3065"/>
      <c r="J23" s="3065"/>
      <c r="K23" s="3065"/>
      <c r="L23" s="3065"/>
      <c r="M23" s="3065"/>
      <c r="N23" s="593">
        <v>4</v>
      </c>
      <c r="O23" s="509"/>
      <c r="P23" s="3070"/>
      <c r="Q23" s="3071"/>
      <c r="R23" s="3071"/>
      <c r="S23" s="1309" t="s">
        <v>20</v>
      </c>
    </row>
    <row r="24" spans="2:19" s="8" customFormat="1">
      <c r="B24" s="3011" t="s">
        <v>23</v>
      </c>
      <c r="C24" s="3011"/>
      <c r="D24" s="3011"/>
      <c r="E24" s="3011"/>
      <c r="F24" s="3011"/>
      <c r="G24" s="3011"/>
      <c r="H24" s="3011"/>
      <c r="I24" s="3011"/>
      <c r="J24" s="3011"/>
      <c r="K24" s="3011"/>
      <c r="L24" s="3011"/>
      <c r="M24" s="3011"/>
      <c r="N24" s="3011"/>
      <c r="O24" s="3011"/>
      <c r="P24" s="3011"/>
      <c r="Q24" s="3011"/>
      <c r="R24" s="3011"/>
      <c r="S24" s="3011"/>
    </row>
    <row r="25" spans="2:19" s="26" customFormat="1" ht="54.75" customHeight="1">
      <c r="B25" s="22">
        <v>503</v>
      </c>
      <c r="C25" s="23"/>
      <c r="D25" s="23"/>
      <c r="E25" s="3066" t="s">
        <v>54</v>
      </c>
      <c r="F25" s="3066"/>
      <c r="G25" s="3066"/>
      <c r="H25" s="3066"/>
      <c r="I25" s="3066"/>
      <c r="J25" s="3066"/>
      <c r="K25" s="3066"/>
      <c r="L25" s="3066"/>
      <c r="M25" s="3066"/>
      <c r="N25" s="3022"/>
      <c r="O25" s="3073"/>
      <c r="P25" s="3075"/>
      <c r="Q25" s="3075"/>
      <c r="R25" s="3075"/>
      <c r="S25" s="3067"/>
    </row>
    <row r="26" spans="2:19" s="8" customFormat="1" ht="16" thickBot="1">
      <c r="B26" s="27"/>
      <c r="C26" s="601"/>
      <c r="D26" s="601"/>
      <c r="E26" s="3069" t="s">
        <v>55</v>
      </c>
      <c r="F26" s="3069"/>
      <c r="G26" s="3069"/>
      <c r="H26" s="3069"/>
      <c r="I26" s="3069"/>
      <c r="J26" s="3069"/>
      <c r="K26" s="3069"/>
      <c r="L26" s="3069"/>
      <c r="M26" s="3069"/>
      <c r="N26" s="3072"/>
      <c r="O26" s="3074"/>
      <c r="P26" s="3076"/>
      <c r="Q26" s="3076"/>
      <c r="R26" s="3076"/>
      <c r="S26" s="3068"/>
    </row>
    <row r="27" spans="2:19" s="8" customFormat="1" ht="30" customHeight="1" thickTop="1">
      <c r="B27" s="603">
        <v>503.1</v>
      </c>
      <c r="C27" s="19"/>
      <c r="D27" s="19"/>
      <c r="E27" s="3078" t="s">
        <v>59</v>
      </c>
      <c r="F27" s="3078"/>
      <c r="G27" s="3078"/>
      <c r="H27" s="3078"/>
      <c r="I27" s="3078"/>
      <c r="J27" s="3078"/>
      <c r="K27" s="3078"/>
      <c r="L27" s="3078"/>
      <c r="M27" s="3078"/>
      <c r="N27" s="1263"/>
      <c r="O27" s="1260"/>
      <c r="P27" s="3077"/>
      <c r="Q27" s="3077"/>
      <c r="R27" s="3077"/>
      <c r="S27" s="1276"/>
    </row>
    <row r="28" spans="2:19" s="8" customFormat="1" ht="30" customHeight="1">
      <c r="B28" s="13"/>
      <c r="C28" s="606">
        <v>1</v>
      </c>
      <c r="D28" s="606"/>
      <c r="E28" s="3063" t="s">
        <v>24</v>
      </c>
      <c r="F28" s="3063"/>
      <c r="G28" s="3063"/>
      <c r="H28" s="3063"/>
      <c r="I28" s="3063"/>
      <c r="J28" s="3063"/>
      <c r="K28" s="3063"/>
      <c r="L28" s="3063"/>
      <c r="M28" s="3063"/>
      <c r="N28" s="594">
        <v>5</v>
      </c>
      <c r="O28" s="1274"/>
      <c r="P28" s="2995"/>
      <c r="Q28" s="2996"/>
      <c r="R28" s="2996"/>
      <c r="S28" s="1309" t="s">
        <v>20</v>
      </c>
    </row>
    <row r="29" spans="2:19" s="8" customFormat="1" ht="30" customHeight="1">
      <c r="B29" s="13"/>
      <c r="C29" s="20">
        <v>2</v>
      </c>
      <c r="D29" s="20"/>
      <c r="E29" s="3064" t="s">
        <v>56</v>
      </c>
      <c r="F29" s="3064"/>
      <c r="G29" s="3064"/>
      <c r="H29" s="3064"/>
      <c r="I29" s="3064"/>
      <c r="J29" s="3064"/>
      <c r="K29" s="3064"/>
      <c r="L29" s="3064"/>
      <c r="M29" s="3064"/>
      <c r="N29" s="28">
        <v>6</v>
      </c>
      <c r="O29" s="810"/>
      <c r="P29" s="2997"/>
      <c r="Q29" s="2998"/>
      <c r="R29" s="2998"/>
      <c r="S29" s="1312" t="s">
        <v>20</v>
      </c>
    </row>
    <row r="30" spans="2:19" s="8" customFormat="1" ht="30" customHeight="1">
      <c r="B30" s="13"/>
      <c r="C30" s="20">
        <v>3</v>
      </c>
      <c r="D30" s="20"/>
      <c r="E30" s="3064" t="s">
        <v>25</v>
      </c>
      <c r="F30" s="3064"/>
      <c r="G30" s="3064"/>
      <c r="H30" s="3064"/>
      <c r="I30" s="3064"/>
      <c r="J30" s="3064"/>
      <c r="K30" s="3064"/>
      <c r="L30" s="3064"/>
      <c r="M30" s="3064"/>
      <c r="N30" s="28">
        <v>4</v>
      </c>
      <c r="O30" s="810"/>
      <c r="P30" s="2997"/>
      <c r="Q30" s="2998"/>
      <c r="R30" s="2998"/>
      <c r="S30" s="1318" t="s">
        <v>20</v>
      </c>
    </row>
    <row r="31" spans="2:19" s="8" customFormat="1" ht="30" customHeight="1">
      <c r="B31" s="13"/>
      <c r="C31" s="20">
        <v>4</v>
      </c>
      <c r="D31" s="20"/>
      <c r="E31" s="3064" t="s">
        <v>26</v>
      </c>
      <c r="F31" s="3064"/>
      <c r="G31" s="3064"/>
      <c r="H31" s="3064"/>
      <c r="I31" s="3064"/>
      <c r="J31" s="3064"/>
      <c r="K31" s="3064"/>
      <c r="L31" s="3064"/>
      <c r="M31" s="3064"/>
      <c r="N31" s="28">
        <v>4</v>
      </c>
      <c r="O31" s="810"/>
      <c r="P31" s="2997"/>
      <c r="Q31" s="2998"/>
      <c r="R31" s="2998"/>
      <c r="S31" s="1309" t="s">
        <v>20</v>
      </c>
    </row>
    <row r="32" spans="2:19" s="8" customFormat="1" ht="30" customHeight="1">
      <c r="B32" s="13"/>
      <c r="C32" s="20">
        <v>5</v>
      </c>
      <c r="D32" s="20"/>
      <c r="E32" s="3064" t="s">
        <v>27</v>
      </c>
      <c r="F32" s="3064"/>
      <c r="G32" s="3064"/>
      <c r="H32" s="3064"/>
      <c r="I32" s="3064"/>
      <c r="J32" s="3064"/>
      <c r="K32" s="3064"/>
      <c r="L32" s="3064"/>
      <c r="M32" s="3064"/>
      <c r="N32" s="28">
        <v>3</v>
      </c>
      <c r="O32" s="810"/>
      <c r="P32" s="2997"/>
      <c r="Q32" s="2998"/>
      <c r="R32" s="2998"/>
      <c r="S32" s="1318" t="s">
        <v>20</v>
      </c>
    </row>
    <row r="33" spans="2:19" s="8" customFormat="1" ht="30" customHeight="1">
      <c r="B33" s="13"/>
      <c r="C33" s="20">
        <v>6</v>
      </c>
      <c r="D33" s="20"/>
      <c r="E33" s="3064" t="s">
        <v>57</v>
      </c>
      <c r="F33" s="3064"/>
      <c r="G33" s="3064"/>
      <c r="H33" s="3064"/>
      <c r="I33" s="3064"/>
      <c r="J33" s="3064"/>
      <c r="K33" s="3064"/>
      <c r="L33" s="3064"/>
      <c r="M33" s="3064"/>
      <c r="N33" s="21">
        <v>4</v>
      </c>
      <c r="O33" s="810"/>
      <c r="P33" s="2997"/>
      <c r="Q33" s="2998"/>
      <c r="R33" s="2998"/>
      <c r="S33" s="1318" t="s">
        <v>20</v>
      </c>
    </row>
    <row r="34" spans="2:19" s="8" customFormat="1" ht="30" customHeight="1" thickBot="1">
      <c r="B34" s="13"/>
      <c r="C34" s="605">
        <v>7</v>
      </c>
      <c r="D34" s="605"/>
      <c r="E34" s="3065" t="s">
        <v>58</v>
      </c>
      <c r="F34" s="3065"/>
      <c r="G34" s="3065"/>
      <c r="H34" s="3065"/>
      <c r="I34" s="3065"/>
      <c r="J34" s="3065"/>
      <c r="K34" s="3065"/>
      <c r="L34" s="3065"/>
      <c r="M34" s="3065"/>
      <c r="N34" s="593">
        <v>5</v>
      </c>
      <c r="O34" s="729"/>
      <c r="P34" s="3083"/>
      <c r="Q34" s="3084"/>
      <c r="R34" s="3084"/>
      <c r="S34" s="1316" t="s">
        <v>20</v>
      </c>
    </row>
    <row r="35" spans="2:19" s="8" customFormat="1" ht="30" customHeight="1" thickTop="1">
      <c r="B35" s="29">
        <v>503.2</v>
      </c>
      <c r="C35" s="30"/>
      <c r="D35" s="30"/>
      <c r="E35" s="3081" t="s">
        <v>2815</v>
      </c>
      <c r="F35" s="3081"/>
      <c r="G35" s="3081"/>
      <c r="H35" s="3081"/>
      <c r="I35" s="3081"/>
      <c r="J35" s="3081"/>
      <c r="K35" s="3081"/>
      <c r="L35" s="3081"/>
      <c r="M35" s="3081"/>
      <c r="N35" s="1261"/>
      <c r="O35" s="583"/>
      <c r="P35" s="3145"/>
      <c r="Q35" s="3145"/>
      <c r="R35" s="3145"/>
      <c r="S35" s="624"/>
    </row>
    <row r="36" spans="2:19" s="8" customFormat="1" ht="30" customHeight="1">
      <c r="B36" s="13"/>
      <c r="C36" s="605">
        <v>1</v>
      </c>
      <c r="D36" s="605"/>
      <c r="E36" s="3039" t="s">
        <v>60</v>
      </c>
      <c r="F36" s="3039"/>
      <c r="G36" s="3039"/>
      <c r="H36" s="3039"/>
      <c r="I36" s="3039"/>
      <c r="J36" s="3039"/>
      <c r="K36" s="3039"/>
      <c r="L36" s="3039"/>
      <c r="M36" s="3039"/>
      <c r="N36" s="593">
        <v>5</v>
      </c>
      <c r="O36" s="591"/>
      <c r="P36" s="3146"/>
      <c r="Q36" s="3146"/>
      <c r="R36" s="3146"/>
      <c r="S36" s="1309" t="s">
        <v>20</v>
      </c>
    </row>
    <row r="37" spans="2:19" s="8" customFormat="1" ht="30" customHeight="1">
      <c r="B37" s="13"/>
      <c r="C37" s="20">
        <v>2</v>
      </c>
      <c r="D37" s="20"/>
      <c r="E37" s="3040" t="s">
        <v>2814</v>
      </c>
      <c r="F37" s="3040"/>
      <c r="G37" s="3040"/>
      <c r="H37" s="3040"/>
      <c r="I37" s="3040"/>
      <c r="J37" s="3040"/>
      <c r="K37" s="3040"/>
      <c r="L37" s="3040"/>
      <c r="M37" s="3040"/>
      <c r="N37" s="21">
        <v>4</v>
      </c>
      <c r="O37" s="1311"/>
      <c r="P37" s="3085"/>
      <c r="Q37" s="3085"/>
      <c r="R37" s="3085"/>
      <c r="S37" s="1318" t="s">
        <v>20</v>
      </c>
    </row>
    <row r="38" spans="2:19" s="8" customFormat="1" ht="30" customHeight="1">
      <c r="B38" s="3144"/>
      <c r="C38" s="3158">
        <v>3</v>
      </c>
      <c r="D38" s="3158"/>
      <c r="E38" s="3086" t="s">
        <v>1066</v>
      </c>
      <c r="F38" s="3086"/>
      <c r="G38" s="3086"/>
      <c r="H38" s="3086"/>
      <c r="I38" s="3086"/>
      <c r="J38" s="3086"/>
      <c r="K38" s="3086"/>
      <c r="L38" s="3086"/>
      <c r="M38" s="3086"/>
      <c r="N38" s="3042" t="s">
        <v>1065</v>
      </c>
      <c r="O38" s="1774"/>
      <c r="P38" s="3085"/>
      <c r="Q38" s="3085"/>
      <c r="R38" s="3085"/>
      <c r="S38" s="3082" t="s">
        <v>20</v>
      </c>
    </row>
    <row r="39" spans="2:19" s="8" customFormat="1" ht="30" customHeight="1">
      <c r="B39" s="3144"/>
      <c r="C39" s="3159"/>
      <c r="D39" s="3159"/>
      <c r="E39" s="3063"/>
      <c r="F39" s="3063"/>
      <c r="G39" s="3063"/>
      <c r="H39" s="3063"/>
      <c r="I39" s="3063"/>
      <c r="J39" s="3063"/>
      <c r="K39" s="3063"/>
      <c r="L39" s="3063"/>
      <c r="M39" s="3063"/>
      <c r="N39" s="3043"/>
      <c r="O39" s="1277">
        <f>score503.2_3</f>
        <v>0</v>
      </c>
      <c r="P39" s="3085"/>
      <c r="Q39" s="3085"/>
      <c r="R39" s="3085"/>
      <c r="S39" s="3056"/>
    </row>
    <row r="40" spans="2:19" s="8" customFormat="1" ht="30" customHeight="1">
      <c r="B40" s="34"/>
      <c r="C40" s="611">
        <v>4</v>
      </c>
      <c r="D40" s="611"/>
      <c r="E40" s="3154" t="s">
        <v>69</v>
      </c>
      <c r="F40" s="3154"/>
      <c r="G40" s="3154"/>
      <c r="H40" s="3154"/>
      <c r="I40" s="3155"/>
      <c r="J40" s="3155"/>
      <c r="K40" s="3155"/>
      <c r="L40" s="3155"/>
      <c r="M40" s="3155"/>
      <c r="N40" s="35">
        <v>5</v>
      </c>
      <c r="O40" s="1311"/>
      <c r="P40" s="3085"/>
      <c r="Q40" s="3085"/>
      <c r="R40" s="3085"/>
      <c r="S40" s="1318" t="s">
        <v>20</v>
      </c>
    </row>
    <row r="41" spans="2:19" s="8" customFormat="1" ht="16" thickBot="1">
      <c r="B41" s="34"/>
      <c r="C41" s="611">
        <v>5</v>
      </c>
      <c r="D41" s="611"/>
      <c r="E41" s="3156" t="s">
        <v>28</v>
      </c>
      <c r="F41" s="3156"/>
      <c r="G41" s="3156"/>
      <c r="H41" s="3156"/>
      <c r="I41" s="3156"/>
      <c r="J41" s="3156"/>
      <c r="K41" s="3156"/>
      <c r="L41" s="3156"/>
      <c r="M41" s="3156"/>
      <c r="N41" s="612">
        <v>5</v>
      </c>
      <c r="O41" s="1278"/>
      <c r="P41" s="3147"/>
      <c r="Q41" s="3147"/>
      <c r="R41" s="3147"/>
      <c r="S41" s="1309" t="s">
        <v>20</v>
      </c>
    </row>
    <row r="42" spans="2:19" s="8" customFormat="1" ht="45" customHeight="1" thickTop="1">
      <c r="B42" s="3151">
        <v>503.3</v>
      </c>
      <c r="C42" s="3152"/>
      <c r="D42" s="3152"/>
      <c r="E42" s="3157" t="s">
        <v>70</v>
      </c>
      <c r="F42" s="3157"/>
      <c r="G42" s="3157"/>
      <c r="H42" s="3157"/>
      <c r="I42" s="3157"/>
      <c r="J42" s="3157"/>
      <c r="K42" s="3157"/>
      <c r="L42" s="3157"/>
      <c r="M42" s="3157"/>
      <c r="N42" s="3148"/>
      <c r="O42" s="3148"/>
      <c r="P42" s="3112"/>
      <c r="Q42" s="3112"/>
      <c r="R42" s="3112"/>
      <c r="S42" s="3079"/>
    </row>
    <row r="43" spans="2:19" s="8" customFormat="1">
      <c r="B43" s="2986"/>
      <c r="C43" s="3153"/>
      <c r="D43" s="3153"/>
      <c r="E43" s="3098" t="s">
        <v>29</v>
      </c>
      <c r="F43" s="3099"/>
      <c r="G43" s="3099"/>
      <c r="H43" s="3099"/>
      <c r="I43" s="3099"/>
      <c r="J43" s="3099"/>
      <c r="K43" s="3099"/>
      <c r="L43" s="3099"/>
      <c r="M43" s="3100"/>
      <c r="N43" s="3149"/>
      <c r="O43" s="3150"/>
      <c r="P43" s="3101"/>
      <c r="Q43" s="3101"/>
      <c r="R43" s="3101"/>
      <c r="S43" s="3080"/>
    </row>
    <row r="44" spans="2:19" s="8" customFormat="1" ht="20" customHeight="1">
      <c r="B44" s="13"/>
      <c r="C44" s="606">
        <v>1</v>
      </c>
      <c r="D44" s="606"/>
      <c r="E44" s="3087" t="s">
        <v>30</v>
      </c>
      <c r="F44" s="3087"/>
      <c r="G44" s="3087"/>
      <c r="H44" s="3087"/>
      <c r="I44" s="3087"/>
      <c r="J44" s="3087"/>
      <c r="K44" s="3087"/>
      <c r="L44" s="3087"/>
      <c r="M44" s="3087"/>
      <c r="N44" s="594">
        <v>5</v>
      </c>
      <c r="O44" s="591"/>
      <c r="P44" s="2982"/>
      <c r="Q44" s="2982"/>
      <c r="R44" s="2982"/>
      <c r="S44" s="1309" t="s">
        <v>20</v>
      </c>
    </row>
    <row r="45" spans="2:19" s="8" customFormat="1" ht="90" customHeight="1">
      <c r="B45" s="3144"/>
      <c r="C45" s="3158">
        <v>2</v>
      </c>
      <c r="D45" s="3158"/>
      <c r="E45" s="3164" t="s">
        <v>71</v>
      </c>
      <c r="F45" s="3164"/>
      <c r="G45" s="3164"/>
      <c r="H45" s="3164"/>
      <c r="I45" s="3164"/>
      <c r="J45" s="3164"/>
      <c r="K45" s="3164"/>
      <c r="L45" s="3164"/>
      <c r="M45" s="3164"/>
      <c r="N45" s="3165">
        <v>5</v>
      </c>
      <c r="O45" s="3044"/>
      <c r="P45" s="3092"/>
      <c r="Q45" s="3093"/>
      <c r="R45" s="3094"/>
      <c r="S45" s="3082" t="s">
        <v>20</v>
      </c>
    </row>
    <row r="46" spans="2:19" s="8" customFormat="1" ht="20" customHeight="1">
      <c r="B46" s="3144"/>
      <c r="C46" s="3159"/>
      <c r="D46" s="3159"/>
      <c r="E46" s="3089" t="s">
        <v>1071</v>
      </c>
      <c r="F46" s="3090"/>
      <c r="G46" s="3090"/>
      <c r="H46" s="3090"/>
      <c r="I46" s="3090"/>
      <c r="J46" s="3090"/>
      <c r="K46" s="3090"/>
      <c r="L46" s="3090"/>
      <c r="M46" s="3091"/>
      <c r="N46" s="3166"/>
      <c r="O46" s="3044"/>
      <c r="P46" s="3095"/>
      <c r="Q46" s="3096"/>
      <c r="R46" s="3097"/>
      <c r="S46" s="3056"/>
    </row>
    <row r="47" spans="2:19" s="8" customFormat="1" ht="20" customHeight="1" thickBot="1">
      <c r="B47" s="56"/>
      <c r="C47" s="57">
        <v>3</v>
      </c>
      <c r="D47" s="57"/>
      <c r="E47" s="3088" t="s">
        <v>72</v>
      </c>
      <c r="F47" s="3088"/>
      <c r="G47" s="3088"/>
      <c r="H47" s="3088"/>
      <c r="I47" s="3088"/>
      <c r="J47" s="3088"/>
      <c r="K47" s="3088"/>
      <c r="L47" s="3088"/>
      <c r="M47" s="3088"/>
      <c r="N47" s="58">
        <v>5</v>
      </c>
      <c r="O47" s="1279"/>
      <c r="P47" s="2982"/>
      <c r="Q47" s="2982"/>
      <c r="R47" s="2982"/>
      <c r="S47" s="1317" t="s">
        <v>20</v>
      </c>
    </row>
    <row r="48" spans="2:19" s="8" customFormat="1" ht="45" customHeight="1" thickTop="1">
      <c r="B48" s="3160">
        <v>503.4</v>
      </c>
      <c r="C48" s="3161"/>
      <c r="D48" s="3161"/>
      <c r="E48" s="3101" t="s">
        <v>75</v>
      </c>
      <c r="F48" s="3101"/>
      <c r="G48" s="3101"/>
      <c r="H48" s="3101"/>
      <c r="I48" s="3101"/>
      <c r="J48" s="3101"/>
      <c r="K48" s="3101"/>
      <c r="L48" s="3101"/>
      <c r="M48" s="3101"/>
      <c r="N48" s="3162"/>
      <c r="O48" s="3162"/>
      <c r="P48" s="3058"/>
      <c r="Q48" s="3058"/>
      <c r="R48" s="3058"/>
      <c r="S48" s="3163"/>
    </row>
    <row r="49" spans="2:19" s="8" customFormat="1" ht="45" customHeight="1">
      <c r="B49" s="2978"/>
      <c r="C49" s="3124"/>
      <c r="D49" s="3124"/>
      <c r="E49" s="3098" t="s">
        <v>74</v>
      </c>
      <c r="F49" s="3099"/>
      <c r="G49" s="3099"/>
      <c r="H49" s="3099"/>
      <c r="I49" s="3099"/>
      <c r="J49" s="3099"/>
      <c r="K49" s="3099"/>
      <c r="L49" s="3099"/>
      <c r="M49" s="3100"/>
      <c r="N49" s="3149"/>
      <c r="O49" s="3150"/>
      <c r="P49" s="3101"/>
      <c r="Q49" s="3101"/>
      <c r="R49" s="3101"/>
      <c r="S49" s="3080"/>
    </row>
    <row r="50" spans="2:19" s="8" customFormat="1" ht="20" customHeight="1">
      <c r="B50" s="13"/>
      <c r="C50" s="36">
        <v>1</v>
      </c>
      <c r="D50" s="36"/>
      <c r="E50" s="3063" t="s">
        <v>31</v>
      </c>
      <c r="F50" s="3063"/>
      <c r="G50" s="3063"/>
      <c r="H50" s="3063"/>
      <c r="I50" s="3063"/>
      <c r="J50" s="3063"/>
      <c r="K50" s="3063"/>
      <c r="L50" s="3063"/>
      <c r="M50" s="3063"/>
      <c r="N50" s="594">
        <v>6</v>
      </c>
      <c r="O50" s="591"/>
      <c r="P50" s="2995"/>
      <c r="Q50" s="2996"/>
      <c r="R50" s="2996"/>
      <c r="S50" s="1360" t="s">
        <v>20</v>
      </c>
    </row>
    <row r="51" spans="2:19" s="8" customFormat="1" ht="45" customHeight="1">
      <c r="B51" s="13"/>
      <c r="C51" s="37">
        <v>2</v>
      </c>
      <c r="D51" s="37"/>
      <c r="E51" s="3064" t="s">
        <v>76</v>
      </c>
      <c r="F51" s="3064"/>
      <c r="G51" s="3064"/>
      <c r="H51" s="3064"/>
      <c r="I51" s="3064"/>
      <c r="J51" s="3064"/>
      <c r="K51" s="3064"/>
      <c r="L51" s="3064"/>
      <c r="M51" s="3064"/>
      <c r="N51" s="28">
        <v>7</v>
      </c>
      <c r="O51" s="810"/>
      <c r="P51" s="2997"/>
      <c r="Q51" s="2998"/>
      <c r="R51" s="2998"/>
      <c r="S51" s="1361" t="s">
        <v>20</v>
      </c>
    </row>
    <row r="52" spans="2:19" s="8" customFormat="1" ht="25" customHeight="1">
      <c r="B52" s="3144"/>
      <c r="C52" s="3126">
        <v>3</v>
      </c>
      <c r="D52" s="3126"/>
      <c r="E52" s="3086" t="s">
        <v>1068</v>
      </c>
      <c r="F52" s="3086"/>
      <c r="G52" s="3086"/>
      <c r="H52" s="3086"/>
      <c r="I52" s="3086"/>
      <c r="J52" s="3086"/>
      <c r="K52" s="3086"/>
      <c r="L52" s="3086"/>
      <c r="M52" s="3086"/>
      <c r="N52" s="3042" t="s">
        <v>1067</v>
      </c>
      <c r="O52" s="1773"/>
      <c r="P52" s="2997"/>
      <c r="Q52" s="2998"/>
      <c r="R52" s="2998"/>
      <c r="S52" s="3167" t="s">
        <v>20</v>
      </c>
    </row>
    <row r="53" spans="2:19" s="8" customFormat="1" ht="25" customHeight="1">
      <c r="B53" s="3144"/>
      <c r="C53" s="3123"/>
      <c r="D53" s="3123"/>
      <c r="E53" s="3063"/>
      <c r="F53" s="3063"/>
      <c r="G53" s="3063"/>
      <c r="H53" s="3063"/>
      <c r="I53" s="3063"/>
      <c r="J53" s="3063"/>
      <c r="K53" s="3063"/>
      <c r="L53" s="3063"/>
      <c r="M53" s="3063"/>
      <c r="N53" s="3043"/>
      <c r="O53" s="598">
        <f>score503.4_3</f>
        <v>0</v>
      </c>
      <c r="P53" s="2997"/>
      <c r="Q53" s="2998"/>
      <c r="R53" s="2998"/>
      <c r="S53" s="3168"/>
    </row>
    <row r="54" spans="2:19" s="8" customFormat="1" ht="45" customHeight="1">
      <c r="B54" s="13"/>
      <c r="C54" s="37">
        <v>4</v>
      </c>
      <c r="D54" s="37"/>
      <c r="E54" s="3064" t="s">
        <v>78</v>
      </c>
      <c r="F54" s="3064"/>
      <c r="G54" s="3064"/>
      <c r="H54" s="3064"/>
      <c r="I54" s="3064"/>
      <c r="J54" s="3064"/>
      <c r="K54" s="3064"/>
      <c r="L54" s="3064"/>
      <c r="M54" s="3064"/>
      <c r="N54" s="28">
        <v>5</v>
      </c>
      <c r="O54" s="1362"/>
      <c r="P54" s="2997"/>
      <c r="Q54" s="2998"/>
      <c r="R54" s="2998"/>
      <c r="S54" s="1363" t="s">
        <v>20</v>
      </c>
    </row>
    <row r="55" spans="2:19" s="8" customFormat="1" ht="30" customHeight="1">
      <c r="B55" s="13"/>
      <c r="C55" s="37">
        <v>5</v>
      </c>
      <c r="D55" s="37"/>
      <c r="E55" s="3064" t="s">
        <v>79</v>
      </c>
      <c r="F55" s="3064"/>
      <c r="G55" s="3064"/>
      <c r="H55" s="3064"/>
      <c r="I55" s="3064"/>
      <c r="J55" s="3064"/>
      <c r="K55" s="3064"/>
      <c r="L55" s="3064"/>
      <c r="M55" s="3064"/>
      <c r="N55" s="28">
        <v>6</v>
      </c>
      <c r="O55" s="810"/>
      <c r="P55" s="2997"/>
      <c r="Q55" s="2998"/>
      <c r="R55" s="2998"/>
      <c r="S55" s="679" t="s">
        <v>20</v>
      </c>
    </row>
    <row r="56" spans="2:19" s="8" customFormat="1" ht="60" customHeight="1" thickBot="1">
      <c r="B56" s="13"/>
      <c r="C56" s="38">
        <v>6</v>
      </c>
      <c r="D56" s="38"/>
      <c r="E56" s="3065" t="s">
        <v>80</v>
      </c>
      <c r="F56" s="3065"/>
      <c r="G56" s="3065"/>
      <c r="H56" s="3065"/>
      <c r="I56" s="3086"/>
      <c r="J56" s="3086"/>
      <c r="K56" s="3086"/>
      <c r="L56" s="3086"/>
      <c r="M56" s="3086"/>
      <c r="N56" s="593">
        <v>7</v>
      </c>
      <c r="O56" s="1278"/>
      <c r="P56" s="3083"/>
      <c r="Q56" s="3084"/>
      <c r="R56" s="3084"/>
      <c r="S56" s="1364" t="s">
        <v>20</v>
      </c>
    </row>
    <row r="57" spans="2:19" s="8" customFormat="1" ht="57.75" customHeight="1" thickTop="1">
      <c r="B57" s="631">
        <v>503.5</v>
      </c>
      <c r="C57" s="630"/>
      <c r="D57" s="630"/>
      <c r="E57" s="3112" t="s">
        <v>2304</v>
      </c>
      <c r="F57" s="3112"/>
      <c r="G57" s="3112"/>
      <c r="H57" s="3112"/>
      <c r="I57" s="3112"/>
      <c r="J57" s="3112"/>
      <c r="K57" s="3112"/>
      <c r="L57" s="3112"/>
      <c r="M57" s="3112"/>
      <c r="N57" s="1424" t="s">
        <v>2121</v>
      </c>
      <c r="O57" s="1770"/>
      <c r="P57" s="3058"/>
      <c r="Q57" s="3058"/>
      <c r="R57" s="3058"/>
      <c r="S57" s="1280"/>
    </row>
    <row r="58" spans="2:19" s="8" customFormat="1" ht="30" customHeight="1">
      <c r="B58" s="41"/>
      <c r="C58" s="17">
        <v>1</v>
      </c>
      <c r="D58" s="17"/>
      <c r="E58" s="3065" t="s">
        <v>82</v>
      </c>
      <c r="F58" s="3065"/>
      <c r="G58" s="3065"/>
      <c r="H58" s="3065"/>
      <c r="I58" s="3065"/>
      <c r="J58" s="3065"/>
      <c r="K58" s="3065"/>
      <c r="L58" s="3065"/>
      <c r="M58" s="3065"/>
      <c r="N58" s="3171">
        <f>IF(choice503.5_type="Full Landscape Plan",6,IF(OR(choice503.5_type="Front Only Landscape Plan",choice503.5_type="Rear Only Landscape Plan"),3,0))</f>
        <v>0</v>
      </c>
      <c r="O58" s="3169"/>
      <c r="P58" s="3146"/>
      <c r="Q58" s="3146"/>
      <c r="R58" s="3146"/>
      <c r="S58" s="3055" t="s">
        <v>20</v>
      </c>
    </row>
    <row r="59" spans="2:19" s="8" customFormat="1" ht="15" customHeight="1">
      <c r="B59" s="41"/>
      <c r="C59" s="36"/>
      <c r="D59" s="36"/>
      <c r="E59" s="3063"/>
      <c r="F59" s="3063"/>
      <c r="G59" s="3063"/>
      <c r="H59" s="3063"/>
      <c r="I59" s="3063"/>
      <c r="J59" s="3063"/>
      <c r="K59" s="3063"/>
      <c r="L59" s="3063"/>
      <c r="M59" s="3063"/>
      <c r="N59" s="3172"/>
      <c r="O59" s="3170"/>
      <c r="P59" s="3085"/>
      <c r="Q59" s="3085"/>
      <c r="R59" s="3085"/>
      <c r="S59" s="3056"/>
    </row>
    <row r="60" spans="2:19" s="8" customFormat="1" ht="15" customHeight="1">
      <c r="B60" s="13"/>
      <c r="C60" s="38">
        <v>2</v>
      </c>
      <c r="D60" s="38"/>
      <c r="E60" s="3086" t="s">
        <v>83</v>
      </c>
      <c r="F60" s="3086"/>
      <c r="G60" s="3086"/>
      <c r="H60" s="3086"/>
      <c r="I60" s="3086"/>
      <c r="J60" s="3086"/>
      <c r="K60" s="3086"/>
      <c r="L60" s="3086"/>
      <c r="M60" s="3086"/>
      <c r="N60" s="3175">
        <f>IF(choice503.5_type="Full Landscape Plan",4,IF(OR(choice503.5_type="Front Only Landscape Plan",choice503.5_type="Rear Only Landscape Plan"),2,0))</f>
        <v>0</v>
      </c>
      <c r="O60" s="3176"/>
      <c r="P60" s="3085"/>
      <c r="Q60" s="3085"/>
      <c r="R60" s="3085"/>
      <c r="S60" s="3082" t="s">
        <v>20</v>
      </c>
    </row>
    <row r="61" spans="2:19" s="8" customFormat="1" ht="15" customHeight="1">
      <c r="B61" s="41"/>
      <c r="C61" s="36"/>
      <c r="D61" s="36"/>
      <c r="E61" s="3063"/>
      <c r="F61" s="3063"/>
      <c r="G61" s="3063"/>
      <c r="H61" s="3063"/>
      <c r="I61" s="3063"/>
      <c r="J61" s="3063"/>
      <c r="K61" s="3063"/>
      <c r="L61" s="3063"/>
      <c r="M61" s="3063"/>
      <c r="N61" s="3172"/>
      <c r="O61" s="3170"/>
      <c r="P61" s="3085"/>
      <c r="Q61" s="3085"/>
      <c r="R61" s="3085"/>
      <c r="S61" s="3056"/>
    </row>
    <row r="62" spans="2:19" s="8" customFormat="1" ht="60" customHeight="1" thickBot="1">
      <c r="B62" s="13"/>
      <c r="C62" s="17">
        <v>3</v>
      </c>
      <c r="D62" s="17"/>
      <c r="E62" s="3065" t="s">
        <v>84</v>
      </c>
      <c r="F62" s="3065"/>
      <c r="G62" s="3065"/>
      <c r="H62" s="3065"/>
      <c r="I62" s="3065"/>
      <c r="J62" s="3065"/>
      <c r="K62" s="3065"/>
      <c r="L62" s="3065"/>
      <c r="M62" s="3065"/>
      <c r="N62" s="3042"/>
      <c r="O62" s="1772"/>
      <c r="P62" s="3085"/>
      <c r="Q62" s="3085"/>
      <c r="R62" s="3085"/>
      <c r="S62" s="3082" t="s">
        <v>20</v>
      </c>
    </row>
    <row r="63" spans="2:19" ht="15" customHeight="1">
      <c r="B63" s="89"/>
      <c r="C63" s="600"/>
      <c r="D63" s="600"/>
      <c r="E63" s="3177" t="str">
        <f>IF(choice503.5_type="","Landscape Type not chosen - No points available",CONCATENATE("Points for ",choice503.5_type))</f>
        <v>Landscape Type not chosen - No points available</v>
      </c>
      <c r="F63" s="3178"/>
      <c r="G63" s="3178"/>
      <c r="H63" s="3178"/>
      <c r="I63" s="3178"/>
      <c r="J63" s="3178"/>
      <c r="K63" s="3178"/>
      <c r="L63" s="3178"/>
      <c r="M63" s="3179"/>
      <c r="N63" s="2984"/>
      <c r="O63" s="3187">
        <f>score503.5_3</f>
        <v>0</v>
      </c>
      <c r="P63" s="3085"/>
      <c r="Q63" s="3085"/>
      <c r="R63" s="3085"/>
      <c r="S63" s="3055"/>
    </row>
    <row r="64" spans="2:19" s="8" customFormat="1" ht="32" customHeight="1">
      <c r="B64" s="41"/>
      <c r="C64" s="33"/>
      <c r="D64" s="31"/>
      <c r="E64" s="59" t="s">
        <v>62</v>
      </c>
      <c r="F64" s="3180" t="s">
        <v>86</v>
      </c>
      <c r="G64" s="3180"/>
      <c r="H64" s="3180"/>
      <c r="I64" s="3180"/>
      <c r="J64" s="3180"/>
      <c r="K64" s="3180"/>
      <c r="L64" s="3183">
        <f>IF(choice503.5_type="Full Landscape Plan",5,IF(choice503.5_type="",0,2))</f>
        <v>0</v>
      </c>
      <c r="M64" s="3184"/>
      <c r="N64" s="2984"/>
      <c r="O64" s="3188"/>
      <c r="P64" s="3085"/>
      <c r="Q64" s="3085"/>
      <c r="R64" s="3085"/>
      <c r="S64" s="3055"/>
    </row>
    <row r="65" spans="1:19" s="8" customFormat="1" ht="15" customHeight="1">
      <c r="B65" s="41"/>
      <c r="C65" s="33"/>
      <c r="D65" s="31"/>
      <c r="E65" s="60" t="s">
        <v>63</v>
      </c>
      <c r="F65" s="3181" t="s">
        <v>87</v>
      </c>
      <c r="G65" s="3181"/>
      <c r="H65" s="3181"/>
      <c r="I65" s="3181"/>
      <c r="J65" s="3181"/>
      <c r="K65" s="3181"/>
      <c r="L65" s="3183">
        <f>IF(choice503.5_type="Full Landscape Plan",4,IF(choice503.5_type="",0,2))</f>
        <v>0</v>
      </c>
      <c r="M65" s="3184"/>
      <c r="N65" s="2984"/>
      <c r="O65" s="3188"/>
      <c r="P65" s="3085"/>
      <c r="Q65" s="3085"/>
      <c r="R65" s="3085"/>
      <c r="S65" s="3055"/>
    </row>
    <row r="66" spans="1:19" s="8" customFormat="1" ht="15" customHeight="1">
      <c r="B66" s="41"/>
      <c r="C66" s="33"/>
      <c r="D66" s="31"/>
      <c r="E66" s="60" t="s">
        <v>64</v>
      </c>
      <c r="F66" s="3181" t="s">
        <v>89</v>
      </c>
      <c r="G66" s="3181"/>
      <c r="H66" s="3181"/>
      <c r="I66" s="3181"/>
      <c r="J66" s="3181"/>
      <c r="K66" s="3181"/>
      <c r="L66" s="3183">
        <f>IF(choice503.5_type="Full Landscape Plan",3,IF(choice503.5_type="",0,1))</f>
        <v>0</v>
      </c>
      <c r="M66" s="3184"/>
      <c r="N66" s="2984"/>
      <c r="O66" s="3188"/>
      <c r="P66" s="3085"/>
      <c r="Q66" s="3085"/>
      <c r="R66" s="3085"/>
      <c r="S66" s="3055"/>
    </row>
    <row r="67" spans="1:19" s="8" customFormat="1" ht="15.75" customHeight="1" thickBot="1">
      <c r="B67" s="41"/>
      <c r="C67" s="33"/>
      <c r="D67" s="31"/>
      <c r="E67" s="61" t="s">
        <v>85</v>
      </c>
      <c r="F67" s="3182" t="s">
        <v>88</v>
      </c>
      <c r="G67" s="3182"/>
      <c r="H67" s="3182"/>
      <c r="I67" s="3182"/>
      <c r="J67" s="3182"/>
      <c r="K67" s="3182"/>
      <c r="L67" s="3185">
        <f>IF(choice503.5_type="Full Landscape Plan",2,IF(choice503.5_type="",0,1))</f>
        <v>0</v>
      </c>
      <c r="M67" s="3186"/>
      <c r="N67" s="3043"/>
      <c r="O67" s="3188"/>
      <c r="P67" s="3085"/>
      <c r="Q67" s="3085"/>
      <c r="R67" s="3085"/>
      <c r="S67" s="3055"/>
    </row>
    <row r="68" spans="1:19" s="8" customFormat="1" ht="15" customHeight="1">
      <c r="B68" s="13"/>
      <c r="C68" s="3126">
        <v>4</v>
      </c>
      <c r="D68" s="3126"/>
      <c r="E68" s="3190" t="s">
        <v>32</v>
      </c>
      <c r="F68" s="3190"/>
      <c r="G68" s="3190"/>
      <c r="H68" s="3190"/>
      <c r="I68" s="3190"/>
      <c r="J68" s="3190"/>
      <c r="K68" s="3190"/>
      <c r="L68" s="3190"/>
      <c r="M68" s="3190"/>
      <c r="N68" s="3173">
        <f>IF(choice503.5_type="Full Landscape Plan",5,IF(OR(choice503.5_type="Front Only Landscape Plan",choice503.5_type="Rear Only Landscape Plan"),2,0))</f>
        <v>0</v>
      </c>
      <c r="O68" s="3189"/>
      <c r="P68" s="3085"/>
      <c r="Q68" s="3085"/>
      <c r="R68" s="3085"/>
      <c r="S68" s="3082" t="s">
        <v>20</v>
      </c>
    </row>
    <row r="69" spans="1:19" s="8" customFormat="1" ht="15" customHeight="1">
      <c r="B69" s="41"/>
      <c r="C69" s="3123"/>
      <c r="D69" s="3123"/>
      <c r="E69" s="3063"/>
      <c r="F69" s="3063"/>
      <c r="G69" s="3063"/>
      <c r="H69" s="3063"/>
      <c r="I69" s="3063"/>
      <c r="J69" s="3063"/>
      <c r="K69" s="3063"/>
      <c r="L69" s="3063"/>
      <c r="M69" s="3063"/>
      <c r="N69" s="3174"/>
      <c r="O69" s="3189"/>
      <c r="P69" s="3085"/>
      <c r="Q69" s="3085"/>
      <c r="R69" s="3085"/>
      <c r="S69" s="3056"/>
    </row>
    <row r="70" spans="1:19" s="8" customFormat="1" ht="30" customHeight="1">
      <c r="B70" s="13"/>
      <c r="C70" s="3126">
        <v>5</v>
      </c>
      <c r="D70" s="3126"/>
      <c r="E70" s="3086" t="s">
        <v>1106</v>
      </c>
      <c r="F70" s="3086"/>
      <c r="G70" s="3086"/>
      <c r="H70" s="3086"/>
      <c r="I70" s="3086"/>
      <c r="J70" s="3086"/>
      <c r="K70" s="3086"/>
      <c r="L70" s="3086"/>
      <c r="M70" s="3086"/>
      <c r="N70" s="3173">
        <f>IF(choice503.5_type="Full Landscape Plan",5,IF(OR(choice503.5_type="Front Only Landscape Plan",choice503.5_type="Rear Only Landscape Plan"),2,0))</f>
        <v>0</v>
      </c>
      <c r="O70" s="3189"/>
      <c r="P70" s="3085"/>
      <c r="Q70" s="3085"/>
      <c r="R70" s="3085"/>
      <c r="S70" s="3082" t="s">
        <v>20</v>
      </c>
    </row>
    <row r="71" spans="1:19" s="8" customFormat="1" ht="30" customHeight="1">
      <c r="B71" s="41"/>
      <c r="C71" s="3123"/>
      <c r="D71" s="3123"/>
      <c r="E71" s="3063"/>
      <c r="F71" s="3063"/>
      <c r="G71" s="3063"/>
      <c r="H71" s="3063"/>
      <c r="I71" s="3063"/>
      <c r="J71" s="3063"/>
      <c r="K71" s="3063"/>
      <c r="L71" s="3063"/>
      <c r="M71" s="3063"/>
      <c r="N71" s="3174"/>
      <c r="O71" s="3189"/>
      <c r="P71" s="3085"/>
      <c r="Q71" s="3085"/>
      <c r="R71" s="3085"/>
      <c r="S71" s="3056"/>
    </row>
    <row r="72" spans="1:19" s="8" customFormat="1" ht="15" customHeight="1">
      <c r="B72" s="13"/>
      <c r="C72" s="3126">
        <v>6</v>
      </c>
      <c r="D72" s="3126"/>
      <c r="E72" s="3086" t="s">
        <v>1104</v>
      </c>
      <c r="F72" s="3086"/>
      <c r="G72" s="3086"/>
      <c r="H72" s="3086"/>
      <c r="I72" s="3086"/>
      <c r="J72" s="3086"/>
      <c r="K72" s="3086"/>
      <c r="L72" s="3086"/>
      <c r="M72" s="3086"/>
      <c r="N72" s="3173">
        <f>IF(choice503.5_type="Full Landscape Plan",4,IF(OR(choice503.5_type="Front Only Landscape Plan",choice503.5_type="Rear Only Landscape Plan"),2,0))</f>
        <v>0</v>
      </c>
      <c r="O72" s="3189"/>
      <c r="P72" s="3085"/>
      <c r="Q72" s="3085"/>
      <c r="R72" s="3085"/>
      <c r="S72" s="3082" t="s">
        <v>20</v>
      </c>
    </row>
    <row r="73" spans="1:19" s="8" customFormat="1" ht="15" customHeight="1">
      <c r="B73" s="41"/>
      <c r="C73" s="3123"/>
      <c r="D73" s="3123"/>
      <c r="E73" s="3063"/>
      <c r="F73" s="3063"/>
      <c r="G73" s="3063"/>
      <c r="H73" s="3063"/>
      <c r="I73" s="3063"/>
      <c r="J73" s="3063"/>
      <c r="K73" s="3063"/>
      <c r="L73" s="3063"/>
      <c r="M73" s="3063"/>
      <c r="N73" s="3174"/>
      <c r="O73" s="3189"/>
      <c r="P73" s="3085"/>
      <c r="Q73" s="3085"/>
      <c r="R73" s="3085"/>
      <c r="S73" s="3056"/>
    </row>
    <row r="74" spans="1:19" s="8" customFormat="1" ht="41.25" customHeight="1">
      <c r="B74" s="13"/>
      <c r="C74" s="37">
        <v>7</v>
      </c>
      <c r="D74" s="37"/>
      <c r="E74" s="3064" t="s">
        <v>1105</v>
      </c>
      <c r="F74" s="3064"/>
      <c r="G74" s="3064"/>
      <c r="H74" s="3064"/>
      <c r="I74" s="3064"/>
      <c r="J74" s="3064"/>
      <c r="K74" s="3064"/>
      <c r="L74" s="3064"/>
      <c r="M74" s="3064"/>
      <c r="N74" s="28">
        <v>3</v>
      </c>
      <c r="O74" s="729"/>
      <c r="P74" s="3085"/>
      <c r="Q74" s="3085"/>
      <c r="R74" s="3085"/>
      <c r="S74" s="1309" t="s">
        <v>20</v>
      </c>
    </row>
    <row r="75" spans="1:19" s="8" customFormat="1" ht="45" customHeight="1" thickBot="1">
      <c r="B75" s="13"/>
      <c r="C75" s="17">
        <v>8</v>
      </c>
      <c r="D75" s="17"/>
      <c r="E75" s="3086" t="s">
        <v>33</v>
      </c>
      <c r="F75" s="3086"/>
      <c r="G75" s="3086"/>
      <c r="H75" s="3086"/>
      <c r="I75" s="3086"/>
      <c r="J75" s="3086"/>
      <c r="K75" s="3086"/>
      <c r="L75" s="3086"/>
      <c r="M75" s="3086"/>
      <c r="N75" s="28">
        <v>4</v>
      </c>
      <c r="O75" s="1281"/>
      <c r="P75" s="3147"/>
      <c r="Q75" s="3147"/>
      <c r="R75" s="3147"/>
      <c r="S75" s="625" t="s">
        <v>20</v>
      </c>
    </row>
    <row r="76" spans="1:19" s="8" customFormat="1" ht="30" customHeight="1" thickTop="1">
      <c r="B76" s="3193">
        <v>503.6</v>
      </c>
      <c r="C76" s="3194"/>
      <c r="D76" s="3194"/>
      <c r="E76" s="3112" t="s">
        <v>1069</v>
      </c>
      <c r="F76" s="3112"/>
      <c r="G76" s="3112"/>
      <c r="H76" s="3112"/>
      <c r="I76" s="3112"/>
      <c r="J76" s="3112"/>
      <c r="K76" s="3112"/>
      <c r="L76" s="3112"/>
      <c r="M76" s="3112"/>
      <c r="N76" s="3148"/>
      <c r="O76" s="3195"/>
      <c r="P76" s="3112"/>
      <c r="Q76" s="3112"/>
      <c r="R76" s="3112"/>
      <c r="S76" s="3079"/>
    </row>
    <row r="77" spans="1:19" s="632" customFormat="1" ht="15" customHeight="1">
      <c r="B77" s="2978"/>
      <c r="C77" s="3124"/>
      <c r="D77" s="3124"/>
      <c r="E77" s="3191" t="s">
        <v>1070</v>
      </c>
      <c r="F77" s="3191"/>
      <c r="G77" s="3191"/>
      <c r="H77" s="3191"/>
      <c r="I77" s="3191"/>
      <c r="J77" s="3191"/>
      <c r="K77" s="3191"/>
      <c r="L77" s="3191"/>
      <c r="M77" s="3191"/>
      <c r="N77" s="3149"/>
      <c r="O77" s="3196"/>
      <c r="P77" s="3101"/>
      <c r="Q77" s="3101"/>
      <c r="R77" s="3101"/>
      <c r="S77" s="3080"/>
    </row>
    <row r="78" spans="1:19" s="18" customFormat="1" ht="30" customHeight="1">
      <c r="A78" s="599"/>
      <c r="B78" s="610"/>
      <c r="C78" s="36">
        <v>1</v>
      </c>
      <c r="D78" s="42"/>
      <c r="E78" s="3063" t="s">
        <v>91</v>
      </c>
      <c r="F78" s="3063"/>
      <c r="G78" s="3063"/>
      <c r="H78" s="3063"/>
      <c r="I78" s="3063"/>
      <c r="J78" s="3063"/>
      <c r="K78" s="3063"/>
      <c r="L78" s="3063"/>
      <c r="M78" s="3063"/>
      <c r="N78" s="597">
        <v>3</v>
      </c>
      <c r="O78" s="591"/>
      <c r="P78" s="2995"/>
      <c r="Q78" s="2996"/>
      <c r="R78" s="2996"/>
      <c r="S78" s="1310" t="s">
        <v>20</v>
      </c>
    </row>
    <row r="79" spans="1:19" s="18" customFormat="1" ht="30" customHeight="1">
      <c r="A79" s="599"/>
      <c r="B79" s="610"/>
      <c r="C79" s="37">
        <v>2</v>
      </c>
      <c r="D79" s="43"/>
      <c r="E79" s="3064" t="s">
        <v>92</v>
      </c>
      <c r="F79" s="3064"/>
      <c r="G79" s="3064"/>
      <c r="H79" s="3064"/>
      <c r="I79" s="3064"/>
      <c r="J79" s="3064"/>
      <c r="K79" s="3064"/>
      <c r="L79" s="3064"/>
      <c r="M79" s="3064"/>
      <c r="N79" s="21">
        <v>3</v>
      </c>
      <c r="O79" s="810"/>
      <c r="P79" s="2997"/>
      <c r="Q79" s="2998"/>
      <c r="R79" s="2998"/>
      <c r="S79" s="1318" t="s">
        <v>20</v>
      </c>
    </row>
    <row r="80" spans="1:19" s="18" customFormat="1" ht="30" customHeight="1">
      <c r="A80" s="599"/>
      <c r="B80" s="610"/>
      <c r="C80" s="37">
        <v>3</v>
      </c>
      <c r="D80" s="43"/>
      <c r="E80" s="3064" t="s">
        <v>93</v>
      </c>
      <c r="F80" s="3064"/>
      <c r="G80" s="3064"/>
      <c r="H80" s="3064"/>
      <c r="I80" s="3064"/>
      <c r="J80" s="3064"/>
      <c r="K80" s="3064"/>
      <c r="L80" s="3064"/>
      <c r="M80" s="3064"/>
      <c r="N80" s="21">
        <v>3</v>
      </c>
      <c r="O80" s="810"/>
      <c r="P80" s="2997"/>
      <c r="Q80" s="2998"/>
      <c r="R80" s="2998"/>
      <c r="S80" s="1318" t="s">
        <v>20</v>
      </c>
    </row>
    <row r="81" spans="1:19" s="18" customFormat="1" ht="30" customHeight="1" thickBot="1">
      <c r="A81" s="599"/>
      <c r="B81" s="610"/>
      <c r="C81" s="62">
        <v>4</v>
      </c>
      <c r="D81" s="63"/>
      <c r="E81" s="3192" t="s">
        <v>94</v>
      </c>
      <c r="F81" s="3192"/>
      <c r="G81" s="3192"/>
      <c r="H81" s="3192"/>
      <c r="I81" s="3192"/>
      <c r="J81" s="3192"/>
      <c r="K81" s="3192"/>
      <c r="L81" s="3192"/>
      <c r="M81" s="3192"/>
      <c r="N81" s="64">
        <v>3</v>
      </c>
      <c r="O81" s="1278"/>
      <c r="P81" s="3083"/>
      <c r="Q81" s="3084"/>
      <c r="R81" s="3084"/>
      <c r="S81" s="625" t="s">
        <v>20</v>
      </c>
    </row>
    <row r="82" spans="1:19" s="8" customFormat="1" ht="30" customHeight="1" thickTop="1">
      <c r="B82" s="39">
        <v>503.7</v>
      </c>
      <c r="C82" s="40"/>
      <c r="D82" s="40"/>
      <c r="E82" s="3112" t="s">
        <v>96</v>
      </c>
      <c r="F82" s="3112"/>
      <c r="G82" s="3112"/>
      <c r="H82" s="3112"/>
      <c r="I82" s="3112"/>
      <c r="J82" s="3112"/>
      <c r="K82" s="3112"/>
      <c r="L82" s="3112"/>
      <c r="M82" s="3112"/>
      <c r="N82" s="1266"/>
      <c r="O82" s="1266"/>
      <c r="P82" s="3058"/>
      <c r="Q82" s="3058"/>
      <c r="R82" s="3058"/>
      <c r="S82" s="1280"/>
    </row>
    <row r="83" spans="1:19" s="8" customFormat="1" ht="30" customHeight="1">
      <c r="B83" s="13"/>
      <c r="C83" s="36">
        <v>1</v>
      </c>
      <c r="D83" s="36"/>
      <c r="E83" s="3063" t="s">
        <v>95</v>
      </c>
      <c r="F83" s="3063"/>
      <c r="G83" s="3063"/>
      <c r="H83" s="3063"/>
      <c r="I83" s="3063"/>
      <c r="J83" s="3063"/>
      <c r="K83" s="3063"/>
      <c r="L83" s="3063"/>
      <c r="M83" s="3063"/>
      <c r="N83" s="594">
        <v>4</v>
      </c>
      <c r="O83" s="591"/>
      <c r="P83" s="2995"/>
      <c r="Q83" s="2996"/>
      <c r="R83" s="2996"/>
      <c r="S83" s="1309" t="s">
        <v>20</v>
      </c>
    </row>
    <row r="84" spans="1:19" s="8" customFormat="1" ht="30" customHeight="1">
      <c r="B84" s="13"/>
      <c r="C84" s="17">
        <v>2</v>
      </c>
      <c r="D84" s="17"/>
      <c r="E84" s="3086" t="s">
        <v>34</v>
      </c>
      <c r="F84" s="3086"/>
      <c r="G84" s="3086"/>
      <c r="H84" s="3086"/>
      <c r="I84" s="3086"/>
      <c r="J84" s="3086"/>
      <c r="K84" s="3086"/>
      <c r="L84" s="3086"/>
      <c r="M84" s="3086"/>
      <c r="N84" s="593">
        <v>4</v>
      </c>
      <c r="O84" s="1282"/>
      <c r="P84" s="3131"/>
      <c r="Q84" s="3132"/>
      <c r="R84" s="3132"/>
      <c r="S84" s="1312" t="s">
        <v>20</v>
      </c>
    </row>
    <row r="85" spans="1:19" s="8" customFormat="1">
      <c r="B85" s="3011" t="s">
        <v>35</v>
      </c>
      <c r="C85" s="3011"/>
      <c r="D85" s="3011"/>
      <c r="E85" s="3011"/>
      <c r="F85" s="3011"/>
      <c r="G85" s="3011"/>
      <c r="H85" s="3011"/>
      <c r="I85" s="3011"/>
      <c r="J85" s="3011"/>
      <c r="K85" s="3011"/>
      <c r="L85" s="3011"/>
      <c r="M85" s="3011"/>
      <c r="N85" s="3011"/>
      <c r="O85" s="3011"/>
      <c r="P85" s="3011"/>
      <c r="Q85" s="3011"/>
      <c r="R85" s="3011"/>
      <c r="S85" s="3011"/>
    </row>
    <row r="86" spans="1:19" s="8" customFormat="1" ht="30" customHeight="1" thickBot="1">
      <c r="B86" s="44">
        <v>504</v>
      </c>
      <c r="C86" s="45"/>
      <c r="D86" s="45"/>
      <c r="E86" s="3111" t="s">
        <v>97</v>
      </c>
      <c r="F86" s="3111"/>
      <c r="G86" s="3111"/>
      <c r="H86" s="3111"/>
      <c r="I86" s="3111"/>
      <c r="J86" s="3111"/>
      <c r="K86" s="3111"/>
      <c r="L86" s="3111"/>
      <c r="M86" s="3111"/>
      <c r="N86" s="1262"/>
      <c r="O86" s="584"/>
      <c r="P86" s="3111"/>
      <c r="Q86" s="3111"/>
      <c r="R86" s="3111"/>
      <c r="S86" s="626"/>
    </row>
    <row r="87" spans="1:19" s="8" customFormat="1" ht="60" customHeight="1" thickTop="1">
      <c r="B87" s="610">
        <v>504.1</v>
      </c>
      <c r="C87" s="31"/>
      <c r="D87" s="31"/>
      <c r="E87" s="3199" t="s">
        <v>98</v>
      </c>
      <c r="F87" s="3199"/>
      <c r="G87" s="3199"/>
      <c r="H87" s="3199"/>
      <c r="I87" s="3199"/>
      <c r="J87" s="3199"/>
      <c r="K87" s="3199"/>
      <c r="L87" s="3199"/>
      <c r="M87" s="3199"/>
      <c r="N87" s="3197">
        <v>4</v>
      </c>
      <c r="O87" s="3212"/>
      <c r="P87" s="3209"/>
      <c r="Q87" s="3210"/>
      <c r="R87" s="3210"/>
      <c r="S87" s="3204" t="s">
        <v>20</v>
      </c>
    </row>
    <row r="88" spans="1:19" s="8" customFormat="1" ht="16" thickBot="1">
      <c r="B88" s="609"/>
      <c r="C88" s="599"/>
      <c r="D88" s="599"/>
      <c r="E88" s="3200" t="s">
        <v>36</v>
      </c>
      <c r="F88" s="3201"/>
      <c r="G88" s="3201"/>
      <c r="H88" s="3201"/>
      <c r="I88" s="3201"/>
      <c r="J88" s="3201"/>
      <c r="K88" s="3201"/>
      <c r="L88" s="3201"/>
      <c r="M88" s="3202"/>
      <c r="N88" s="3198"/>
      <c r="O88" s="3213"/>
      <c r="P88" s="3211"/>
      <c r="Q88" s="3010"/>
      <c r="R88" s="3010"/>
      <c r="S88" s="3205"/>
    </row>
    <row r="89" spans="1:19" s="8" customFormat="1" ht="45" customHeight="1" thickTop="1">
      <c r="B89" s="39">
        <v>504.2</v>
      </c>
      <c r="C89" s="40"/>
      <c r="D89" s="40"/>
      <c r="E89" s="3203" t="s">
        <v>99</v>
      </c>
      <c r="F89" s="3203"/>
      <c r="G89" s="3203"/>
      <c r="H89" s="3203"/>
      <c r="I89" s="3203"/>
      <c r="J89" s="3203"/>
      <c r="K89" s="3203"/>
      <c r="L89" s="3203"/>
      <c r="M89" s="3203"/>
      <c r="N89" s="1266"/>
      <c r="O89" s="1266"/>
      <c r="P89" s="3058"/>
      <c r="Q89" s="3058"/>
      <c r="R89" s="3058"/>
      <c r="S89" s="1280"/>
    </row>
    <row r="90" spans="1:19" s="8" customFormat="1" ht="30" customHeight="1">
      <c r="B90" s="13"/>
      <c r="C90" s="36">
        <v>1</v>
      </c>
      <c r="D90" s="36"/>
      <c r="E90" s="3063" t="s">
        <v>37</v>
      </c>
      <c r="F90" s="3063"/>
      <c r="G90" s="3063"/>
      <c r="H90" s="3063"/>
      <c r="I90" s="3063"/>
      <c r="J90" s="3063"/>
      <c r="K90" s="3063"/>
      <c r="L90" s="3063"/>
      <c r="M90" s="3063"/>
      <c r="N90" s="594">
        <v>3</v>
      </c>
      <c r="O90" s="591"/>
      <c r="P90" s="2996"/>
      <c r="Q90" s="2996"/>
      <c r="R90" s="2996"/>
      <c r="S90" s="1309" t="s">
        <v>20</v>
      </c>
    </row>
    <row r="91" spans="1:19" s="8" customFormat="1" ht="30" customHeight="1">
      <c r="B91" s="13"/>
      <c r="C91" s="37">
        <v>2</v>
      </c>
      <c r="D91" s="37"/>
      <c r="E91" s="3064" t="s">
        <v>100</v>
      </c>
      <c r="F91" s="3064"/>
      <c r="G91" s="3064"/>
      <c r="H91" s="3064"/>
      <c r="I91" s="3064"/>
      <c r="J91" s="3064"/>
      <c r="K91" s="3064"/>
      <c r="L91" s="3064"/>
      <c r="M91" s="3064"/>
      <c r="N91" s="28">
        <v>5</v>
      </c>
      <c r="O91" s="810"/>
      <c r="P91" s="2998"/>
      <c r="Q91" s="2998"/>
      <c r="R91" s="2998"/>
      <c r="S91" s="1318" t="s">
        <v>20</v>
      </c>
    </row>
    <row r="92" spans="1:19" s="8" customFormat="1" ht="30" customHeight="1" thickBot="1">
      <c r="B92" s="13"/>
      <c r="C92" s="38">
        <v>3</v>
      </c>
      <c r="D92" s="38"/>
      <c r="E92" s="3086" t="s">
        <v>38</v>
      </c>
      <c r="F92" s="3086"/>
      <c r="G92" s="3086"/>
      <c r="H92" s="3086"/>
      <c r="I92" s="3086"/>
      <c r="J92" s="3086"/>
      <c r="K92" s="3086"/>
      <c r="L92" s="3086"/>
      <c r="M92" s="3086"/>
      <c r="N92" s="592">
        <v>4</v>
      </c>
      <c r="O92" s="729"/>
      <c r="P92" s="3143"/>
      <c r="Q92" s="3143"/>
      <c r="R92" s="3143"/>
      <c r="S92" s="625" t="s">
        <v>20</v>
      </c>
    </row>
    <row r="93" spans="1:19" s="8" customFormat="1" ht="60" customHeight="1" thickTop="1">
      <c r="B93" s="39">
        <v>504.3</v>
      </c>
      <c r="C93" s="40"/>
      <c r="D93" s="40"/>
      <c r="E93" s="3112" t="s">
        <v>101</v>
      </c>
      <c r="F93" s="3112"/>
      <c r="G93" s="3112"/>
      <c r="H93" s="3112"/>
      <c r="I93" s="3112"/>
      <c r="J93" s="3112"/>
      <c r="K93" s="3112"/>
      <c r="L93" s="3112"/>
      <c r="M93" s="3112"/>
      <c r="N93" s="1266"/>
      <c r="O93" s="1266"/>
      <c r="P93" s="3058"/>
      <c r="Q93" s="3058"/>
      <c r="R93" s="3058"/>
      <c r="S93" s="1280"/>
    </row>
    <row r="94" spans="1:19" s="8" customFormat="1" ht="30" customHeight="1">
      <c r="B94" s="13"/>
      <c r="C94" s="36">
        <v>1</v>
      </c>
      <c r="D94" s="36"/>
      <c r="E94" s="3063" t="s">
        <v>102</v>
      </c>
      <c r="F94" s="3063"/>
      <c r="G94" s="3063"/>
      <c r="H94" s="3063"/>
      <c r="I94" s="3063"/>
      <c r="J94" s="3063"/>
      <c r="K94" s="3063"/>
      <c r="L94" s="3063"/>
      <c r="M94" s="3063"/>
      <c r="N94" s="594">
        <v>5</v>
      </c>
      <c r="O94" s="591"/>
      <c r="P94" s="2996"/>
      <c r="Q94" s="2996"/>
      <c r="R94" s="2996"/>
      <c r="S94" s="1315" t="s">
        <v>20</v>
      </c>
    </row>
    <row r="95" spans="1:19" s="8" customFormat="1" ht="20" customHeight="1">
      <c r="B95" s="13"/>
      <c r="C95" s="37">
        <v>2</v>
      </c>
      <c r="D95" s="37"/>
      <c r="E95" s="3064" t="s">
        <v>103</v>
      </c>
      <c r="F95" s="3064"/>
      <c r="G95" s="3064"/>
      <c r="H95" s="3064"/>
      <c r="I95" s="3064"/>
      <c r="J95" s="3064"/>
      <c r="K95" s="3064"/>
      <c r="L95" s="3064"/>
      <c r="M95" s="3064"/>
      <c r="N95" s="28">
        <v>5</v>
      </c>
      <c r="O95" s="810"/>
      <c r="P95" s="2998"/>
      <c r="Q95" s="2998"/>
      <c r="R95" s="2998"/>
      <c r="S95" s="1313" t="s">
        <v>20</v>
      </c>
    </row>
    <row r="96" spans="1:19" s="8" customFormat="1" ht="30" customHeight="1">
      <c r="B96" s="13"/>
      <c r="C96" s="37">
        <v>3</v>
      </c>
      <c r="D96" s="37"/>
      <c r="E96" s="3064" t="s">
        <v>104</v>
      </c>
      <c r="F96" s="3064"/>
      <c r="G96" s="3064"/>
      <c r="H96" s="3064"/>
      <c r="I96" s="3064"/>
      <c r="J96" s="3064"/>
      <c r="K96" s="3064"/>
      <c r="L96" s="3064"/>
      <c r="M96" s="3064"/>
      <c r="N96" s="28">
        <v>5</v>
      </c>
      <c r="O96" s="810"/>
      <c r="P96" s="2998"/>
      <c r="Q96" s="2998"/>
      <c r="R96" s="2998"/>
      <c r="S96" s="1313" t="s">
        <v>20</v>
      </c>
    </row>
    <row r="97" spans="2:19" s="8" customFormat="1" ht="30" customHeight="1">
      <c r="B97" s="13"/>
      <c r="C97" s="37">
        <v>4</v>
      </c>
      <c r="D97" s="37"/>
      <c r="E97" s="3064" t="s">
        <v>105</v>
      </c>
      <c r="F97" s="3064"/>
      <c r="G97" s="3064"/>
      <c r="H97" s="3064"/>
      <c r="I97" s="3064"/>
      <c r="J97" s="3064"/>
      <c r="K97" s="3064"/>
      <c r="L97" s="3064"/>
      <c r="M97" s="3064"/>
      <c r="N97" s="28">
        <v>5</v>
      </c>
      <c r="O97" s="810"/>
      <c r="P97" s="2998"/>
      <c r="Q97" s="2998"/>
      <c r="R97" s="2998"/>
      <c r="S97" s="1313" t="s">
        <v>20</v>
      </c>
    </row>
    <row r="98" spans="2:19" s="8" customFormat="1" ht="60" customHeight="1">
      <c r="B98" s="13"/>
      <c r="C98" s="37">
        <v>5</v>
      </c>
      <c r="D98" s="37"/>
      <c r="E98" s="3064" t="s">
        <v>39</v>
      </c>
      <c r="F98" s="3064"/>
      <c r="G98" s="3064"/>
      <c r="H98" s="3064"/>
      <c r="I98" s="3064"/>
      <c r="J98" s="3064"/>
      <c r="K98" s="3064"/>
      <c r="L98" s="3064"/>
      <c r="M98" s="3064"/>
      <c r="N98" s="28">
        <v>4</v>
      </c>
      <c r="O98" s="810"/>
      <c r="P98" s="2998"/>
      <c r="Q98" s="2998"/>
      <c r="R98" s="2998"/>
      <c r="S98" s="1313" t="s">
        <v>20</v>
      </c>
    </row>
    <row r="99" spans="2:19" s="8" customFormat="1" ht="45" customHeight="1">
      <c r="B99" s="13"/>
      <c r="C99" s="37">
        <v>6</v>
      </c>
      <c r="D99" s="37"/>
      <c r="E99" s="3064" t="s">
        <v>106</v>
      </c>
      <c r="F99" s="3064"/>
      <c r="G99" s="3064"/>
      <c r="H99" s="3064"/>
      <c r="I99" s="3064"/>
      <c r="J99" s="3064"/>
      <c r="K99" s="3064"/>
      <c r="L99" s="3064"/>
      <c r="M99" s="3064"/>
      <c r="N99" s="28">
        <v>3</v>
      </c>
      <c r="O99" s="810"/>
      <c r="P99" s="2998"/>
      <c r="Q99" s="2998"/>
      <c r="R99" s="2998"/>
      <c r="S99" s="1313" t="s">
        <v>20</v>
      </c>
    </row>
    <row r="100" spans="2:19" s="8" customFormat="1" ht="20" customHeight="1">
      <c r="B100" s="13"/>
      <c r="C100" s="37">
        <v>7</v>
      </c>
      <c r="D100" s="37"/>
      <c r="E100" s="3064" t="s">
        <v>2816</v>
      </c>
      <c r="F100" s="3064"/>
      <c r="G100" s="3064"/>
      <c r="H100" s="3064"/>
      <c r="I100" s="3064"/>
      <c r="J100" s="3064"/>
      <c r="K100" s="3064"/>
      <c r="L100" s="3064"/>
      <c r="M100" s="3064"/>
      <c r="N100" s="28">
        <v>3</v>
      </c>
      <c r="O100" s="810"/>
      <c r="P100" s="2998"/>
      <c r="Q100" s="2998"/>
      <c r="R100" s="2998"/>
      <c r="S100" s="1313" t="s">
        <v>20</v>
      </c>
    </row>
    <row r="101" spans="2:19" s="8" customFormat="1" ht="45" customHeight="1">
      <c r="B101" s="13"/>
      <c r="C101" s="17">
        <v>8</v>
      </c>
      <c r="D101" s="17"/>
      <c r="E101" s="3086" t="s">
        <v>107</v>
      </c>
      <c r="F101" s="3086"/>
      <c r="G101" s="3086"/>
      <c r="H101" s="3086"/>
      <c r="I101" s="3086"/>
      <c r="J101" s="3086"/>
      <c r="K101" s="3086"/>
      <c r="L101" s="3086"/>
      <c r="M101" s="3086"/>
      <c r="N101" s="3165">
        <v>5</v>
      </c>
      <c r="O101" s="3044"/>
      <c r="P101" s="3139"/>
      <c r="Q101" s="3140"/>
      <c r="R101" s="3140"/>
      <c r="S101" s="3214" t="s">
        <v>20</v>
      </c>
    </row>
    <row r="102" spans="2:19" s="8" customFormat="1" ht="20" customHeight="1">
      <c r="B102" s="609"/>
      <c r="C102" s="599"/>
      <c r="D102" s="599"/>
      <c r="E102" s="2993" t="s">
        <v>1071</v>
      </c>
      <c r="F102" s="2993"/>
      <c r="G102" s="2993"/>
      <c r="H102" s="2993"/>
      <c r="I102" s="2993"/>
      <c r="J102" s="2993"/>
      <c r="K102" s="2993"/>
      <c r="L102" s="2993"/>
      <c r="M102" s="2993"/>
      <c r="N102" s="3216"/>
      <c r="O102" s="3044"/>
      <c r="P102" s="3141"/>
      <c r="Q102" s="3142"/>
      <c r="R102" s="3142"/>
      <c r="S102" s="3215"/>
    </row>
    <row r="103" spans="2:19" s="8" customFormat="1" ht="20" customHeight="1">
      <c r="B103" s="13"/>
      <c r="C103" s="65">
        <v>9</v>
      </c>
      <c r="D103" s="65"/>
      <c r="E103" s="3107" t="s">
        <v>108</v>
      </c>
      <c r="F103" s="3107"/>
      <c r="G103" s="3107"/>
      <c r="H103" s="3107"/>
      <c r="I103" s="3107"/>
      <c r="J103" s="3107"/>
      <c r="K103" s="3107"/>
      <c r="L103" s="3107"/>
      <c r="M103" s="3107"/>
      <c r="N103" s="596">
        <v>3</v>
      </c>
      <c r="O103" s="1275"/>
      <c r="P103" s="3132"/>
      <c r="Q103" s="3132"/>
      <c r="R103" s="3132"/>
      <c r="S103" s="1314" t="s">
        <v>20</v>
      </c>
    </row>
    <row r="104" spans="2:19" s="8" customFormat="1">
      <c r="B104" s="3011" t="s">
        <v>40</v>
      </c>
      <c r="C104" s="3011"/>
      <c r="D104" s="3011"/>
      <c r="E104" s="3011"/>
      <c r="F104" s="3011"/>
      <c r="G104" s="3011"/>
      <c r="H104" s="3011"/>
      <c r="I104" s="3011"/>
      <c r="J104" s="3011"/>
      <c r="K104" s="3011"/>
      <c r="L104" s="3011"/>
      <c r="M104" s="3011"/>
      <c r="N104" s="3011"/>
      <c r="O104" s="3011"/>
      <c r="P104" s="3011"/>
      <c r="Q104" s="3011"/>
      <c r="R104" s="3011"/>
      <c r="S104" s="3011"/>
    </row>
    <row r="105" spans="2:19" s="8" customFormat="1" ht="45" customHeight="1" thickBot="1">
      <c r="B105" s="44">
        <v>505</v>
      </c>
      <c r="C105" s="45"/>
      <c r="D105" s="45"/>
      <c r="E105" s="3111" t="s">
        <v>109</v>
      </c>
      <c r="F105" s="3111"/>
      <c r="G105" s="3111"/>
      <c r="H105" s="3111"/>
      <c r="I105" s="3111"/>
      <c r="J105" s="3111"/>
      <c r="K105" s="3111"/>
      <c r="L105" s="3111"/>
      <c r="M105" s="3111"/>
      <c r="N105" s="1262"/>
      <c r="O105" s="584"/>
      <c r="P105" s="3111"/>
      <c r="Q105" s="3111"/>
      <c r="R105" s="3111"/>
      <c r="S105" s="626"/>
    </row>
    <row r="106" spans="2:19" s="8" customFormat="1" ht="30" customHeight="1" thickTop="1">
      <c r="B106" s="610">
        <v>505.1</v>
      </c>
      <c r="C106" s="31"/>
      <c r="D106" s="31"/>
      <c r="E106" s="3112" t="s">
        <v>110</v>
      </c>
      <c r="F106" s="3112"/>
      <c r="G106" s="3112"/>
      <c r="H106" s="3112"/>
      <c r="I106" s="3112"/>
      <c r="J106" s="3112"/>
      <c r="K106" s="3112"/>
      <c r="L106" s="3112"/>
      <c r="M106" s="3112"/>
      <c r="N106" s="1265"/>
      <c r="O106" s="1283"/>
      <c r="P106" s="3112"/>
      <c r="Q106" s="3112"/>
      <c r="R106" s="3112"/>
      <c r="S106" s="1284"/>
    </row>
    <row r="107" spans="2:19" s="8" customFormat="1" ht="30" customHeight="1">
      <c r="B107" s="610"/>
      <c r="C107" s="66">
        <v>1</v>
      </c>
      <c r="D107" s="67"/>
      <c r="E107" s="3121" t="s">
        <v>111</v>
      </c>
      <c r="F107" s="3121"/>
      <c r="G107" s="3121"/>
      <c r="H107" s="3121"/>
      <c r="I107" s="3121"/>
      <c r="J107" s="3121"/>
      <c r="K107" s="3121"/>
      <c r="L107" s="3121"/>
      <c r="M107" s="3121"/>
      <c r="N107" s="68">
        <v>5</v>
      </c>
      <c r="O107" s="509"/>
      <c r="P107" s="2995"/>
      <c r="Q107" s="2996"/>
      <c r="R107" s="2996"/>
      <c r="S107" s="1310" t="s">
        <v>20</v>
      </c>
    </row>
    <row r="108" spans="2:19" s="8" customFormat="1" ht="20" customHeight="1">
      <c r="B108" s="610"/>
      <c r="C108" s="634">
        <v>2</v>
      </c>
      <c r="D108" s="635"/>
      <c r="E108" s="3107" t="s">
        <v>112</v>
      </c>
      <c r="F108" s="3107"/>
      <c r="G108" s="3107"/>
      <c r="H108" s="3107"/>
      <c r="I108" s="3107"/>
      <c r="J108" s="3107"/>
      <c r="K108" s="3107"/>
      <c r="L108" s="3107"/>
      <c r="M108" s="3107"/>
      <c r="N108" s="3135">
        <v>5</v>
      </c>
      <c r="O108" s="3137"/>
      <c r="P108" s="2997"/>
      <c r="Q108" s="2998"/>
      <c r="R108" s="2998"/>
      <c r="S108" s="3082" t="s">
        <v>20</v>
      </c>
    </row>
    <row r="109" spans="2:19" s="8" customFormat="1" ht="20" customHeight="1">
      <c r="B109" s="633"/>
      <c r="C109" s="66"/>
      <c r="D109" s="636"/>
      <c r="E109" s="3134" t="str">
        <f>IF(startSingleorMulti="Single-Family",CONCATENATE("This project is ",startSingleorMulti," &amp; is NOT eligible for points in 505.1(2)."),(IF(startSingleorMulti="Multi-Unit",CONCATENATE("This project is ",startSingleorMulti," &amp; is eligible for points in 505.1(2)."),"To claim points for 505.1(2), you must select Multi-Unit on the Start Here! worksheet.")))</f>
        <v>To claim points for 505.1(2), you must select Multi-Unit on the Start Here! worksheet.</v>
      </c>
      <c r="F109" s="3134"/>
      <c r="G109" s="3134"/>
      <c r="H109" s="3134"/>
      <c r="I109" s="3134"/>
      <c r="J109" s="3134"/>
      <c r="K109" s="3134"/>
      <c r="L109" s="3134"/>
      <c r="M109" s="3134"/>
      <c r="N109" s="3136"/>
      <c r="O109" s="3138"/>
      <c r="P109" s="2997"/>
      <c r="Q109" s="2998"/>
      <c r="R109" s="2998"/>
      <c r="S109" s="3056"/>
    </row>
    <row r="110" spans="2:19" s="8" customFormat="1" ht="25" customHeight="1">
      <c r="B110" s="2978"/>
      <c r="C110" s="3206">
        <v>3</v>
      </c>
      <c r="D110" s="3128"/>
      <c r="E110" s="3107" t="s">
        <v>113</v>
      </c>
      <c r="F110" s="3107"/>
      <c r="G110" s="3107"/>
      <c r="H110" s="3107"/>
      <c r="I110" s="3107"/>
      <c r="J110" s="3107"/>
      <c r="K110" s="3107"/>
      <c r="L110" s="3107"/>
      <c r="M110" s="3107"/>
      <c r="N110" s="3135" t="s">
        <v>1072</v>
      </c>
      <c r="O110" s="1771"/>
      <c r="P110" s="2997"/>
      <c r="Q110" s="2998"/>
      <c r="R110" s="2998"/>
      <c r="S110" s="3082" t="s">
        <v>20</v>
      </c>
    </row>
    <row r="111" spans="2:19" s="8" customFormat="1" ht="25" customHeight="1" thickBot="1">
      <c r="B111" s="2979"/>
      <c r="C111" s="3127"/>
      <c r="D111" s="3129"/>
      <c r="E111" s="3133"/>
      <c r="F111" s="3133"/>
      <c r="G111" s="3133"/>
      <c r="H111" s="3133"/>
      <c r="I111" s="3133"/>
      <c r="J111" s="3133"/>
      <c r="K111" s="3133"/>
      <c r="L111" s="3133"/>
      <c r="M111" s="3133"/>
      <c r="N111" s="3217"/>
      <c r="O111" s="602">
        <f>score505.1_3</f>
        <v>0</v>
      </c>
      <c r="P111" s="3083"/>
      <c r="Q111" s="3084"/>
      <c r="R111" s="3084"/>
      <c r="S111" s="3130"/>
    </row>
    <row r="112" spans="2:19" s="8" customFormat="1" ht="16" thickTop="1">
      <c r="B112" s="72">
        <v>505.2</v>
      </c>
      <c r="C112" s="69"/>
      <c r="D112" s="69"/>
      <c r="E112" s="2987" t="s">
        <v>2817</v>
      </c>
      <c r="F112" s="2987"/>
      <c r="G112" s="2987"/>
      <c r="H112" s="2987"/>
      <c r="I112" s="2987"/>
      <c r="J112" s="2987"/>
      <c r="K112" s="2987"/>
      <c r="L112" s="2987"/>
      <c r="M112" s="2987"/>
      <c r="N112" s="53"/>
      <c r="O112" s="585"/>
      <c r="P112" s="3058"/>
      <c r="Q112" s="3058"/>
      <c r="R112" s="3058"/>
      <c r="S112" s="627"/>
    </row>
    <row r="113" spans="2:21" s="8" customFormat="1" ht="135" customHeight="1">
      <c r="B113" s="2977"/>
      <c r="C113" s="3122">
        <v>1</v>
      </c>
      <c r="D113" s="3124"/>
      <c r="E113" s="3065" t="s">
        <v>117</v>
      </c>
      <c r="F113" s="3065"/>
      <c r="G113" s="3065"/>
      <c r="H113" s="3065"/>
      <c r="I113" s="3065"/>
      <c r="J113" s="3065"/>
      <c r="K113" s="3065"/>
      <c r="L113" s="3065"/>
      <c r="M113" s="3065"/>
      <c r="N113" s="2984">
        <v>5</v>
      </c>
      <c r="O113" s="3109"/>
      <c r="P113" s="2995"/>
      <c r="Q113" s="2996"/>
      <c r="R113" s="2996"/>
      <c r="S113" s="3055" t="s">
        <v>20</v>
      </c>
    </row>
    <row r="114" spans="2:21" s="8" customFormat="1" ht="30" customHeight="1">
      <c r="B114" s="2977"/>
      <c r="C114" s="3123"/>
      <c r="D114" s="3125"/>
      <c r="E114" s="2993" t="s">
        <v>1073</v>
      </c>
      <c r="F114" s="2993"/>
      <c r="G114" s="2993"/>
      <c r="H114" s="2993"/>
      <c r="I114" s="2993"/>
      <c r="J114" s="2993"/>
      <c r="K114" s="2993"/>
      <c r="L114" s="2993"/>
      <c r="M114" s="2993"/>
      <c r="N114" s="2984"/>
      <c r="O114" s="3110"/>
      <c r="P114" s="2997"/>
      <c r="Q114" s="2998"/>
      <c r="R114" s="2998"/>
      <c r="S114" s="3116"/>
    </row>
    <row r="115" spans="2:21" s="8" customFormat="1" ht="114" customHeight="1">
      <c r="B115" s="2978"/>
      <c r="C115" s="3126">
        <v>2</v>
      </c>
      <c r="D115" s="3128"/>
      <c r="E115" s="3107" t="s">
        <v>118</v>
      </c>
      <c r="F115" s="3107"/>
      <c r="G115" s="3107"/>
      <c r="H115" s="3107"/>
      <c r="I115" s="3107"/>
      <c r="J115" s="3107"/>
      <c r="K115" s="3107"/>
      <c r="L115" s="3107"/>
      <c r="M115" s="3107"/>
      <c r="N115" s="3108">
        <v>5</v>
      </c>
      <c r="O115" s="3109"/>
      <c r="P115" s="2999"/>
      <c r="Q115" s="3000"/>
      <c r="R115" s="3000"/>
      <c r="S115" s="3117" t="s">
        <v>20</v>
      </c>
      <c r="U115" s="32"/>
    </row>
    <row r="116" spans="2:21" s="8" customFormat="1" ht="20" customHeight="1" thickBot="1">
      <c r="B116" s="2979"/>
      <c r="C116" s="3127"/>
      <c r="D116" s="3129"/>
      <c r="E116" s="2993" t="s">
        <v>1074</v>
      </c>
      <c r="F116" s="2993"/>
      <c r="G116" s="2993"/>
      <c r="H116" s="2993"/>
      <c r="I116" s="2993"/>
      <c r="J116" s="2993"/>
      <c r="K116" s="2993"/>
      <c r="L116" s="2993"/>
      <c r="M116" s="2993"/>
      <c r="N116" s="2984"/>
      <c r="O116" s="3110"/>
      <c r="P116" s="3001"/>
      <c r="Q116" s="3002"/>
      <c r="R116" s="3002"/>
      <c r="S116" s="3118"/>
    </row>
    <row r="117" spans="2:21" s="8" customFormat="1" ht="17" thickTop="1" thickBot="1">
      <c r="B117" s="2985">
        <v>505.3</v>
      </c>
      <c r="C117" s="2987"/>
      <c r="D117" s="2987"/>
      <c r="E117" s="2994" t="s">
        <v>119</v>
      </c>
      <c r="F117" s="2994"/>
      <c r="G117" s="2994"/>
      <c r="H117" s="2994"/>
      <c r="I117" s="2994"/>
      <c r="J117" s="2994"/>
      <c r="K117" s="2994"/>
      <c r="L117" s="2994"/>
      <c r="M117" s="2994"/>
      <c r="N117" s="2983" t="s">
        <v>1075</v>
      </c>
      <c r="O117" s="3119"/>
      <c r="P117" s="3008"/>
      <c r="Q117" s="3008"/>
      <c r="R117" s="3008"/>
      <c r="S117" s="3113" t="s">
        <v>20</v>
      </c>
    </row>
    <row r="118" spans="2:21" s="8" customFormat="1" ht="16">
      <c r="B118" s="2986"/>
      <c r="C118" s="2988"/>
      <c r="D118" s="2988"/>
      <c r="E118" s="76">
        <v>1</v>
      </c>
      <c r="F118" s="2990" t="s">
        <v>122</v>
      </c>
      <c r="G118" s="2990"/>
      <c r="H118" s="2990"/>
      <c r="I118" s="2990"/>
      <c r="J118" s="2990"/>
      <c r="K118" s="2990"/>
      <c r="L118" s="77" t="s">
        <v>115</v>
      </c>
      <c r="M118" s="607"/>
      <c r="N118" s="2984"/>
      <c r="O118" s="3120"/>
      <c r="P118" s="3009"/>
      <c r="Q118" s="3009"/>
      <c r="R118" s="3009"/>
      <c r="S118" s="3114"/>
    </row>
    <row r="119" spans="2:21" s="8" customFormat="1" ht="16">
      <c r="B119" s="2986"/>
      <c r="C119" s="2988"/>
      <c r="D119" s="2988"/>
      <c r="E119" s="78">
        <v>2</v>
      </c>
      <c r="F119" s="2991" t="s">
        <v>123</v>
      </c>
      <c r="G119" s="2991"/>
      <c r="H119" s="2991"/>
      <c r="I119" s="2991"/>
      <c r="J119" s="2991"/>
      <c r="K119" s="2991"/>
      <c r="L119" s="79" t="s">
        <v>125</v>
      </c>
      <c r="M119" s="607"/>
      <c r="N119" s="2984"/>
      <c r="O119" s="3003">
        <f>score505.3</f>
        <v>0</v>
      </c>
      <c r="P119" s="3009"/>
      <c r="Q119" s="3009"/>
      <c r="R119" s="3009"/>
      <c r="S119" s="3114"/>
    </row>
    <row r="120" spans="2:21" s="8" customFormat="1" ht="16">
      <c r="B120" s="2986"/>
      <c r="C120" s="2988"/>
      <c r="D120" s="2988"/>
      <c r="E120" s="80">
        <v>3</v>
      </c>
      <c r="F120" s="2992" t="s">
        <v>124</v>
      </c>
      <c r="G120" s="2992"/>
      <c r="H120" s="2992"/>
      <c r="I120" s="2992"/>
      <c r="J120" s="2992"/>
      <c r="K120" s="2992"/>
      <c r="L120" s="81" t="s">
        <v>126</v>
      </c>
      <c r="M120" s="607"/>
      <c r="N120" s="2984"/>
      <c r="O120" s="3004"/>
      <c r="P120" s="3009"/>
      <c r="Q120" s="3009"/>
      <c r="R120" s="3009"/>
      <c r="S120" s="3114"/>
    </row>
    <row r="121" spans="2:21" s="8" customFormat="1" ht="16" thickBot="1">
      <c r="B121" s="1803"/>
      <c r="C121" s="1804"/>
      <c r="D121" s="1804"/>
      <c r="E121" s="3006" t="str">
        <f>IF(AND('Start Here!'!F21="Single-Family",claim505.3&gt;0),"NOTE: In the Notes area, please enter the lot size in the notes column","")</f>
        <v/>
      </c>
      <c r="F121" s="3007"/>
      <c r="G121" s="3007"/>
      <c r="H121" s="3007"/>
      <c r="I121" s="3007"/>
      <c r="J121" s="3007"/>
      <c r="K121" s="3007"/>
      <c r="L121" s="3007"/>
      <c r="M121" s="607"/>
      <c r="N121" s="1802"/>
      <c r="O121" s="3005"/>
      <c r="P121" s="3010"/>
      <c r="Q121" s="3010"/>
      <c r="R121" s="3010"/>
      <c r="S121" s="1806"/>
    </row>
    <row r="122" spans="2:21" s="8" customFormat="1" ht="20" customHeight="1" thickTop="1" thickBot="1">
      <c r="B122" s="617">
        <v>505.4</v>
      </c>
      <c r="C122" s="73"/>
      <c r="D122" s="73"/>
      <c r="E122" s="2989" t="s">
        <v>120</v>
      </c>
      <c r="F122" s="2989"/>
      <c r="G122" s="2989"/>
      <c r="H122" s="2989"/>
      <c r="I122" s="2989"/>
      <c r="J122" s="2989"/>
      <c r="K122" s="2989"/>
      <c r="L122" s="2989"/>
      <c r="M122" s="2989"/>
      <c r="N122" s="74">
        <v>8</v>
      </c>
      <c r="O122" s="587"/>
      <c r="P122" s="2980"/>
      <c r="Q122" s="2981"/>
      <c r="R122" s="2981"/>
      <c r="S122" s="628" t="s">
        <v>20</v>
      </c>
    </row>
    <row r="123" spans="2:21" s="8" customFormat="1" ht="30" customHeight="1" thickTop="1" thickBot="1">
      <c r="B123" s="618">
        <v>505.5</v>
      </c>
      <c r="C123" s="75"/>
      <c r="D123" s="75"/>
      <c r="E123" s="3115" t="s">
        <v>121</v>
      </c>
      <c r="F123" s="3115"/>
      <c r="G123" s="3115"/>
      <c r="H123" s="3115"/>
      <c r="I123" s="3115"/>
      <c r="J123" s="3115"/>
      <c r="K123" s="3115"/>
      <c r="L123" s="3115"/>
      <c r="M123" s="3115"/>
      <c r="N123" s="70">
        <v>3</v>
      </c>
      <c r="O123" s="588"/>
      <c r="P123" s="2982"/>
      <c r="Q123" s="2982"/>
      <c r="R123" s="2982"/>
      <c r="S123" s="629" t="s">
        <v>20</v>
      </c>
    </row>
    <row r="124" spans="2:21" ht="16" thickBot="1">
      <c r="B124" s="3102"/>
      <c r="C124" s="3102"/>
      <c r="D124" s="3102"/>
      <c r="E124" s="3102"/>
      <c r="F124" s="3102"/>
      <c r="G124" s="3102"/>
      <c r="H124" s="3102"/>
      <c r="I124" s="3102"/>
      <c r="J124" s="3102"/>
      <c r="K124" s="3102"/>
      <c r="L124" s="3102"/>
      <c r="M124" s="3102"/>
      <c r="N124" s="3102"/>
      <c r="O124" s="3102"/>
      <c r="P124" s="3102"/>
      <c r="Q124" s="3102"/>
      <c r="R124" s="3102"/>
      <c r="S124" s="3102"/>
    </row>
    <row r="125" spans="2:21" ht="20" thickBot="1">
      <c r="B125" s="3103" t="s">
        <v>41</v>
      </c>
      <c r="C125" s="3104"/>
      <c r="D125" s="3104"/>
      <c r="E125" s="3104"/>
      <c r="F125" s="3104"/>
      <c r="G125" s="3104"/>
      <c r="H125" s="3104"/>
      <c r="I125" s="3104"/>
      <c r="J125" s="3104"/>
      <c r="K125" s="3104"/>
      <c r="L125" s="3104"/>
      <c r="M125" s="3104"/>
      <c r="N125" s="3104"/>
      <c r="O125" s="3105" t="s">
        <v>42</v>
      </c>
      <c r="P125" s="3105"/>
      <c r="Q125" s="3105"/>
      <c r="R125" s="3105"/>
      <c r="S125" s="3106"/>
    </row>
    <row r="126" spans="2:21">
      <c r="B126" s="3207" t="str">
        <f>CONCATENATE(copyright," All rights reserved.  This document is protected by U.S. copyright law. Requirements from ICC700-2012 National Green Building Standard™ © 2013 National Association of Home Builders of the U.S. - used by permission."," Home Innovation authorizes use of this document only by those individuals/organizations participating in Home Innovation's Green Building Certification and solely for purpose of seeking project certification from the Home Innovation Research Labs.")</f>
        <v>© 2020 Home Innovation Research Labs, Inc. All rights reserved.  This document is protected by U.S. copyright law. Requirements from ICC700-2012 National Green Building Standard™ © 2013 National Association of Home Builders of the U.S. - used by permission. Home Innovation authorizes use of this document only by those individuals/organizations participating in Home Innovation's Green Building Certification and solely for purpose of seeking project certification from the Home Innovation Research Labs.</v>
      </c>
      <c r="C126" s="3207"/>
      <c r="D126" s="3207"/>
      <c r="E126" s="3207"/>
      <c r="F126" s="3207"/>
      <c r="G126" s="3207"/>
      <c r="H126" s="3207"/>
      <c r="I126" s="3207"/>
      <c r="J126" s="3207"/>
      <c r="K126" s="3207"/>
      <c r="L126" s="3207"/>
      <c r="M126" s="3207"/>
      <c r="N126" s="3207"/>
      <c r="O126" s="3207"/>
      <c r="P126" s="3207"/>
      <c r="Q126" s="3207"/>
      <c r="R126" s="3207"/>
      <c r="S126" s="3207"/>
    </row>
    <row r="127" spans="2:21">
      <c r="B127" s="3208"/>
      <c r="C127" s="3208"/>
      <c r="D127" s="3208"/>
      <c r="E127" s="3208"/>
      <c r="F127" s="3208"/>
      <c r="G127" s="3208"/>
      <c r="H127" s="3208"/>
      <c r="I127" s="3208"/>
      <c r="J127" s="3208"/>
      <c r="K127" s="3208"/>
      <c r="L127" s="3208"/>
      <c r="M127" s="3208"/>
      <c r="N127" s="3208"/>
      <c r="O127" s="3208"/>
      <c r="P127" s="3208"/>
      <c r="Q127" s="3208"/>
      <c r="R127" s="3208"/>
      <c r="S127" s="3208"/>
    </row>
    <row r="128" spans="2:21">
      <c r="B128" s="3208"/>
      <c r="C128" s="3208"/>
      <c r="D128" s="3208"/>
      <c r="E128" s="3208"/>
      <c r="F128" s="3208"/>
      <c r="G128" s="3208"/>
      <c r="H128" s="3208"/>
      <c r="I128" s="3208"/>
      <c r="J128" s="3208"/>
      <c r="K128" s="3208"/>
      <c r="L128" s="3208"/>
      <c r="M128" s="3208"/>
      <c r="N128" s="3208"/>
      <c r="O128" s="3208"/>
      <c r="P128" s="3208"/>
      <c r="Q128" s="3208"/>
      <c r="R128" s="3208"/>
      <c r="S128" s="3208"/>
    </row>
  </sheetData>
  <sheetProtection algorithmName="SHA-512" hashValue="/QJxCyY/tuh6548xrNtvivp9g36tTH/yU1Q7V3rj7kyXnURRbbuv/6doz7RiTYJ2965W9KdbHPFt3CWKtecH7w==" saltValue="L/E5MBTEdpFegHFgfcAv/A==" spinCount="100000" sheet="1" objects="1" scenarios="1" formatRows="0" selectLockedCells="1"/>
  <mergeCells count="307">
    <mergeCell ref="C110:C111"/>
    <mergeCell ref="B126:S128"/>
    <mergeCell ref="P87:R88"/>
    <mergeCell ref="P89:R89"/>
    <mergeCell ref="E98:M98"/>
    <mergeCell ref="O101:O102"/>
    <mergeCell ref="P98:R98"/>
    <mergeCell ref="O87:O88"/>
    <mergeCell ref="S101:S102"/>
    <mergeCell ref="E102:M102"/>
    <mergeCell ref="B104:S104"/>
    <mergeCell ref="E103:M103"/>
    <mergeCell ref="P97:R97"/>
    <mergeCell ref="E112:M112"/>
    <mergeCell ref="E99:M99"/>
    <mergeCell ref="E100:M100"/>
    <mergeCell ref="E101:M101"/>
    <mergeCell ref="N101:N102"/>
    <mergeCell ref="B110:B111"/>
    <mergeCell ref="P106:R106"/>
    <mergeCell ref="P107:R107"/>
    <mergeCell ref="N110:N111"/>
    <mergeCell ref="P110:R111"/>
    <mergeCell ref="P99:R99"/>
    <mergeCell ref="P100:R100"/>
    <mergeCell ref="B76:B77"/>
    <mergeCell ref="C76:C77"/>
    <mergeCell ref="D76:D77"/>
    <mergeCell ref="N76:N77"/>
    <mergeCell ref="O76:O77"/>
    <mergeCell ref="E91:M91"/>
    <mergeCell ref="E92:M92"/>
    <mergeCell ref="E96:M96"/>
    <mergeCell ref="N87:N88"/>
    <mergeCell ref="E86:M86"/>
    <mergeCell ref="E87:M87"/>
    <mergeCell ref="E97:M97"/>
    <mergeCell ref="E90:M90"/>
    <mergeCell ref="E88:M88"/>
    <mergeCell ref="E89:M89"/>
    <mergeCell ref="B85:S85"/>
    <mergeCell ref="S87:S88"/>
    <mergeCell ref="E83:M83"/>
    <mergeCell ref="E82:M82"/>
    <mergeCell ref="E78:M78"/>
    <mergeCell ref="E79:M79"/>
    <mergeCell ref="E80:M80"/>
    <mergeCell ref="P76:R77"/>
    <mergeCell ref="P82:R82"/>
    <mergeCell ref="P83:R83"/>
    <mergeCell ref="P78:R78"/>
    <mergeCell ref="P79:R79"/>
    <mergeCell ref="P80:R80"/>
    <mergeCell ref="P81:R81"/>
    <mergeCell ref="E77:M77"/>
    <mergeCell ref="E81:M81"/>
    <mergeCell ref="C72:C73"/>
    <mergeCell ref="E75:M75"/>
    <mergeCell ref="E76:M76"/>
    <mergeCell ref="P74:R74"/>
    <mergeCell ref="P75:R75"/>
    <mergeCell ref="P62:R67"/>
    <mergeCell ref="P68:R69"/>
    <mergeCell ref="P70:R71"/>
    <mergeCell ref="S70:S71"/>
    <mergeCell ref="S72:S73"/>
    <mergeCell ref="C68:C69"/>
    <mergeCell ref="D68:D69"/>
    <mergeCell ref="C70:C71"/>
    <mergeCell ref="D70:D71"/>
    <mergeCell ref="D72:D73"/>
    <mergeCell ref="O70:O71"/>
    <mergeCell ref="O72:O73"/>
    <mergeCell ref="N68:N69"/>
    <mergeCell ref="E68:M69"/>
    <mergeCell ref="P72:R73"/>
    <mergeCell ref="N72:N73"/>
    <mergeCell ref="E72:M73"/>
    <mergeCell ref="P60:R61"/>
    <mergeCell ref="S68:S69"/>
    <mergeCell ref="S60:S61"/>
    <mergeCell ref="E70:M71"/>
    <mergeCell ref="N70:N71"/>
    <mergeCell ref="S76:S77"/>
    <mergeCell ref="E60:M61"/>
    <mergeCell ref="N60:N61"/>
    <mergeCell ref="O60:O61"/>
    <mergeCell ref="E63:M63"/>
    <mergeCell ref="F64:K64"/>
    <mergeCell ref="F65:K65"/>
    <mergeCell ref="F66:K66"/>
    <mergeCell ref="F67:K67"/>
    <mergeCell ref="E62:M62"/>
    <mergeCell ref="L64:M64"/>
    <mergeCell ref="L65:M65"/>
    <mergeCell ref="L66:M66"/>
    <mergeCell ref="L67:M67"/>
    <mergeCell ref="E74:M74"/>
    <mergeCell ref="O63:O67"/>
    <mergeCell ref="N62:N67"/>
    <mergeCell ref="O68:O69"/>
    <mergeCell ref="S62:S67"/>
    <mergeCell ref="B52:B53"/>
    <mergeCell ref="C52:C53"/>
    <mergeCell ref="D52:D53"/>
    <mergeCell ref="E52:M53"/>
    <mergeCell ref="S52:S53"/>
    <mergeCell ref="P52:R53"/>
    <mergeCell ref="P50:R50"/>
    <mergeCell ref="P51:R51"/>
    <mergeCell ref="S58:S59"/>
    <mergeCell ref="E55:M55"/>
    <mergeCell ref="N52:N53"/>
    <mergeCell ref="P54:R54"/>
    <mergeCell ref="P55:R55"/>
    <mergeCell ref="P56:R56"/>
    <mergeCell ref="E50:M50"/>
    <mergeCell ref="E51:M51"/>
    <mergeCell ref="O58:O59"/>
    <mergeCell ref="E58:M59"/>
    <mergeCell ref="N58:N59"/>
    <mergeCell ref="E54:M54"/>
    <mergeCell ref="P57:R57"/>
    <mergeCell ref="E57:M57"/>
    <mergeCell ref="P58:R59"/>
    <mergeCell ref="B45:B46"/>
    <mergeCell ref="B48:B49"/>
    <mergeCell ref="C48:C49"/>
    <mergeCell ref="D48:D49"/>
    <mergeCell ref="N48:N49"/>
    <mergeCell ref="O48:O49"/>
    <mergeCell ref="S48:S49"/>
    <mergeCell ref="P48:R49"/>
    <mergeCell ref="E45:M45"/>
    <mergeCell ref="N45:N46"/>
    <mergeCell ref="O45:O46"/>
    <mergeCell ref="S45:S46"/>
    <mergeCell ref="C45:C46"/>
    <mergeCell ref="D45:D46"/>
    <mergeCell ref="B38:B39"/>
    <mergeCell ref="P35:R35"/>
    <mergeCell ref="P36:R36"/>
    <mergeCell ref="P37:R37"/>
    <mergeCell ref="P40:R40"/>
    <mergeCell ref="P41:R41"/>
    <mergeCell ref="N42:N43"/>
    <mergeCell ref="O42:O43"/>
    <mergeCell ref="P42:R43"/>
    <mergeCell ref="B42:B43"/>
    <mergeCell ref="C42:C43"/>
    <mergeCell ref="D42:D43"/>
    <mergeCell ref="E40:M40"/>
    <mergeCell ref="E41:M41"/>
    <mergeCell ref="E42:M42"/>
    <mergeCell ref="E43:M43"/>
    <mergeCell ref="C38:C39"/>
    <mergeCell ref="D38:D39"/>
    <mergeCell ref="S110:S111"/>
    <mergeCell ref="P86:R86"/>
    <mergeCell ref="E84:M84"/>
    <mergeCell ref="P84:R84"/>
    <mergeCell ref="E93:M93"/>
    <mergeCell ref="E94:M94"/>
    <mergeCell ref="E95:M95"/>
    <mergeCell ref="D110:D111"/>
    <mergeCell ref="E110:M111"/>
    <mergeCell ref="E109:M109"/>
    <mergeCell ref="N108:N109"/>
    <mergeCell ref="O108:O109"/>
    <mergeCell ref="P108:R109"/>
    <mergeCell ref="S108:S109"/>
    <mergeCell ref="P101:R102"/>
    <mergeCell ref="P103:R103"/>
    <mergeCell ref="P105:R105"/>
    <mergeCell ref="P90:R90"/>
    <mergeCell ref="P91:R91"/>
    <mergeCell ref="P92:R92"/>
    <mergeCell ref="P93:R93"/>
    <mergeCell ref="P94:R94"/>
    <mergeCell ref="P95:R95"/>
    <mergeCell ref="P96:R96"/>
    <mergeCell ref="B124:S124"/>
    <mergeCell ref="B125:N125"/>
    <mergeCell ref="O125:S125"/>
    <mergeCell ref="E115:M115"/>
    <mergeCell ref="N115:N116"/>
    <mergeCell ref="O115:O116"/>
    <mergeCell ref="E105:M105"/>
    <mergeCell ref="E106:M106"/>
    <mergeCell ref="E113:M113"/>
    <mergeCell ref="N113:N114"/>
    <mergeCell ref="O113:O114"/>
    <mergeCell ref="E114:M114"/>
    <mergeCell ref="S117:S120"/>
    <mergeCell ref="E123:M123"/>
    <mergeCell ref="S113:S114"/>
    <mergeCell ref="S115:S116"/>
    <mergeCell ref="O117:O118"/>
    <mergeCell ref="E108:M108"/>
    <mergeCell ref="E107:M107"/>
    <mergeCell ref="P112:R112"/>
    <mergeCell ref="C113:C114"/>
    <mergeCell ref="D113:D114"/>
    <mergeCell ref="C115:C116"/>
    <mergeCell ref="D115:D116"/>
    <mergeCell ref="E44:M44"/>
    <mergeCell ref="E47:M47"/>
    <mergeCell ref="E46:M46"/>
    <mergeCell ref="P44:R44"/>
    <mergeCell ref="P47:R47"/>
    <mergeCell ref="P45:R46"/>
    <mergeCell ref="E49:M49"/>
    <mergeCell ref="E56:M56"/>
    <mergeCell ref="E48:M48"/>
    <mergeCell ref="S42:S43"/>
    <mergeCell ref="E35:M35"/>
    <mergeCell ref="E30:M30"/>
    <mergeCell ref="E31:M31"/>
    <mergeCell ref="E32:M32"/>
    <mergeCell ref="E37:M37"/>
    <mergeCell ref="E36:M36"/>
    <mergeCell ref="P30:R30"/>
    <mergeCell ref="P31:R31"/>
    <mergeCell ref="E34:M34"/>
    <mergeCell ref="E33:M33"/>
    <mergeCell ref="S38:S39"/>
    <mergeCell ref="P32:R32"/>
    <mergeCell ref="P33:R33"/>
    <mergeCell ref="P34:R34"/>
    <mergeCell ref="N38:N39"/>
    <mergeCell ref="P38:R39"/>
    <mergeCell ref="E38:M39"/>
    <mergeCell ref="E28:M28"/>
    <mergeCell ref="E29:M29"/>
    <mergeCell ref="E23:M23"/>
    <mergeCell ref="B24:S24"/>
    <mergeCell ref="E25:M25"/>
    <mergeCell ref="S25:S26"/>
    <mergeCell ref="E26:M26"/>
    <mergeCell ref="P23:R23"/>
    <mergeCell ref="N25:N26"/>
    <mergeCell ref="O25:O26"/>
    <mergeCell ref="P25:R26"/>
    <mergeCell ref="P27:R27"/>
    <mergeCell ref="P28:R28"/>
    <mergeCell ref="P29:R29"/>
    <mergeCell ref="E27:M27"/>
    <mergeCell ref="P13:R13"/>
    <mergeCell ref="P14:R14"/>
    <mergeCell ref="P15:R15"/>
    <mergeCell ref="E13:M13"/>
    <mergeCell ref="B22:S22"/>
    <mergeCell ref="E17:M17"/>
    <mergeCell ref="E18:M18"/>
    <mergeCell ref="E19:M19"/>
    <mergeCell ref="N19:N20"/>
    <mergeCell ref="O19:O20"/>
    <mergeCell ref="E21:M21"/>
    <mergeCell ref="P19:R20"/>
    <mergeCell ref="P21:R21"/>
    <mergeCell ref="E16:M16"/>
    <mergeCell ref="S19:S20"/>
    <mergeCell ref="E20:M20"/>
    <mergeCell ref="P16:R16"/>
    <mergeCell ref="P17:R17"/>
    <mergeCell ref="P18:R18"/>
    <mergeCell ref="E14:M14"/>
    <mergeCell ref="E15:M15"/>
    <mergeCell ref="B9:S9"/>
    <mergeCell ref="E10:M10"/>
    <mergeCell ref="E11:M11"/>
    <mergeCell ref="E12:M12"/>
    <mergeCell ref="P10:R10"/>
    <mergeCell ref="P11:R11"/>
    <mergeCell ref="P12:R12"/>
    <mergeCell ref="I1:L3"/>
    <mergeCell ref="I4:L4"/>
    <mergeCell ref="B1:H3"/>
    <mergeCell ref="B7:S7"/>
    <mergeCell ref="M1:M2"/>
    <mergeCell ref="N1:O1"/>
    <mergeCell ref="P1:S1"/>
    <mergeCell ref="I5:S5"/>
    <mergeCell ref="P6:R6"/>
    <mergeCell ref="B6:D6"/>
    <mergeCell ref="E6:M6"/>
    <mergeCell ref="E8:S8"/>
    <mergeCell ref="A4:H5"/>
    <mergeCell ref="B113:B114"/>
    <mergeCell ref="B115:B116"/>
    <mergeCell ref="P122:R122"/>
    <mergeCell ref="P123:R123"/>
    <mergeCell ref="N117:N120"/>
    <mergeCell ref="B117:B120"/>
    <mergeCell ref="C117:C120"/>
    <mergeCell ref="D117:D120"/>
    <mergeCell ref="E122:M122"/>
    <mergeCell ref="F118:K118"/>
    <mergeCell ref="F119:K119"/>
    <mergeCell ref="F120:K120"/>
    <mergeCell ref="E116:M116"/>
    <mergeCell ref="E117:M117"/>
    <mergeCell ref="P113:R114"/>
    <mergeCell ref="P115:R116"/>
    <mergeCell ref="O119:O121"/>
    <mergeCell ref="E121:L121"/>
    <mergeCell ref="P117:R121"/>
  </mergeCells>
  <conditionalFormatting sqref="O87">
    <cfRule type="expression" dxfId="2254" priority="148" stopIfTrue="1">
      <formula>AND(claim504.1&lt;&gt;0, claim503.3_1="",claim503.3_2="",claim503.3_3="")</formula>
    </cfRule>
  </conditionalFormatting>
  <conditionalFormatting sqref="I1">
    <cfRule type="expression" dxfId="2253" priority="146" stopIfTrue="1">
      <formula>levelStatement="This project has not met all the requirements for Bronze, Silver, Gold, or Emerald."</formula>
    </cfRule>
  </conditionalFormatting>
  <conditionalFormatting sqref="O4">
    <cfRule type="expression" dxfId="2252" priority="145" stopIfTrue="1">
      <formula>$O$4="Not Met"</formula>
    </cfRule>
  </conditionalFormatting>
  <conditionalFormatting sqref="P10:R10">
    <cfRule type="beginsWith" dxfId="2251" priority="116" operator="beginsWith" text="*">
      <formula>LEFT(P10,LEN("*"))="*"</formula>
    </cfRule>
  </conditionalFormatting>
  <conditionalFormatting sqref="P11:R11">
    <cfRule type="beginsWith" dxfId="2250" priority="115" operator="beginsWith" text="*">
      <formula>LEFT(P11,LEN("*"))="*"</formula>
    </cfRule>
  </conditionalFormatting>
  <conditionalFormatting sqref="P12:R12">
    <cfRule type="beginsWith" dxfId="2249" priority="114" operator="beginsWith" text="*">
      <formula>LEFT(P12,LEN("*"))="*"</formula>
    </cfRule>
  </conditionalFormatting>
  <conditionalFormatting sqref="P13:R13">
    <cfRule type="beginsWith" dxfId="2248" priority="113" operator="beginsWith" text="*">
      <formula>LEFT(P13,LEN("*"))="*"</formula>
    </cfRule>
  </conditionalFormatting>
  <conditionalFormatting sqref="P14:R14">
    <cfRule type="beginsWith" dxfId="2247" priority="112" operator="beginsWith" text="*">
      <formula>LEFT(P14,LEN("*"))="*"</formula>
    </cfRule>
  </conditionalFormatting>
  <conditionalFormatting sqref="P15:R15">
    <cfRule type="beginsWith" dxfId="2246" priority="111" operator="beginsWith" text="*">
      <formula>LEFT(P15,LEN("*"))="*"</formula>
    </cfRule>
  </conditionalFormatting>
  <conditionalFormatting sqref="P16:R16">
    <cfRule type="beginsWith" dxfId="2245" priority="110" operator="beginsWith" text="*">
      <formula>LEFT(P16,LEN("*"))="*"</formula>
    </cfRule>
  </conditionalFormatting>
  <conditionalFormatting sqref="P17:R17">
    <cfRule type="beginsWith" dxfId="2244" priority="109" operator="beginsWith" text="*">
      <formula>LEFT(P17,LEN("*"))="*"</formula>
    </cfRule>
  </conditionalFormatting>
  <conditionalFormatting sqref="P18:R18">
    <cfRule type="beginsWith" dxfId="2243" priority="108" operator="beginsWith" text="*">
      <formula>LEFT(P18,LEN("*"))="*"</formula>
    </cfRule>
  </conditionalFormatting>
  <conditionalFormatting sqref="P19:R20">
    <cfRule type="beginsWith" dxfId="2242" priority="17" operator="beginsWith" text="*">
      <formula>LEFT(P19,LEN("*"))="*"</formula>
    </cfRule>
    <cfRule type="containsBlanks" dxfId="2241" priority="157">
      <formula>LEN(TRIM(P19))=0</formula>
    </cfRule>
  </conditionalFormatting>
  <conditionalFormatting sqref="P21:R21">
    <cfRule type="beginsWith" dxfId="2240" priority="106" operator="beginsWith" text="*">
      <formula>LEFT(P21,LEN("*"))="*"</formula>
    </cfRule>
  </conditionalFormatting>
  <conditionalFormatting sqref="P23:R23">
    <cfRule type="beginsWith" dxfId="2239" priority="105" operator="beginsWith" text="*">
      <formula>LEFT(P23,LEN("*"))="*"</formula>
    </cfRule>
  </conditionalFormatting>
  <conditionalFormatting sqref="P27:R27">
    <cfRule type="beginsWith" dxfId="2238" priority="104" operator="beginsWith" text="*">
      <formula>LEFT(P27,LEN("*"))="*"</formula>
    </cfRule>
  </conditionalFormatting>
  <conditionalFormatting sqref="P28:R28">
    <cfRule type="beginsWith" dxfId="2237" priority="103" operator="beginsWith" text="*">
      <formula>LEFT(P28,LEN("*"))="*"</formula>
    </cfRule>
  </conditionalFormatting>
  <conditionalFormatting sqref="P29:R29">
    <cfRule type="beginsWith" dxfId="2236" priority="102" operator="beginsWith" text="*">
      <formula>LEFT(P29,LEN("*"))="*"</formula>
    </cfRule>
  </conditionalFormatting>
  <conditionalFormatting sqref="P30:R30">
    <cfRule type="beginsWith" dxfId="2235" priority="101" operator="beginsWith" text="*">
      <formula>LEFT(P30,LEN("*"))="*"</formula>
    </cfRule>
  </conditionalFormatting>
  <conditionalFormatting sqref="P31:R31">
    <cfRule type="beginsWith" dxfId="2234" priority="100" operator="beginsWith" text="*">
      <formula>LEFT(P31,LEN("*"))="*"</formula>
    </cfRule>
  </conditionalFormatting>
  <conditionalFormatting sqref="P32:R32">
    <cfRule type="beginsWith" dxfId="2233" priority="99" operator="beginsWith" text="*">
      <formula>LEFT(P32,LEN("*"))="*"</formula>
    </cfRule>
  </conditionalFormatting>
  <conditionalFormatting sqref="P33:R33">
    <cfRule type="beginsWith" dxfId="2232" priority="98" operator="beginsWith" text="*">
      <formula>LEFT(P33,LEN("*"))="*"</formula>
    </cfRule>
  </conditionalFormatting>
  <conditionalFormatting sqref="P34:R34">
    <cfRule type="beginsWith" dxfId="2231" priority="97" operator="beginsWith" text="*">
      <formula>LEFT(P34,LEN("*"))="*"</formula>
    </cfRule>
  </conditionalFormatting>
  <conditionalFormatting sqref="P36:R36">
    <cfRule type="beginsWith" dxfId="2230" priority="96" operator="beginsWith" text="*">
      <formula>LEFT(P36,LEN("*"))="*"</formula>
    </cfRule>
  </conditionalFormatting>
  <conditionalFormatting sqref="P35:R35">
    <cfRule type="beginsWith" dxfId="2229" priority="95" operator="beginsWith" text="*">
      <formula>LEFT(P35,LEN("*"))="*"</formula>
    </cfRule>
  </conditionalFormatting>
  <conditionalFormatting sqref="P37:R37">
    <cfRule type="beginsWith" dxfId="2228" priority="94" operator="beginsWith" text="*">
      <formula>LEFT(P37,LEN("*"))="*"</formula>
    </cfRule>
  </conditionalFormatting>
  <conditionalFormatting sqref="P38:R39">
    <cfRule type="beginsWith" dxfId="2227" priority="93" operator="beginsWith" text="*">
      <formula>LEFT(P38,LEN("*"))="*"</formula>
    </cfRule>
  </conditionalFormatting>
  <conditionalFormatting sqref="P40:R40">
    <cfRule type="beginsWith" dxfId="2226" priority="92" operator="beginsWith" text="*">
      <formula>LEFT(P40,LEN("*"))="*"</formula>
    </cfRule>
  </conditionalFormatting>
  <conditionalFormatting sqref="P41:R41">
    <cfRule type="beginsWith" dxfId="2225" priority="91" operator="beginsWith" text="*">
      <formula>LEFT(P41,LEN("*"))="*"</formula>
    </cfRule>
  </conditionalFormatting>
  <conditionalFormatting sqref="P42:R43">
    <cfRule type="beginsWith" dxfId="2224" priority="90" operator="beginsWith" text="*">
      <formula>LEFT(P42,LEN("*"))="*"</formula>
    </cfRule>
  </conditionalFormatting>
  <conditionalFormatting sqref="P44:R44">
    <cfRule type="beginsWith" dxfId="2223" priority="89" operator="beginsWith" text="*">
      <formula>LEFT(P44,LEN("*"))="*"</formula>
    </cfRule>
  </conditionalFormatting>
  <conditionalFormatting sqref="P45:R46">
    <cfRule type="beginsWith" dxfId="2222" priority="2" operator="beginsWith" text="*">
      <formula>LEFT(P45,LEN("*"))="*"</formula>
    </cfRule>
    <cfRule type="containsBlanks" dxfId="2221" priority="16">
      <formula>LEN(TRIM(P45))=0</formula>
    </cfRule>
  </conditionalFormatting>
  <conditionalFormatting sqref="P47:R47">
    <cfRule type="beginsWith" dxfId="2220" priority="87" operator="beginsWith" text="*">
      <formula>LEFT(P47,LEN("*"))="*"</formula>
    </cfRule>
  </conditionalFormatting>
  <conditionalFormatting sqref="P48:R49">
    <cfRule type="beginsWith" dxfId="2219" priority="86" operator="beginsWith" text="*">
      <formula>LEFT(P48,LEN("*"))="*"</formula>
    </cfRule>
  </conditionalFormatting>
  <conditionalFormatting sqref="P50:R50">
    <cfRule type="beginsWith" dxfId="2218" priority="85" operator="beginsWith" text="*">
      <formula>LEFT(P50,LEN("*"))="*"</formula>
    </cfRule>
  </conditionalFormatting>
  <conditionalFormatting sqref="P51:R51">
    <cfRule type="beginsWith" dxfId="2217" priority="84" operator="beginsWith" text="*">
      <formula>LEFT(P51,LEN("*"))="*"</formula>
    </cfRule>
  </conditionalFormatting>
  <conditionalFormatting sqref="P52:R53">
    <cfRule type="beginsWith" dxfId="2216" priority="82" operator="beginsWith" text="*">
      <formula>LEFT(P52,LEN("*"))="*"</formula>
    </cfRule>
    <cfRule type="beginsWith" dxfId="2215" priority="83" operator="beginsWith" text="*">
      <formula>LEFT(P52,LEN("*"))="*"</formula>
    </cfRule>
  </conditionalFormatting>
  <conditionalFormatting sqref="P54:R54">
    <cfRule type="beginsWith" dxfId="2214" priority="81" operator="beginsWith" text="*">
      <formula>LEFT(P54,LEN("*"))="*"</formula>
    </cfRule>
  </conditionalFormatting>
  <conditionalFormatting sqref="P55:R55">
    <cfRule type="beginsWith" dxfId="2213" priority="80" operator="beginsWith" text="*">
      <formula>LEFT(P55,LEN("*"))="*"</formula>
    </cfRule>
  </conditionalFormatting>
  <conditionalFormatting sqref="P56:R56">
    <cfRule type="beginsWith" dxfId="2212" priority="79" operator="beginsWith" text="*">
      <formula>LEFT(P56,LEN("*"))="*"</formula>
    </cfRule>
  </conditionalFormatting>
  <conditionalFormatting sqref="P57:R57">
    <cfRule type="beginsWith" dxfId="2211" priority="78" operator="beginsWith" text="*">
      <formula>LEFT(P57,LEN("*"))="*"</formula>
    </cfRule>
  </conditionalFormatting>
  <conditionalFormatting sqref="P58:R59">
    <cfRule type="beginsWith" dxfId="2210" priority="77" operator="beginsWith" text="*">
      <formula>LEFT(P58,LEN("*"))="*"</formula>
    </cfRule>
  </conditionalFormatting>
  <conditionalFormatting sqref="P60:R61">
    <cfRule type="beginsWith" dxfId="2209" priority="76" operator="beginsWith" text="*">
      <formula>LEFT(P60,LEN("*"))="*"</formula>
    </cfRule>
  </conditionalFormatting>
  <conditionalFormatting sqref="P62:R67">
    <cfRule type="beginsWith" dxfId="2208" priority="75" operator="beginsWith" text="*">
      <formula>LEFT(P62,LEN("*"))="*"</formula>
    </cfRule>
  </conditionalFormatting>
  <conditionalFormatting sqref="P68:R69">
    <cfRule type="beginsWith" dxfId="2207" priority="74" operator="beginsWith" text="*">
      <formula>LEFT(P68,LEN("*"))="*"</formula>
    </cfRule>
  </conditionalFormatting>
  <conditionalFormatting sqref="P70:R71">
    <cfRule type="beginsWith" dxfId="2206" priority="73" operator="beginsWith" text="*">
      <formula>LEFT(P70,LEN("*"))="*"</formula>
    </cfRule>
  </conditionalFormatting>
  <conditionalFormatting sqref="P72:R73">
    <cfRule type="beginsWith" dxfId="2205" priority="72" operator="beginsWith" text="*">
      <formula>LEFT(P72,LEN("*"))="*"</formula>
    </cfRule>
  </conditionalFormatting>
  <conditionalFormatting sqref="P74:R74">
    <cfRule type="beginsWith" dxfId="2204" priority="71" operator="beginsWith" text="*">
      <formula>LEFT(P74,LEN("*"))="*"</formula>
    </cfRule>
  </conditionalFormatting>
  <conditionalFormatting sqref="P75:R75">
    <cfRule type="beginsWith" dxfId="2203" priority="70" operator="beginsWith" text="*">
      <formula>LEFT(P75,LEN("*"))="*"</formula>
    </cfRule>
  </conditionalFormatting>
  <conditionalFormatting sqref="P76:R76">
    <cfRule type="beginsWith" dxfId="2202" priority="69" operator="beginsWith" text="*">
      <formula>LEFT(P76,LEN("*"))="*"</formula>
    </cfRule>
  </conditionalFormatting>
  <conditionalFormatting sqref="P78:R78">
    <cfRule type="beginsWith" dxfId="2201" priority="68" operator="beginsWith" text="*">
      <formula>LEFT(P78,LEN("*"))="*"</formula>
    </cfRule>
  </conditionalFormatting>
  <conditionalFormatting sqref="P79:R79">
    <cfRule type="beginsWith" dxfId="2200" priority="67" operator="beginsWith" text="*">
      <formula>LEFT(P79,LEN("*"))="*"</formula>
    </cfRule>
  </conditionalFormatting>
  <conditionalFormatting sqref="P80:R80">
    <cfRule type="beginsWith" dxfId="2199" priority="66" operator="beginsWith" text="*">
      <formula>LEFT(P80,LEN("*"))="*"</formula>
    </cfRule>
  </conditionalFormatting>
  <conditionalFormatting sqref="P81:R81">
    <cfRule type="beginsWith" dxfId="2198" priority="65" operator="beginsWith" text="*">
      <formula>LEFT(P81,LEN("*"))="*"</formula>
    </cfRule>
  </conditionalFormatting>
  <conditionalFormatting sqref="E77:M77">
    <cfRule type="expression" dxfId="2197" priority="60">
      <formula>(COUNTBLANK($O$78:$O$81)=3)</formula>
    </cfRule>
  </conditionalFormatting>
  <conditionalFormatting sqref="O79:O81">
    <cfRule type="expression" dxfId="2196" priority="57">
      <formula>AND($O$78=3,COUNTBLANK($O$79:$O$81)=3)</formula>
    </cfRule>
  </conditionalFormatting>
  <conditionalFormatting sqref="O78 O80:O81">
    <cfRule type="expression" dxfId="2195" priority="52">
      <formula>AND($O$79=3,COUNTBLANK($O$78:$O$81)=3)</formula>
    </cfRule>
  </conditionalFormatting>
  <conditionalFormatting sqref="O78:O79 O81">
    <cfRule type="expression" dxfId="2194" priority="51">
      <formula>AND($O$80=3,COUNTBLANK($O$78:$O$81)=3)</formula>
    </cfRule>
  </conditionalFormatting>
  <conditionalFormatting sqref="O78:O80">
    <cfRule type="expression" dxfId="2193" priority="50">
      <formula>AND($O$81=3,COUNTBLANK($O$78:$O$81)=3)</formula>
    </cfRule>
  </conditionalFormatting>
  <conditionalFormatting sqref="P82:R82">
    <cfRule type="beginsWith" dxfId="2192" priority="49" operator="beginsWith" text="*">
      <formula>LEFT(P82,LEN("*"))="*"</formula>
    </cfRule>
  </conditionalFormatting>
  <conditionalFormatting sqref="P83:R83">
    <cfRule type="beginsWith" dxfId="2191" priority="48" operator="beginsWith" text="*">
      <formula>LEFT(P83,LEN("*"))="*"</formula>
    </cfRule>
  </conditionalFormatting>
  <conditionalFormatting sqref="P84:R84">
    <cfRule type="beginsWith" dxfId="2190" priority="47" operator="beginsWith" text="*">
      <formula>LEFT(P84,LEN("*"))="*"</formula>
    </cfRule>
  </conditionalFormatting>
  <conditionalFormatting sqref="P87:R88">
    <cfRule type="beginsWith" dxfId="2189" priority="46" operator="beginsWith" text="*">
      <formula>LEFT(P87,LEN("*"))="*"</formula>
    </cfRule>
  </conditionalFormatting>
  <conditionalFormatting sqref="P89:R89">
    <cfRule type="beginsWith" dxfId="2188" priority="45" operator="beginsWith" text="*">
      <formula>LEFT(P89,LEN("*"))="*"</formula>
    </cfRule>
  </conditionalFormatting>
  <conditionalFormatting sqref="P90:R90">
    <cfRule type="beginsWith" dxfId="2187" priority="44" operator="beginsWith" text="*">
      <formula>LEFT(P90,LEN("*"))="*"</formula>
    </cfRule>
  </conditionalFormatting>
  <conditionalFormatting sqref="P91:R91">
    <cfRule type="beginsWith" dxfId="2186" priority="43" operator="beginsWith" text="*">
      <formula>LEFT(P91,LEN("*"))="*"</formula>
    </cfRule>
  </conditionalFormatting>
  <conditionalFormatting sqref="P92:R92">
    <cfRule type="beginsWith" dxfId="2185" priority="42" operator="beginsWith" text="*">
      <formula>LEFT(P92,LEN("*"))="*"</formula>
    </cfRule>
  </conditionalFormatting>
  <conditionalFormatting sqref="P101:R102">
    <cfRule type="beginsWith" dxfId="2184" priority="40" operator="beginsWith" text="*">
      <formula>LEFT(P101,LEN("*"))="*"</formula>
    </cfRule>
    <cfRule type="containsBlanks" dxfId="2183" priority="159">
      <formula>LEN(TRIM(P101))=0</formula>
    </cfRule>
  </conditionalFormatting>
  <conditionalFormatting sqref="P93:R93">
    <cfRule type="beginsWith" dxfId="2182" priority="39" operator="beginsWith" text="*">
      <formula>LEFT(P93,LEN("*"))="*"</formula>
    </cfRule>
  </conditionalFormatting>
  <conditionalFormatting sqref="P94:R94">
    <cfRule type="beginsWith" dxfId="2181" priority="38" operator="beginsWith" text="*">
      <formula>LEFT(P94,LEN("*"))="*"</formula>
    </cfRule>
  </conditionalFormatting>
  <conditionalFormatting sqref="P95:R95">
    <cfRule type="beginsWith" dxfId="2180" priority="37" operator="beginsWith" text="*">
      <formula>LEFT(P95,LEN("*"))="*"</formula>
    </cfRule>
  </conditionalFormatting>
  <conditionalFormatting sqref="P96:R96">
    <cfRule type="beginsWith" dxfId="2179" priority="36" operator="beginsWith" text="*">
      <formula>LEFT(P96,LEN("*"))="*"</formula>
    </cfRule>
  </conditionalFormatting>
  <conditionalFormatting sqref="P97:R97">
    <cfRule type="beginsWith" dxfId="2178" priority="35" operator="beginsWith" text="*">
      <formula>LEFT(P97,LEN("*"))="*"</formula>
    </cfRule>
  </conditionalFormatting>
  <conditionalFormatting sqref="P98:R98">
    <cfRule type="beginsWith" dxfId="2177" priority="34" operator="beginsWith" text="*">
      <formula>LEFT(P98,LEN("*"))="*"</formula>
    </cfRule>
  </conditionalFormatting>
  <conditionalFormatting sqref="P99:R99">
    <cfRule type="beginsWith" dxfId="2176" priority="33" operator="beginsWith" text="*">
      <formula>LEFT(P99,LEN("*"))="*"</formula>
    </cfRule>
  </conditionalFormatting>
  <conditionalFormatting sqref="P100:R100">
    <cfRule type="beginsWith" dxfId="2175" priority="32" operator="beginsWith" text="*">
      <formula>LEFT(P100,LEN("*"))="*"</formula>
    </cfRule>
  </conditionalFormatting>
  <conditionalFormatting sqref="P103:R103">
    <cfRule type="beginsWith" dxfId="2174" priority="31" operator="beginsWith" text="*">
      <formula>LEFT(P103,LEN("*"))="*"</formula>
    </cfRule>
  </conditionalFormatting>
  <conditionalFormatting sqref="P106:R106">
    <cfRule type="beginsWith" dxfId="2173" priority="30" operator="beginsWith" text="*">
      <formula>LEFT(P106,LEN("*"))="*"</formula>
    </cfRule>
  </conditionalFormatting>
  <conditionalFormatting sqref="P107:R107">
    <cfRule type="beginsWith" dxfId="2172" priority="29" operator="beginsWith" text="*">
      <formula>LEFT(P107,LEN("*"))="*"</formula>
    </cfRule>
  </conditionalFormatting>
  <conditionalFormatting sqref="P108:R108">
    <cfRule type="beginsWith" dxfId="2171" priority="28" operator="beginsWith" text="*">
      <formula>LEFT(P108,LEN("*"))="*"</formula>
    </cfRule>
  </conditionalFormatting>
  <conditionalFormatting sqref="P110:R111">
    <cfRule type="beginsWith" dxfId="2170" priority="27" operator="beginsWith" text="*">
      <formula>LEFT(P110,LEN("*"))="*"</formula>
    </cfRule>
  </conditionalFormatting>
  <conditionalFormatting sqref="P112:R112">
    <cfRule type="beginsWith" dxfId="2169" priority="26" operator="beginsWith" text="*">
      <formula>LEFT(P112,LEN("*"))="*"</formula>
    </cfRule>
  </conditionalFormatting>
  <conditionalFormatting sqref="P113:R114">
    <cfRule type="beginsWith" dxfId="2168" priority="23" operator="beginsWith" text="*">
      <formula>LEFT(P113,LEN("*"))="*"</formula>
    </cfRule>
    <cfRule type="containsBlanks" dxfId="2167" priority="160">
      <formula>LEN(TRIM(P113))=0</formula>
    </cfRule>
  </conditionalFormatting>
  <conditionalFormatting sqref="P115:R116">
    <cfRule type="beginsWith" dxfId="2166" priority="22" operator="beginsWith" text="*">
      <formula>LEFT(P115,LEN("*"))="*"</formula>
    </cfRule>
    <cfRule type="containsBlanks" dxfId="2165" priority="163">
      <formula>LEN(TRIM(P115))=0</formula>
    </cfRule>
  </conditionalFormatting>
  <conditionalFormatting sqref="P117">
    <cfRule type="expression" dxfId="2164" priority="21">
      <formula>AND($E$121&lt;&gt;"",$P$117="")</formula>
    </cfRule>
  </conditionalFormatting>
  <conditionalFormatting sqref="P122:R122">
    <cfRule type="beginsWith" dxfId="2163" priority="19" operator="beginsWith" text="*">
      <formula>LEFT(P122,LEN("*"))="*"</formula>
    </cfRule>
  </conditionalFormatting>
  <conditionalFormatting sqref="P123:R123">
    <cfRule type="beginsWith" dxfId="2162" priority="18" operator="beginsWith" text="*">
      <formula>LEFT(P123,LEN("*"))="*"</formula>
    </cfRule>
  </conditionalFormatting>
  <conditionalFormatting sqref="E109:M109">
    <cfRule type="expression" dxfId="2161" priority="14" stopIfTrue="1">
      <formula>startSingleorMulti&lt;&gt;"Multi-Unit"</formula>
    </cfRule>
    <cfRule type="expression" dxfId="2160" priority="15" stopIfTrue="1">
      <formula>startSingleorMulti="Multi-Unit"</formula>
    </cfRule>
  </conditionalFormatting>
  <conditionalFormatting sqref="O108:O109">
    <cfRule type="expression" dxfId="2159" priority="3">
      <formula>AND(startSingleorMulti&lt;&gt;"Multi-Unit",$O$108&lt;&gt;"")</formula>
    </cfRule>
    <cfRule type="expression" dxfId="2158" priority="13">
      <formula>startSingleorMulti&lt;&gt;"Multi-Unit"</formula>
    </cfRule>
  </conditionalFormatting>
  <conditionalFormatting sqref="O58:O59">
    <cfRule type="expression" dxfId="2157" priority="12">
      <formula>AND(claim503.5_1&lt;&gt;"",claim503.5_1&lt;&gt;$N$58)</formula>
    </cfRule>
  </conditionalFormatting>
  <conditionalFormatting sqref="O60:O61">
    <cfRule type="expression" dxfId="2156" priority="11">
      <formula>AND(claim503.5_2&lt;&gt;"",claim503.5_2&lt;&gt;$N$60)</formula>
    </cfRule>
  </conditionalFormatting>
  <conditionalFormatting sqref="O68:O69">
    <cfRule type="expression" dxfId="2155" priority="10">
      <formula>AND(claim503.5_4&lt;&gt;"",claim503.5_4&lt;&gt;N68)</formula>
    </cfRule>
  </conditionalFormatting>
  <conditionalFormatting sqref="O70:O71">
    <cfRule type="expression" dxfId="2154" priority="9">
      <formula>AND(claim503.5_5&lt;&gt;"",claim503.5_5&lt;&gt;$N$70)</formula>
    </cfRule>
  </conditionalFormatting>
  <conditionalFormatting sqref="O72:O73">
    <cfRule type="expression" dxfId="2153" priority="8">
      <formula>AND(claim503.5_6&lt;&gt;"",claim503.5_6&lt;&gt;$N$72)</formula>
    </cfRule>
  </conditionalFormatting>
  <conditionalFormatting sqref="O62">
    <cfRule type="expression" dxfId="2152" priority="6">
      <formula>OR(AND(choice503.5_3=dd503.5_3_opt1,claim503.5_3&lt;&gt;points503.5_3a),AND(choice503.5_3=dd503.5_3_opt2,claim503.5_3&lt;&gt;points503.5_3b),AND(choice503.5_3=dd503.5_3_opt3,claim503.5_3&lt;&gt;points503.5_3c),AND(choice503.5_3=dd503.5_3_opt4,claim503.5_3&lt;&gt;points503.5_3d))</formula>
    </cfRule>
  </conditionalFormatting>
  <conditionalFormatting sqref="E63:M63">
    <cfRule type="expression" dxfId="2151" priority="4">
      <formula>$E$63="Landscape Type not chosen - No points available"</formula>
    </cfRule>
  </conditionalFormatting>
  <conditionalFormatting sqref="E121:L121">
    <cfRule type="expression" dxfId="2150" priority="1">
      <formula>AND($E$121&lt;&gt;"")</formula>
    </cfRule>
  </conditionalFormatting>
  <dataValidations count="17">
    <dataValidation type="whole" operator="equal" allowBlank="1" showInputMessage="1" showErrorMessage="1" errorTitle="Invalid value" error="Leave cell blank or enter the number 6." sqref="O55 O29 O50 O11" xr:uid="{00000000-0002-0000-0100-000000000000}">
      <formula1>6</formula1>
    </dataValidation>
    <dataValidation type="whole" operator="equal" allowBlank="1" showInputMessage="1" showErrorMessage="1" errorTitle="Invalid value" error="Leave cell blank or enter the number 7." sqref="O51 O56 O13" xr:uid="{00000000-0002-0000-0100-000001000000}">
      <formula1>7</formula1>
    </dataValidation>
    <dataValidation type="whole" operator="equal" allowBlank="1" showInputMessage="1" showErrorMessage="1" errorTitle="Invalid value" error="Leave cell blank or enter the number 3." sqref="O123 O90 O32 O74 O78:O81 O99:O100 O103" xr:uid="{00000000-0002-0000-0100-000002000000}">
      <formula1>3</formula1>
    </dataValidation>
    <dataValidation type="whole" operator="equal" allowBlank="1" showInputMessage="1" showErrorMessage="1" errorTitle="Invalid value" error="Leave cell blank or enter the number 5." sqref="O94:O97 O21 O34 O28 O44:O47 O91 O107:O108 O40:O41 O36 O113:O116 O101:O102 O18" xr:uid="{00000000-0002-0000-0100-000003000000}">
      <formula1>5</formula1>
    </dataValidation>
    <dataValidation type="whole" operator="equal" allowBlank="1" showInputMessage="1" showErrorMessage="1" errorTitle="Invalid value" error="Leave cell blank or enter the number 4." sqref="O83:O84 O33 O17 O37 O30:O31 O87 O92 O23 O75 O98 O19:O20" xr:uid="{00000000-0002-0000-0100-000004000000}">
      <formula1>4</formula1>
    </dataValidation>
    <dataValidation type="list" allowBlank="1" showInputMessage="1" showErrorMessage="1" sqref="O38" xr:uid="{00000000-0002-0000-0100-000005000000}">
      <formula1>dd503.2_3</formula1>
    </dataValidation>
    <dataValidation type="whole" operator="equal" allowBlank="1" showInputMessage="1" showErrorMessage="1" errorTitle="Invalid value" error="Leave cell blank or enter the number 8." sqref="O12 O122" xr:uid="{00000000-0002-0000-0100-000006000000}">
      <formula1>8</formula1>
    </dataValidation>
    <dataValidation type="whole" operator="equal" allowBlank="1" showInputMessage="1" showErrorMessage="1" errorTitle="Invalid value" error="Leave cell blank or enter the number 9." sqref="O14:O15" xr:uid="{00000000-0002-0000-0100-000007000000}">
      <formula1>9</formula1>
    </dataValidation>
    <dataValidation type="list" allowBlank="1" showInputMessage="1" showErrorMessage="1" sqref="O52" xr:uid="{00000000-0002-0000-0100-000008000000}">
      <formula1>dd503.4_3</formula1>
    </dataValidation>
    <dataValidation type="whole" operator="equal" allowBlank="1" showInputMessage="1" showErrorMessage="1" errorTitle="Invalid Value" error="Leave cell blank or enter the number 5." sqref="O54" xr:uid="{00000000-0002-0000-0100-000009000000}">
      <formula1>5</formula1>
    </dataValidation>
    <dataValidation type="list" operator="equal" allowBlank="1" showInputMessage="1" showErrorMessage="1" errorTitle="Invalid value" error="Leave cell blank or select a value from the drop down list." sqref="O110" xr:uid="{00000000-0002-0000-0100-00000A000000}">
      <formula1>dd505.1_3</formula1>
    </dataValidation>
    <dataValidation type="list" allowBlank="1" showInputMessage="1" showErrorMessage="1" errorTitle="Invalid value" error="Leave cell blank or select a value from the drop down list." sqref="O117" xr:uid="{00000000-0002-0000-0100-00000B000000}">
      <formula1>dd505.3</formula1>
    </dataValidation>
    <dataValidation type="list" allowBlank="1" showInputMessage="1" showErrorMessage="1" errorTitle="Invalid value" error="Leave blank or select a value from the dropdown list." sqref="O62" xr:uid="{00000000-0002-0000-0100-00000C000000}">
      <formula1>dd503.5_3</formula1>
    </dataValidation>
    <dataValidation type="list" allowBlank="1" showInputMessage="1" showErrorMessage="1" sqref="O57" xr:uid="{00000000-0002-0000-0100-00000D000000}">
      <formula1>ddLandscapeTypes</formula1>
    </dataValidation>
    <dataValidation type="whole" operator="equal" allowBlank="1" showInputMessage="1" showErrorMessage="1" errorTitle="Invalid entry" error="Leave cell blank or enter the number of points availble for this practice." sqref="O58:O59" xr:uid="{00000000-0002-0000-0100-00000E000000}">
      <formula1>N58</formula1>
    </dataValidation>
    <dataValidation type="whole" operator="equal" allowBlank="1" showInputMessage="1" showErrorMessage="1" errorTitle="Invalid entry" error="Leave cell blank or enter the number of points available for this practice." sqref="O60:O61 O68:O71" xr:uid="{00000000-0002-0000-0100-00000F000000}">
      <formula1>N60</formula1>
    </dataValidation>
    <dataValidation type="whole" operator="equal" allowBlank="1" showInputMessage="1" showErrorMessage="1" errorTitle="Invalid entry" error="Leave cell blank or enter the number of points available for the practice." sqref="O72:O73" xr:uid="{00000000-0002-0000-0100-000010000000}">
      <formula1>N72</formula1>
    </dataValidation>
  </dataValidations>
  <hyperlinks>
    <hyperlink ref="O125:S125" location="'Ch6'!A1" display="Proceed to Chapter 6 &gt;&gt;" xr:uid="{00000000-0004-0000-0100-000000000000}"/>
  </hyperlinks>
  <pageMargins left="0.7" right="0.7" top="0.75" bottom="0.75" header="0.3" footer="0.3"/>
  <pageSetup scale="54" fitToHeight="3" orientation="portrait" r:id="rId1"/>
  <headerFooter>
    <oddFooter>&amp;C&amp;9© 2013 Home Innovation Research Labs.  Practices of ICC700-2012 © 2013 National Association of Home Builders- used by permission.   Home Innovation authorizes use by those persons participating in the Home Innovation’s Green Building Certification.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AL215"/>
  <sheetViews>
    <sheetView zoomScaleNormal="100" workbookViewId="0">
      <pane ySplit="6" topLeftCell="A7" activePane="bottomLeft" state="frozen"/>
      <selection activeCell="A3" sqref="A1:K3"/>
      <selection pane="bottomLeft" activeCell="P16" sqref="P16"/>
    </sheetView>
  </sheetViews>
  <sheetFormatPr baseColWidth="10" defaultColWidth="9.1640625" defaultRowHeight="14"/>
  <cols>
    <col min="1" max="1" width="4.6640625" style="1737" hidden="1" customWidth="1"/>
    <col min="2" max="2" width="5.6640625" style="1737" hidden="1" customWidth="1"/>
    <col min="3" max="3" width="6.6640625" style="148" customWidth="1"/>
    <col min="4" max="4" width="4.33203125" style="149" customWidth="1"/>
    <col min="5" max="5" width="3.6640625" style="150" customWidth="1"/>
    <col min="6" max="13" width="8.6640625" style="116" customWidth="1"/>
    <col min="14" max="14" width="10.6640625" style="116" bestFit="1" customWidth="1"/>
    <col min="15" max="15" width="15.6640625" style="151" customWidth="1"/>
    <col min="16" max="16" width="15.6640625" style="152" customWidth="1"/>
    <col min="17" max="18" width="11.6640625" style="116" customWidth="1"/>
    <col min="19" max="19" width="11.5" style="153" customWidth="1"/>
    <col min="20" max="20" width="11.6640625" style="590" customWidth="1"/>
    <col min="21" max="21" width="9.1640625" style="116"/>
    <col min="22" max="22" width="9.1640625" style="116" customWidth="1"/>
    <col min="23" max="23" width="9.1640625" style="116"/>
    <col min="24" max="24" width="9.1640625" style="116" customWidth="1"/>
    <col min="25" max="16384" width="9.1640625" style="116"/>
  </cols>
  <sheetData>
    <row r="1" spans="1:23" ht="15" customHeight="1">
      <c r="C1" s="3494"/>
      <c r="D1" s="3495"/>
      <c r="E1" s="3495"/>
      <c r="F1" s="3495"/>
      <c r="G1" s="3495"/>
      <c r="H1" s="3495"/>
      <c r="I1" s="2152"/>
      <c r="J1" s="3496" t="str">
        <f>levelStatement</f>
        <v>This project has not met all the requirements for Bronze, Silver, Gold, or Emerald.</v>
      </c>
      <c r="K1" s="3496"/>
      <c r="L1" s="3496"/>
      <c r="M1" s="3497"/>
      <c r="N1" s="2877">
        <v>2012</v>
      </c>
      <c r="O1" s="2879" t="s">
        <v>0</v>
      </c>
      <c r="P1" s="2880"/>
      <c r="Q1" s="2879" t="s">
        <v>1</v>
      </c>
      <c r="R1" s="2881"/>
      <c r="S1" s="2881"/>
      <c r="T1" s="2880"/>
    </row>
    <row r="2" spans="1:23" ht="15" customHeight="1">
      <c r="C2" s="3495"/>
      <c r="D2" s="3495"/>
      <c r="E2" s="3495"/>
      <c r="F2" s="3495"/>
      <c r="G2" s="3495"/>
      <c r="H2" s="3495"/>
      <c r="I2" s="2152"/>
      <c r="J2" s="3496"/>
      <c r="K2" s="3496"/>
      <c r="L2" s="3496"/>
      <c r="M2" s="3497"/>
      <c r="N2" s="2878"/>
      <c r="O2" s="1" t="s">
        <v>2</v>
      </c>
      <c r="P2" s="1" t="s">
        <v>3</v>
      </c>
      <c r="Q2" s="2" t="s">
        <v>4</v>
      </c>
      <c r="R2" s="3" t="s">
        <v>5</v>
      </c>
      <c r="S2" s="4" t="s">
        <v>6</v>
      </c>
      <c r="T2" s="5" t="s">
        <v>7</v>
      </c>
    </row>
    <row r="3" spans="1:23" ht="15" customHeight="1">
      <c r="C3" s="3495"/>
      <c r="D3" s="3495"/>
      <c r="E3" s="3495"/>
      <c r="F3" s="3495"/>
      <c r="G3" s="3495"/>
      <c r="H3" s="3495"/>
      <c r="I3" s="2152"/>
      <c r="J3" s="3496"/>
      <c r="K3" s="3496"/>
      <c r="L3" s="3496"/>
      <c r="M3" s="3497"/>
      <c r="N3" s="6" t="s">
        <v>8</v>
      </c>
      <c r="O3" s="972">
        <f>(SUM(P9:P210)-SUM(choice601.7_1,choice601.7_2,choice601.7_3,choice603.2,claim606.1_1,claim606.1_2,claim606.1_3,claim610.1.1,claim610.1.2,claim610.1.2_1,claim611.2_1,claim611.2_2,claim611.2_3,claim611.2_4,claim611.2_5,claim611.2_6,claim611.2_7,enter610.1.2_1_4meas,enter610.1.2_1_5meas,choice610.1.2_2))</f>
        <v>0</v>
      </c>
      <c r="P3" s="969" t="str">
        <f>IF(SUM(ch6Mandatory)=11,"Met","Not Met")</f>
        <v>Not Met</v>
      </c>
      <c r="Q3" s="7">
        <v>43</v>
      </c>
      <c r="R3" s="7">
        <v>59</v>
      </c>
      <c r="S3" s="7">
        <v>89</v>
      </c>
      <c r="T3" s="589">
        <v>119</v>
      </c>
    </row>
    <row r="4" spans="1:23" ht="15" customHeight="1">
      <c r="C4" s="3649" t="s">
        <v>2982</v>
      </c>
      <c r="D4" s="3649"/>
      <c r="E4" s="3649"/>
      <c r="F4" s="3649"/>
      <c r="G4" s="3649"/>
      <c r="H4" s="3649"/>
      <c r="I4" s="3649"/>
      <c r="J4" s="3498" t="str">
        <f>CONCATENATE("Revised ",TEXT(startRevisionDate,"mmmm dd, yyyy"))</f>
        <v>Revised August 21, 2020</v>
      </c>
      <c r="K4" s="3495"/>
      <c r="L4" s="3495"/>
      <c r="M4" s="3499"/>
      <c r="N4" s="2287" t="s">
        <v>10</v>
      </c>
      <c r="O4" s="2292">
        <f>projectTotal</f>
        <v>0</v>
      </c>
      <c r="P4" s="2289" t="str">
        <f>IF(SUM(projectMandatoryCount)=4,"Met","Not Met")</f>
        <v>Not Met</v>
      </c>
      <c r="Q4" s="2283">
        <f>SUM(bronzeMinimum)</f>
        <v>231</v>
      </c>
      <c r="R4" s="2283">
        <f>SUM(silverMinimum)</f>
        <v>349</v>
      </c>
      <c r="S4" s="2283">
        <f>SUM(goldMinimum)</f>
        <v>509</v>
      </c>
      <c r="T4" s="2293">
        <f>SUM(emeraldMinimum)</f>
        <v>641</v>
      </c>
      <c r="W4" s="32"/>
    </row>
    <row r="5" spans="1:23" s="32" customFormat="1" ht="15" customHeight="1" thickBot="1">
      <c r="A5" s="200"/>
      <c r="B5" s="200"/>
      <c r="C5" s="3650"/>
      <c r="D5" s="3650"/>
      <c r="E5" s="3650"/>
      <c r="F5" s="3650"/>
      <c r="G5" s="3650"/>
      <c r="H5" s="3650"/>
      <c r="I5" s="3650"/>
      <c r="J5" s="3024" t="str">
        <f>CONCATENATE(copyright," All rights reserved.  See full notice at bottom of this sheet")</f>
        <v>© 2020 Home Innovation Research Labs, Inc. All rights reserved.  See full notice at bottom of this sheet</v>
      </c>
      <c r="K5" s="3024"/>
      <c r="L5" s="3024"/>
      <c r="M5" s="3024"/>
      <c r="N5" s="3024"/>
      <c r="O5" s="3024"/>
      <c r="P5" s="3024"/>
      <c r="Q5" s="3024"/>
      <c r="R5" s="3024"/>
      <c r="S5" s="3024"/>
      <c r="T5" s="3024"/>
    </row>
    <row r="6" spans="1:23" s="117" customFormat="1" ht="15.75" customHeight="1" thickBot="1">
      <c r="C6" s="3500" t="s">
        <v>11</v>
      </c>
      <c r="D6" s="3501"/>
      <c r="E6" s="3501"/>
      <c r="F6" s="3501" t="s">
        <v>231</v>
      </c>
      <c r="G6" s="3501"/>
      <c r="H6" s="3501"/>
      <c r="I6" s="3501"/>
      <c r="J6" s="3501"/>
      <c r="K6" s="3501"/>
      <c r="L6" s="3501"/>
      <c r="M6" s="3501"/>
      <c r="N6" s="3501"/>
      <c r="O6" s="2666" t="s">
        <v>13</v>
      </c>
      <c r="P6" s="2666" t="s">
        <v>232</v>
      </c>
      <c r="Q6" s="3480" t="s">
        <v>16</v>
      </c>
      <c r="R6" s="3481"/>
      <c r="S6" s="3482"/>
      <c r="T6" s="2665" t="s">
        <v>2985</v>
      </c>
    </row>
    <row r="7" spans="1:23" s="117" customFormat="1" ht="15">
      <c r="C7" s="3470" t="s">
        <v>234</v>
      </c>
      <c r="D7" s="3470"/>
      <c r="E7" s="3470"/>
      <c r="F7" s="3470"/>
      <c r="G7" s="3470"/>
      <c r="H7" s="3470"/>
      <c r="I7" s="3470"/>
      <c r="J7" s="3470"/>
      <c r="K7" s="3470"/>
      <c r="L7" s="3470"/>
      <c r="M7" s="3470"/>
      <c r="N7" s="3470"/>
      <c r="O7" s="3470"/>
      <c r="P7" s="3470"/>
      <c r="Q7" s="3470"/>
      <c r="R7" s="3470"/>
      <c r="S7" s="3470"/>
      <c r="T7" s="3470"/>
    </row>
    <row r="8" spans="1:23" s="119" customFormat="1" ht="29.25" customHeight="1" thickBot="1">
      <c r="C8" s="2222">
        <v>601</v>
      </c>
      <c r="D8" s="2208"/>
      <c r="E8" s="3351" t="s">
        <v>1063</v>
      </c>
      <c r="F8" s="3492"/>
      <c r="G8" s="3492"/>
      <c r="H8" s="3492"/>
      <c r="I8" s="3492"/>
      <c r="J8" s="3492"/>
      <c r="K8" s="3492"/>
      <c r="L8" s="3492"/>
      <c r="M8" s="3492"/>
      <c r="N8" s="3492"/>
      <c r="O8" s="3492"/>
      <c r="P8" s="3492"/>
      <c r="Q8" s="3492"/>
      <c r="R8" s="3492"/>
      <c r="S8" s="3492"/>
      <c r="T8" s="3493"/>
    </row>
    <row r="9" spans="1:23" s="121" customFormat="1" ht="78" customHeight="1" thickTop="1" thickBot="1">
      <c r="A9" s="1738"/>
      <c r="B9" s="1738"/>
      <c r="C9" s="11">
        <v>601.1</v>
      </c>
      <c r="D9" s="12"/>
      <c r="E9" s="120"/>
      <c r="F9" s="3012" t="s">
        <v>899</v>
      </c>
      <c r="G9" s="3474"/>
      <c r="H9" s="3474"/>
      <c r="I9" s="3474"/>
      <c r="J9" s="3474"/>
      <c r="K9" s="3474"/>
      <c r="L9" s="3474"/>
      <c r="M9" s="3474"/>
      <c r="N9" s="3474"/>
      <c r="O9" s="3478"/>
      <c r="P9" s="3248">
        <f>score601.1</f>
        <v>0</v>
      </c>
      <c r="Q9" s="3483"/>
      <c r="R9" s="3484"/>
      <c r="S9" s="3484"/>
      <c r="T9" s="3471" t="s">
        <v>20</v>
      </c>
    </row>
    <row r="10" spans="1:23" s="121" customFormat="1" ht="16">
      <c r="A10" s="1738"/>
      <c r="B10" s="1738"/>
      <c r="C10" s="122"/>
      <c r="D10" s="2168"/>
      <c r="E10" s="2168"/>
      <c r="F10" s="499">
        <v>1</v>
      </c>
      <c r="G10" s="3489" t="s">
        <v>235</v>
      </c>
      <c r="H10" s="3489"/>
      <c r="I10" s="3489"/>
      <c r="J10" s="3489"/>
      <c r="K10" s="3489"/>
      <c r="L10" s="500" t="s">
        <v>900</v>
      </c>
      <c r="M10" s="2168"/>
      <c r="N10" s="2168"/>
      <c r="O10" s="3479"/>
      <c r="P10" s="3248"/>
      <c r="Q10" s="3485"/>
      <c r="R10" s="3486"/>
      <c r="S10" s="3486"/>
      <c r="T10" s="3472"/>
    </row>
    <row r="11" spans="1:23" s="121" customFormat="1" ht="16">
      <c r="A11" s="1738"/>
      <c r="B11" s="1738"/>
      <c r="C11" s="122"/>
      <c r="D11" s="2168"/>
      <c r="E11" s="2168"/>
      <c r="F11" s="501">
        <v>2</v>
      </c>
      <c r="G11" s="3490" t="s">
        <v>236</v>
      </c>
      <c r="H11" s="3490"/>
      <c r="I11" s="3490"/>
      <c r="J11" s="3490"/>
      <c r="K11" s="3490"/>
      <c r="L11" s="502" t="s">
        <v>901</v>
      </c>
      <c r="M11" s="2168"/>
      <c r="N11" s="2168"/>
      <c r="O11" s="3479"/>
      <c r="P11" s="3248"/>
      <c r="Q11" s="3485"/>
      <c r="R11" s="3486"/>
      <c r="S11" s="3486"/>
      <c r="T11" s="3472"/>
    </row>
    <row r="12" spans="1:23" s="121" customFormat="1" ht="16">
      <c r="A12" s="1738"/>
      <c r="B12" s="1738"/>
      <c r="C12" s="122"/>
      <c r="D12" s="2168"/>
      <c r="E12" s="2168"/>
      <c r="F12" s="501">
        <v>3</v>
      </c>
      <c r="G12" s="3490" t="s">
        <v>237</v>
      </c>
      <c r="H12" s="3490"/>
      <c r="I12" s="3490"/>
      <c r="J12" s="3490"/>
      <c r="K12" s="3490"/>
      <c r="L12" s="502" t="s">
        <v>902</v>
      </c>
      <c r="M12" s="2168"/>
      <c r="N12" s="2168"/>
      <c r="O12" s="3479"/>
      <c r="P12" s="3248"/>
      <c r="Q12" s="3485"/>
      <c r="R12" s="3486"/>
      <c r="S12" s="3486"/>
      <c r="T12" s="3472"/>
    </row>
    <row r="13" spans="1:23" s="121" customFormat="1" ht="18" customHeight="1" thickBot="1">
      <c r="A13" s="1738"/>
      <c r="B13" s="1738"/>
      <c r="C13" s="122"/>
      <c r="D13" s="2168"/>
      <c r="E13" s="2168"/>
      <c r="F13" s="503">
        <v>4</v>
      </c>
      <c r="G13" s="3491" t="s">
        <v>238</v>
      </c>
      <c r="H13" s="3491"/>
      <c r="I13" s="3491"/>
      <c r="J13" s="3491"/>
      <c r="K13" s="3491"/>
      <c r="L13" s="504" t="s">
        <v>68</v>
      </c>
      <c r="M13" s="613"/>
      <c r="N13" s="613"/>
      <c r="O13" s="3479"/>
      <c r="P13" s="3248"/>
      <c r="Q13" s="3485"/>
      <c r="R13" s="3486"/>
      <c r="S13" s="3486"/>
      <c r="T13" s="3472"/>
    </row>
    <row r="14" spans="1:23" s="121" customFormat="1" ht="29.25" customHeight="1" thickBot="1">
      <c r="A14" s="1738"/>
      <c r="B14" s="1738"/>
      <c r="C14" s="122"/>
      <c r="D14" s="14"/>
      <c r="E14" s="123"/>
      <c r="F14" s="3475" t="str">
        <f>IF(AND(startSquareFootage&lt;=2500, startSquareFootage&gt;0),CONCATENATE("**Your project has ",startSquareFootage," conditioned square feet above grade plane.**"),IF(startSquareFootage&gt;2500,CONCATENATE("**Your project has ",startSquareFootage," conditioned square feet above grade plane, and is not eligible for points in 601.1.**"),CONCATENATE("**Enter the above grade plane conditioned floor area in the Start Here! worksheet.**")))</f>
        <v>**Enter the above grade plane conditioned floor area in the Start Here! worksheet.**</v>
      </c>
      <c r="G14" s="3476"/>
      <c r="H14" s="3476"/>
      <c r="I14" s="3476"/>
      <c r="J14" s="3476"/>
      <c r="K14" s="3476"/>
      <c r="L14" s="3476"/>
      <c r="M14" s="3476"/>
      <c r="N14" s="3477"/>
      <c r="O14" s="3479"/>
      <c r="P14" s="3455"/>
      <c r="Q14" s="3487"/>
      <c r="R14" s="3488"/>
      <c r="S14" s="3488"/>
      <c r="T14" s="3473"/>
    </row>
    <row r="15" spans="1:23" s="124" customFormat="1" ht="45" customHeight="1" thickTop="1">
      <c r="A15" s="1739"/>
      <c r="B15" s="1739"/>
      <c r="C15" s="639">
        <v>601.20000000000005</v>
      </c>
      <c r="D15" s="640"/>
      <c r="E15" s="641"/>
      <c r="F15" s="3334" t="s">
        <v>906</v>
      </c>
      <c r="G15" s="3335"/>
      <c r="H15" s="3335"/>
      <c r="I15" s="3335"/>
      <c r="J15" s="3335"/>
      <c r="K15" s="3335"/>
      <c r="L15" s="3335"/>
      <c r="M15" s="3335"/>
      <c r="N15" s="3335"/>
      <c r="O15" s="1258" t="s">
        <v>2595</v>
      </c>
      <c r="P15" s="2187"/>
      <c r="Q15" s="3502"/>
      <c r="R15" s="3502"/>
      <c r="S15" s="3502"/>
      <c r="T15" s="646"/>
    </row>
    <row r="16" spans="1:23" ht="30" customHeight="1">
      <c r="C16" s="125"/>
      <c r="D16" s="126">
        <v>1</v>
      </c>
      <c r="E16" s="127"/>
      <c r="F16" s="3505" t="s">
        <v>903</v>
      </c>
      <c r="G16" s="3505"/>
      <c r="H16" s="3505"/>
      <c r="I16" s="3505"/>
      <c r="J16" s="3505"/>
      <c r="K16" s="3505"/>
      <c r="L16" s="3505"/>
      <c r="M16" s="3505"/>
      <c r="N16" s="3505"/>
      <c r="O16" s="128">
        <v>3</v>
      </c>
      <c r="P16" s="591"/>
      <c r="Q16" s="2995"/>
      <c r="R16" s="2996"/>
      <c r="S16" s="2996"/>
      <c r="T16" s="678" t="s">
        <v>20</v>
      </c>
    </row>
    <row r="17" spans="3:20" ht="45" customHeight="1">
      <c r="C17" s="125"/>
      <c r="D17" s="2223">
        <v>2</v>
      </c>
      <c r="E17" s="2224"/>
      <c r="F17" s="3345" t="s">
        <v>904</v>
      </c>
      <c r="G17" s="3345"/>
      <c r="H17" s="3345"/>
      <c r="I17" s="3345"/>
      <c r="J17" s="3345"/>
      <c r="K17" s="3345"/>
      <c r="L17" s="3345"/>
      <c r="M17" s="3345"/>
      <c r="N17" s="3345"/>
      <c r="O17" s="2225">
        <v>3</v>
      </c>
      <c r="P17" s="810"/>
      <c r="Q17" s="2997"/>
      <c r="R17" s="2998"/>
      <c r="S17" s="2998"/>
      <c r="T17" s="676" t="s">
        <v>20</v>
      </c>
    </row>
    <row r="18" spans="3:20" ht="30" customHeight="1" thickBot="1">
      <c r="C18" s="642"/>
      <c r="D18" s="643">
        <v>3</v>
      </c>
      <c r="E18" s="644"/>
      <c r="F18" s="3523" t="s">
        <v>905</v>
      </c>
      <c r="G18" s="3523"/>
      <c r="H18" s="3523"/>
      <c r="I18" s="3523"/>
      <c r="J18" s="3523"/>
      <c r="K18" s="3523"/>
      <c r="L18" s="3523"/>
      <c r="M18" s="3523"/>
      <c r="N18" s="3523"/>
      <c r="O18" s="645">
        <v>3</v>
      </c>
      <c r="P18" s="1281"/>
      <c r="Q18" s="3083"/>
      <c r="R18" s="3084"/>
      <c r="S18" s="3084"/>
      <c r="T18" s="677" t="s">
        <v>20</v>
      </c>
    </row>
    <row r="19" spans="3:20" ht="39" customHeight="1" thickTop="1">
      <c r="C19" s="505">
        <v>601.29999999999995</v>
      </c>
      <c r="D19" s="506"/>
      <c r="E19" s="507"/>
      <c r="F19" s="3334" t="s">
        <v>239</v>
      </c>
      <c r="G19" s="3334"/>
      <c r="H19" s="3334"/>
      <c r="I19" s="3334"/>
      <c r="J19" s="3334"/>
      <c r="K19" s="3334"/>
      <c r="L19" s="3334"/>
      <c r="M19" s="3334"/>
      <c r="N19" s="3334"/>
      <c r="O19" s="495"/>
      <c r="P19" s="508"/>
      <c r="Q19" s="3506"/>
      <c r="R19" s="3506"/>
      <c r="S19" s="3507"/>
      <c r="T19" s="647"/>
    </row>
    <row r="20" spans="3:20" ht="15" customHeight="1">
      <c r="C20" s="125"/>
      <c r="D20" s="126">
        <v>1</v>
      </c>
      <c r="E20" s="127"/>
      <c r="F20" s="3505" t="s">
        <v>240</v>
      </c>
      <c r="G20" s="3505"/>
      <c r="H20" s="3505"/>
      <c r="I20" s="3505"/>
      <c r="J20" s="3505"/>
      <c r="K20" s="3505"/>
      <c r="L20" s="3505"/>
      <c r="M20" s="3505"/>
      <c r="N20" s="3505"/>
      <c r="O20" s="128">
        <v>3</v>
      </c>
      <c r="P20" s="591"/>
      <c r="Q20" s="2995"/>
      <c r="R20" s="2996"/>
      <c r="S20" s="2996"/>
      <c r="T20" s="678" t="s">
        <v>20</v>
      </c>
    </row>
    <row r="21" spans="3:20" ht="15" customHeight="1">
      <c r="C21" s="125"/>
      <c r="D21" s="2223">
        <v>2</v>
      </c>
      <c r="E21" s="2224"/>
      <c r="F21" s="3345" t="s">
        <v>241</v>
      </c>
      <c r="G21" s="3345"/>
      <c r="H21" s="3345"/>
      <c r="I21" s="3345"/>
      <c r="J21" s="3345"/>
      <c r="K21" s="3345"/>
      <c r="L21" s="3345"/>
      <c r="M21" s="3345"/>
      <c r="N21" s="3345"/>
      <c r="O21" s="2225">
        <v>3</v>
      </c>
      <c r="P21" s="810"/>
      <c r="Q21" s="2997"/>
      <c r="R21" s="2998"/>
      <c r="S21" s="2998"/>
      <c r="T21" s="676" t="s">
        <v>20</v>
      </c>
    </row>
    <row r="22" spans="3:20" ht="15" customHeight="1">
      <c r="C22" s="125"/>
      <c r="D22" s="2223">
        <v>3</v>
      </c>
      <c r="E22" s="2224"/>
      <c r="F22" s="3345" t="s">
        <v>242</v>
      </c>
      <c r="G22" s="3345"/>
      <c r="H22" s="3345"/>
      <c r="I22" s="3345"/>
      <c r="J22" s="3345"/>
      <c r="K22" s="3345"/>
      <c r="L22" s="3345"/>
      <c r="M22" s="3345"/>
      <c r="N22" s="3345"/>
      <c r="O22" s="2225">
        <v>3</v>
      </c>
      <c r="P22" s="810"/>
      <c r="Q22" s="2997"/>
      <c r="R22" s="2998"/>
      <c r="S22" s="2998"/>
      <c r="T22" s="676" t="s">
        <v>20</v>
      </c>
    </row>
    <row r="23" spans="3:20" ht="15" customHeight="1">
      <c r="C23" s="125"/>
      <c r="D23" s="2223">
        <v>4</v>
      </c>
      <c r="E23" s="2224"/>
      <c r="F23" s="3345" t="s">
        <v>243</v>
      </c>
      <c r="G23" s="3345"/>
      <c r="H23" s="3345"/>
      <c r="I23" s="3345"/>
      <c r="J23" s="3345"/>
      <c r="K23" s="3345"/>
      <c r="L23" s="3345"/>
      <c r="M23" s="3345"/>
      <c r="N23" s="3345"/>
      <c r="O23" s="2225">
        <v>3</v>
      </c>
      <c r="P23" s="810"/>
      <c r="Q23" s="2997"/>
      <c r="R23" s="2998"/>
      <c r="S23" s="2998"/>
      <c r="T23" s="676" t="s">
        <v>20</v>
      </c>
    </row>
    <row r="24" spans="3:20" ht="15.75" customHeight="1" thickBot="1">
      <c r="C24" s="125"/>
      <c r="D24" s="2207">
        <v>5</v>
      </c>
      <c r="E24" s="129"/>
      <c r="F24" s="3353" t="s">
        <v>244</v>
      </c>
      <c r="G24" s="3353"/>
      <c r="H24" s="3353"/>
      <c r="I24" s="3353"/>
      <c r="J24" s="3353"/>
      <c r="K24" s="3353"/>
      <c r="L24" s="3353"/>
      <c r="M24" s="3353"/>
      <c r="N24" s="3353"/>
      <c r="O24" s="2179">
        <v>1</v>
      </c>
      <c r="P24" s="1278"/>
      <c r="Q24" s="3083"/>
      <c r="R24" s="3084"/>
      <c r="S24" s="3084"/>
      <c r="T24" s="677" t="s">
        <v>20</v>
      </c>
    </row>
    <row r="25" spans="3:20" ht="30" customHeight="1" thickTop="1" thickBot="1">
      <c r="C25" s="130">
        <v>601.4</v>
      </c>
      <c r="D25" s="2226"/>
      <c r="E25" s="2227"/>
      <c r="F25" s="3289" t="s">
        <v>245</v>
      </c>
      <c r="G25" s="3290"/>
      <c r="H25" s="3290"/>
      <c r="I25" s="3290"/>
      <c r="J25" s="3290"/>
      <c r="K25" s="3290"/>
      <c r="L25" s="3290"/>
      <c r="M25" s="3290"/>
      <c r="N25" s="3290"/>
      <c r="O25" s="2228">
        <v>4</v>
      </c>
      <c r="P25" s="2229"/>
      <c r="Q25" s="3274"/>
      <c r="R25" s="3275"/>
      <c r="S25" s="3275"/>
      <c r="T25" s="679" t="s">
        <v>20</v>
      </c>
    </row>
    <row r="26" spans="3:20" ht="43.5" customHeight="1" thickTop="1">
      <c r="C26" s="2230">
        <v>601.5</v>
      </c>
      <c r="D26" s="131"/>
      <c r="E26" s="2197"/>
      <c r="F26" s="3503" t="s">
        <v>246</v>
      </c>
      <c r="G26" s="3504"/>
      <c r="H26" s="3504"/>
      <c r="I26" s="3504"/>
      <c r="J26" s="3504"/>
      <c r="K26" s="3504"/>
      <c r="L26" s="3504"/>
      <c r="M26" s="3504"/>
      <c r="N26" s="3504"/>
      <c r="O26" s="3508" t="s">
        <v>2818</v>
      </c>
      <c r="P26" s="3510"/>
      <c r="Q26" s="3520"/>
      <c r="R26" s="3520"/>
      <c r="S26" s="3520"/>
      <c r="T26" s="3518"/>
    </row>
    <row r="27" spans="3:20" ht="15">
      <c r="C27" s="89"/>
      <c r="D27" s="132"/>
      <c r="E27" s="2168"/>
      <c r="F27" s="3524" t="s">
        <v>247</v>
      </c>
      <c r="G27" s="3525"/>
      <c r="H27" s="3525"/>
      <c r="I27" s="3525"/>
      <c r="J27" s="3525"/>
      <c r="K27" s="3525"/>
      <c r="L27" s="3525"/>
      <c r="M27" s="3525"/>
      <c r="N27" s="3526"/>
      <c r="O27" s="3509"/>
      <c r="P27" s="3511"/>
      <c r="Q27" s="3521"/>
      <c r="R27" s="3521"/>
      <c r="S27" s="3521"/>
      <c r="T27" s="3519"/>
    </row>
    <row r="28" spans="3:20" ht="15" customHeight="1">
      <c r="C28" s="125"/>
      <c r="D28" s="2207">
        <v>1</v>
      </c>
      <c r="E28" s="129"/>
      <c r="F28" s="3285" t="s">
        <v>248</v>
      </c>
      <c r="G28" s="3285"/>
      <c r="H28" s="3285"/>
      <c r="I28" s="3285"/>
      <c r="J28" s="3285"/>
      <c r="K28" s="3285"/>
      <c r="L28" s="3285"/>
      <c r="M28" s="3285"/>
      <c r="N28" s="3285"/>
      <c r="O28" s="2196">
        <v>4</v>
      </c>
      <c r="P28" s="509"/>
      <c r="Q28" s="3512"/>
      <c r="R28" s="3513"/>
      <c r="S28" s="3513"/>
      <c r="T28" s="3378" t="s">
        <v>20</v>
      </c>
    </row>
    <row r="29" spans="3:20" ht="15" customHeight="1">
      <c r="C29" s="125"/>
      <c r="D29" s="2207">
        <v>2</v>
      </c>
      <c r="E29" s="129"/>
      <c r="F29" s="3285" t="s">
        <v>249</v>
      </c>
      <c r="G29" s="3285"/>
      <c r="H29" s="3285"/>
      <c r="I29" s="3285"/>
      <c r="J29" s="3285"/>
      <c r="K29" s="3285"/>
      <c r="L29" s="3285"/>
      <c r="M29" s="3285"/>
      <c r="N29" s="3285"/>
      <c r="O29" s="2196">
        <v>4</v>
      </c>
      <c r="P29" s="509"/>
      <c r="Q29" s="3514"/>
      <c r="R29" s="3515"/>
      <c r="S29" s="3515"/>
      <c r="T29" s="3378"/>
    </row>
    <row r="30" spans="3:20" ht="15" customHeight="1">
      <c r="C30" s="125"/>
      <c r="D30" s="126">
        <v>3</v>
      </c>
      <c r="E30" s="127"/>
      <c r="F30" s="3522" t="s">
        <v>250</v>
      </c>
      <c r="G30" s="3522"/>
      <c r="H30" s="3522"/>
      <c r="I30" s="3522"/>
      <c r="J30" s="3522"/>
      <c r="K30" s="3522"/>
      <c r="L30" s="3522"/>
      <c r="M30" s="3522"/>
      <c r="N30" s="3522"/>
      <c r="O30" s="133">
        <v>4</v>
      </c>
      <c r="P30" s="510"/>
      <c r="Q30" s="3254"/>
      <c r="R30" s="3255"/>
      <c r="S30" s="3255"/>
      <c r="T30" s="3527"/>
    </row>
    <row r="31" spans="3:20" ht="15" customHeight="1">
      <c r="C31" s="125"/>
      <c r="D31" s="2223">
        <v>4</v>
      </c>
      <c r="E31" s="2224"/>
      <c r="F31" s="3345" t="s">
        <v>251</v>
      </c>
      <c r="G31" s="3345"/>
      <c r="H31" s="3345"/>
      <c r="I31" s="3345"/>
      <c r="J31" s="3345"/>
      <c r="K31" s="3345"/>
      <c r="L31" s="3345"/>
      <c r="M31" s="3345"/>
      <c r="N31" s="3345"/>
      <c r="O31" s="2231">
        <v>13</v>
      </c>
      <c r="P31" s="810"/>
      <c r="Q31" s="2996"/>
      <c r="R31" s="2996"/>
      <c r="S31" s="2996"/>
      <c r="T31" s="2176" t="s">
        <v>20</v>
      </c>
    </row>
    <row r="32" spans="3:20" ht="15.75" customHeight="1" thickBot="1">
      <c r="C32" s="125"/>
      <c r="D32" s="2207">
        <v>5</v>
      </c>
      <c r="E32" s="129"/>
      <c r="F32" s="3353" t="s">
        <v>252</v>
      </c>
      <c r="G32" s="3353"/>
      <c r="H32" s="3353"/>
      <c r="I32" s="3353"/>
      <c r="J32" s="3353"/>
      <c r="K32" s="3353"/>
      <c r="L32" s="3353"/>
      <c r="M32" s="3353"/>
      <c r="N32" s="3353"/>
      <c r="O32" s="2196">
        <v>13</v>
      </c>
      <c r="P32" s="729"/>
      <c r="Q32" s="3143"/>
      <c r="R32" s="3143"/>
      <c r="S32" s="3143"/>
      <c r="T32" s="1344" t="s">
        <v>20</v>
      </c>
    </row>
    <row r="33" spans="2:20" ht="60" customHeight="1" thickTop="1" thickBot="1">
      <c r="C33" s="2232">
        <v>601.6</v>
      </c>
      <c r="D33" s="2169"/>
      <c r="E33" s="2170"/>
      <c r="F33" s="3503" t="s">
        <v>253</v>
      </c>
      <c r="G33" s="3504"/>
      <c r="H33" s="3504"/>
      <c r="I33" s="3504"/>
      <c r="J33" s="3504"/>
      <c r="K33" s="3504"/>
      <c r="L33" s="3504"/>
      <c r="M33" s="3504"/>
      <c r="N33" s="3504"/>
      <c r="O33" s="3528" t="s">
        <v>2335</v>
      </c>
      <c r="P33" s="1775"/>
      <c r="Q33" s="3210"/>
      <c r="R33" s="3210"/>
      <c r="S33" s="3210"/>
      <c r="T33" s="3531" t="s">
        <v>20</v>
      </c>
    </row>
    <row r="34" spans="2:20" ht="15">
      <c r="C34" s="511"/>
      <c r="D34" s="2213"/>
      <c r="E34" s="2213"/>
      <c r="F34" s="512">
        <v>1</v>
      </c>
      <c r="G34" s="3534" t="s">
        <v>254</v>
      </c>
      <c r="H34" s="3534"/>
      <c r="I34" s="513" t="s">
        <v>67</v>
      </c>
      <c r="J34" s="514"/>
      <c r="K34" s="515"/>
      <c r="L34" s="515"/>
      <c r="M34" s="515"/>
      <c r="N34" s="515"/>
      <c r="O34" s="3529"/>
      <c r="P34" s="3248">
        <f>score601.6</f>
        <v>0</v>
      </c>
      <c r="Q34" s="3009"/>
      <c r="R34" s="3009"/>
      <c r="S34" s="3009"/>
      <c r="T34" s="3532"/>
    </row>
    <row r="35" spans="2:20" ht="12.75" customHeight="1">
      <c r="C35" s="511"/>
      <c r="D35" s="2213"/>
      <c r="E35" s="2213"/>
      <c r="F35" s="2233">
        <v>2</v>
      </c>
      <c r="G35" s="3535" t="s">
        <v>255</v>
      </c>
      <c r="H35" s="3535"/>
      <c r="I35" s="2234" t="s">
        <v>68</v>
      </c>
      <c r="J35" s="516"/>
      <c r="K35" s="2174"/>
      <c r="L35" s="2174"/>
      <c r="M35" s="2174"/>
      <c r="N35" s="2174"/>
      <c r="O35" s="3529"/>
      <c r="P35" s="3248"/>
      <c r="Q35" s="3009"/>
      <c r="R35" s="3009"/>
      <c r="S35" s="3009"/>
      <c r="T35" s="3532"/>
    </row>
    <row r="36" spans="2:20" ht="13.5" customHeight="1" thickBot="1">
      <c r="C36" s="511"/>
      <c r="D36" s="2213"/>
      <c r="E36" s="2213"/>
      <c r="F36" s="517">
        <v>3</v>
      </c>
      <c r="G36" s="3536" t="s">
        <v>256</v>
      </c>
      <c r="H36" s="3536"/>
      <c r="I36" s="518" t="s">
        <v>125</v>
      </c>
      <c r="J36" s="2235"/>
      <c r="K36" s="2182"/>
      <c r="L36" s="2182"/>
      <c r="M36" s="2182"/>
      <c r="N36" s="2182"/>
      <c r="O36" s="3530"/>
      <c r="P36" s="3248"/>
      <c r="Q36" s="3281"/>
      <c r="R36" s="3281"/>
      <c r="S36" s="3281"/>
      <c r="T36" s="3533"/>
    </row>
    <row r="37" spans="2:20" ht="190" customHeight="1" thickTop="1">
      <c r="C37" s="2232">
        <v>601.70000000000005</v>
      </c>
      <c r="D37" s="2169"/>
      <c r="E37" s="2170"/>
      <c r="F37" s="3503" t="s">
        <v>907</v>
      </c>
      <c r="G37" s="3504"/>
      <c r="H37" s="3504"/>
      <c r="I37" s="3504"/>
      <c r="J37" s="3504"/>
      <c r="K37" s="3504"/>
      <c r="L37" s="3504"/>
      <c r="M37" s="3504"/>
      <c r="N37" s="3504"/>
      <c r="O37" s="651" t="s">
        <v>257</v>
      </c>
      <c r="P37" s="520"/>
      <c r="Q37" s="3516"/>
      <c r="R37" s="3516"/>
      <c r="S37" s="3517"/>
      <c r="T37" s="2236"/>
    </row>
    <row r="38" spans="2:20" ht="18" customHeight="1">
      <c r="C38" s="134"/>
      <c r="D38" s="135"/>
      <c r="E38" s="136"/>
      <c r="F38" s="3549" t="s">
        <v>1079</v>
      </c>
      <c r="G38" s="3549"/>
      <c r="H38" s="3549"/>
      <c r="I38" s="3549"/>
      <c r="J38" s="3549"/>
      <c r="K38" s="3549"/>
      <c r="L38" s="3549"/>
      <c r="M38" s="3549"/>
      <c r="N38" s="3549"/>
      <c r="O38" s="649" t="s">
        <v>1076</v>
      </c>
      <c r="P38" s="698"/>
      <c r="Q38" s="3550"/>
      <c r="R38" s="3550"/>
      <c r="S38" s="3550"/>
      <c r="T38" s="3321" t="s">
        <v>20</v>
      </c>
    </row>
    <row r="39" spans="2:20" ht="18" customHeight="1">
      <c r="C39" s="134"/>
      <c r="D39" s="135"/>
      <c r="E39" s="136"/>
      <c r="F39" s="3549" t="s">
        <v>1080</v>
      </c>
      <c r="G39" s="3549"/>
      <c r="H39" s="3549"/>
      <c r="I39" s="3549"/>
      <c r="J39" s="3549"/>
      <c r="K39" s="3549"/>
      <c r="L39" s="3549"/>
      <c r="M39" s="3549"/>
      <c r="N39" s="3549"/>
      <c r="O39" s="650" t="s">
        <v>1077</v>
      </c>
      <c r="P39" s="698"/>
      <c r="Q39" s="3550"/>
      <c r="R39" s="3550"/>
      <c r="S39" s="3550"/>
      <c r="T39" s="3321"/>
    </row>
    <row r="40" spans="2:20" ht="18" customHeight="1">
      <c r="C40" s="134"/>
      <c r="D40" s="135"/>
      <c r="E40" s="136"/>
      <c r="F40" s="3333" t="s">
        <v>1081</v>
      </c>
      <c r="G40" s="3333"/>
      <c r="H40" s="3333"/>
      <c r="I40" s="3333"/>
      <c r="J40" s="3333"/>
      <c r="K40" s="3333"/>
      <c r="L40" s="3333"/>
      <c r="M40" s="3333"/>
      <c r="N40" s="3333"/>
      <c r="O40" s="650" t="s">
        <v>1078</v>
      </c>
      <c r="P40" s="698"/>
      <c r="Q40" s="3550"/>
      <c r="R40" s="3550"/>
      <c r="S40" s="3550"/>
      <c r="T40" s="3321"/>
    </row>
    <row r="41" spans="2:20" ht="75" customHeight="1" thickBot="1">
      <c r="C41" s="189"/>
      <c r="D41" s="519"/>
      <c r="E41" s="2213"/>
      <c r="F41" s="3559" t="s">
        <v>908</v>
      </c>
      <c r="G41" s="3559"/>
      <c r="H41" s="3559"/>
      <c r="I41" s="3559"/>
      <c r="J41" s="3559"/>
      <c r="K41" s="3559"/>
      <c r="L41" s="3559"/>
      <c r="M41" s="3559"/>
      <c r="N41" s="3559"/>
      <c r="O41" s="614"/>
      <c r="P41" s="638">
        <f>IF(SUM(choice601.7_1*5,choice601.7_2*2,choice601.7_3)&gt;12, 12, SUM(choice601.7_1*5,choice601.7_2*2,choice601.7_3))</f>
        <v>0</v>
      </c>
      <c r="Q41" s="3551"/>
      <c r="R41" s="3551"/>
      <c r="S41" s="3551"/>
      <c r="T41" s="3322"/>
    </row>
    <row r="42" spans="2:20" ht="60" customHeight="1" thickTop="1">
      <c r="B42" s="1737" t="str">
        <f>IF(startFoundation="Basement", "x", "")</f>
        <v/>
      </c>
      <c r="C42" s="3323">
        <v>601.79999999999995</v>
      </c>
      <c r="D42" s="3325"/>
      <c r="E42" s="3325"/>
      <c r="F42" s="3537" t="s">
        <v>911</v>
      </c>
      <c r="G42" s="3538"/>
      <c r="H42" s="3538"/>
      <c r="I42" s="3538"/>
      <c r="J42" s="3538"/>
      <c r="K42" s="3538"/>
      <c r="L42" s="3538"/>
      <c r="M42" s="3538"/>
      <c r="N42" s="3538"/>
      <c r="O42" s="3539">
        <v>3</v>
      </c>
      <c r="P42" s="3546"/>
      <c r="Q42" s="3552"/>
      <c r="R42" s="3553"/>
      <c r="S42" s="3553"/>
      <c r="T42" s="3336" t="s">
        <v>20</v>
      </c>
    </row>
    <row r="43" spans="2:20" ht="39" customHeight="1" thickBot="1">
      <c r="B43" s="1737" t="str">
        <f>IF(startFoundation="Basement", "x", "")</f>
        <v/>
      </c>
      <c r="C43" s="3324"/>
      <c r="D43" s="3326"/>
      <c r="E43" s="3326"/>
      <c r="F43" s="3548" t="s">
        <v>909</v>
      </c>
      <c r="G43" s="3548"/>
      <c r="H43" s="3548"/>
      <c r="I43" s="3548"/>
      <c r="J43" s="3548"/>
      <c r="K43" s="3548"/>
      <c r="L43" s="3548"/>
      <c r="M43" s="3548"/>
      <c r="N43" s="3548"/>
      <c r="O43" s="3540"/>
      <c r="P43" s="3547"/>
      <c r="Q43" s="3554"/>
      <c r="R43" s="3551"/>
      <c r="S43" s="3551"/>
      <c r="T43" s="3321"/>
    </row>
    <row r="44" spans="2:20" ht="90" customHeight="1" thickTop="1">
      <c r="C44" s="3327">
        <v>601.9</v>
      </c>
      <c r="D44" s="3328"/>
      <c r="E44" s="3328"/>
      <c r="F44" s="3334" t="s">
        <v>258</v>
      </c>
      <c r="G44" s="3335"/>
      <c r="H44" s="3335"/>
      <c r="I44" s="3335"/>
      <c r="J44" s="3335"/>
      <c r="K44" s="3335"/>
      <c r="L44" s="3335"/>
      <c r="M44" s="3335"/>
      <c r="N44" s="3335"/>
      <c r="O44" s="3339">
        <v>4</v>
      </c>
      <c r="P44" s="3341"/>
      <c r="Q44" s="3329"/>
      <c r="R44" s="3329"/>
      <c r="S44" s="3330"/>
      <c r="T44" s="3336" t="s">
        <v>20</v>
      </c>
    </row>
    <row r="45" spans="2:20" ht="15" customHeight="1">
      <c r="C45" s="3249"/>
      <c r="D45" s="3279"/>
      <c r="E45" s="3279"/>
      <c r="F45" s="2993" t="s">
        <v>910</v>
      </c>
      <c r="G45" s="2993"/>
      <c r="H45" s="2993"/>
      <c r="I45" s="2993"/>
      <c r="J45" s="2993"/>
      <c r="K45" s="2993"/>
      <c r="L45" s="2993"/>
      <c r="M45" s="2993"/>
      <c r="N45" s="2993"/>
      <c r="O45" s="3340"/>
      <c r="P45" s="3169"/>
      <c r="Q45" s="3331"/>
      <c r="R45" s="3331"/>
      <c r="S45" s="3332"/>
      <c r="T45" s="3321"/>
    </row>
    <row r="46" spans="2:20" ht="15">
      <c r="C46" s="3319" t="s">
        <v>259</v>
      </c>
      <c r="D46" s="3319"/>
      <c r="E46" s="3319"/>
      <c r="F46" s="3319"/>
      <c r="G46" s="3319"/>
      <c r="H46" s="3319"/>
      <c r="I46" s="3319"/>
      <c r="J46" s="3319"/>
      <c r="K46" s="3319"/>
      <c r="L46" s="3319"/>
      <c r="M46" s="3319"/>
      <c r="N46" s="3319"/>
      <c r="O46" s="3319"/>
      <c r="P46" s="3319"/>
      <c r="Q46" s="3319"/>
      <c r="R46" s="3319"/>
      <c r="S46" s="3319"/>
      <c r="T46" s="3319"/>
    </row>
    <row r="47" spans="2:20" s="119" customFormat="1" ht="18.75" customHeight="1" thickBot="1">
      <c r="C47" s="2237">
        <v>602</v>
      </c>
      <c r="D47" s="2214"/>
      <c r="E47" s="3566" t="s">
        <v>912</v>
      </c>
      <c r="F47" s="3567"/>
      <c r="G47" s="3567"/>
      <c r="H47" s="3567"/>
      <c r="I47" s="3567"/>
      <c r="J47" s="3567"/>
      <c r="K47" s="3567"/>
      <c r="L47" s="3567"/>
      <c r="M47" s="3567"/>
      <c r="N47" s="3567"/>
      <c r="O47" s="3567"/>
      <c r="P47" s="3567"/>
      <c r="Q47" s="3567"/>
      <c r="R47" s="3567"/>
      <c r="S47" s="3567"/>
      <c r="T47" s="3568"/>
    </row>
    <row r="48" spans="2:20" s="119" customFormat="1" ht="15" customHeight="1" thickTop="1">
      <c r="C48" s="523">
        <v>602.1</v>
      </c>
      <c r="D48" s="2212"/>
      <c r="E48" s="2212"/>
      <c r="F48" s="3575" t="s">
        <v>913</v>
      </c>
      <c r="G48" s="3575"/>
      <c r="H48" s="3575"/>
      <c r="I48" s="3575"/>
      <c r="J48" s="3575"/>
      <c r="K48" s="3575"/>
      <c r="L48" s="3575"/>
      <c r="M48" s="3575"/>
      <c r="N48" s="3575"/>
      <c r="O48" s="2212"/>
      <c r="P48" s="2212"/>
      <c r="Q48" s="3342"/>
      <c r="R48" s="3342"/>
      <c r="S48" s="3342"/>
      <c r="T48" s="2238"/>
    </row>
    <row r="49" spans="1:22" s="32" customFormat="1" ht="15">
      <c r="A49" s="200"/>
      <c r="B49" s="200"/>
      <c r="C49" s="2239" t="s">
        <v>914</v>
      </c>
      <c r="D49" s="2240"/>
      <c r="E49" s="2240"/>
      <c r="F49" s="3571" t="s">
        <v>489</v>
      </c>
      <c r="G49" s="3571"/>
      <c r="H49" s="3571"/>
      <c r="I49" s="3571"/>
      <c r="J49" s="3571"/>
      <c r="K49" s="3571"/>
      <c r="L49" s="3571"/>
      <c r="M49" s="3571"/>
      <c r="N49" s="3571"/>
      <c r="O49" s="2241"/>
      <c r="P49" s="2242"/>
      <c r="Q49" s="3299"/>
      <c r="R49" s="3299"/>
      <c r="S49" s="3299"/>
      <c r="T49" s="91"/>
    </row>
    <row r="50" spans="1:22" s="32" customFormat="1" ht="30" customHeight="1">
      <c r="A50" s="1737" t="str">
        <f>IF(OR(startFoundation="Basement",startFoundation="Basement &amp; vented crawlspace",startFoundation="Basement &amp; slab on grade"), "x", "")</f>
        <v/>
      </c>
      <c r="B50" s="200" t="str">
        <f>IF(OR(startFoundation="Vented crawlspace",startFoundation="Conditioned crawlspace"),"x","")</f>
        <v/>
      </c>
      <c r="C50" s="3576" t="s">
        <v>915</v>
      </c>
      <c r="D50" s="3577"/>
      <c r="E50" s="2217"/>
      <c r="F50" s="3101" t="s">
        <v>918</v>
      </c>
      <c r="G50" s="3101"/>
      <c r="H50" s="3101"/>
      <c r="I50" s="3101"/>
      <c r="J50" s="3101"/>
      <c r="K50" s="3101"/>
      <c r="L50" s="3101"/>
      <c r="M50" s="3101"/>
      <c r="N50" s="3101"/>
      <c r="O50" s="1267" t="s">
        <v>339</v>
      </c>
      <c r="P50" s="1776"/>
      <c r="Q50" s="3296"/>
      <c r="R50" s="3296"/>
      <c r="S50" s="3296"/>
      <c r="T50" s="2157" t="s">
        <v>20</v>
      </c>
    </row>
    <row r="51" spans="1:22" s="32" customFormat="1" ht="15" customHeight="1" thickBot="1">
      <c r="A51" s="200"/>
      <c r="B51" s="200"/>
      <c r="C51" s="3572" t="s">
        <v>919</v>
      </c>
      <c r="D51" s="3573"/>
      <c r="E51" s="2243"/>
      <c r="F51" s="3574" t="s">
        <v>491</v>
      </c>
      <c r="G51" s="3574"/>
      <c r="H51" s="3574"/>
      <c r="I51" s="3574"/>
      <c r="J51" s="3574"/>
      <c r="K51" s="3574"/>
      <c r="L51" s="3574"/>
      <c r="M51" s="3574"/>
      <c r="N51" s="3574"/>
      <c r="O51" s="2244">
        <v>3</v>
      </c>
      <c r="P51" s="1345"/>
      <c r="Q51" s="3320"/>
      <c r="R51" s="3320"/>
      <c r="S51" s="3320"/>
      <c r="T51" s="2245" t="s">
        <v>20</v>
      </c>
    </row>
    <row r="52" spans="1:22" ht="45" customHeight="1" thickTop="1">
      <c r="B52" s="1737" t="str">
        <f>IF(startFoundation="Slab on grade", "x", "")</f>
        <v/>
      </c>
      <c r="C52" s="3652" t="s">
        <v>920</v>
      </c>
      <c r="D52" s="3654"/>
      <c r="E52" s="3656"/>
      <c r="F52" s="3503" t="s">
        <v>280</v>
      </c>
      <c r="G52" s="3503"/>
      <c r="H52" s="3503"/>
      <c r="I52" s="3503"/>
      <c r="J52" s="3503"/>
      <c r="K52" s="3503"/>
      <c r="L52" s="3503"/>
      <c r="M52" s="3503"/>
      <c r="N52" s="3503"/>
      <c r="O52" s="3560">
        <v>4</v>
      </c>
      <c r="P52" s="1766"/>
      <c r="Q52" s="3558"/>
      <c r="R52" s="3008"/>
      <c r="S52" s="3008"/>
      <c r="T52" s="3337" t="s">
        <v>20</v>
      </c>
    </row>
    <row r="53" spans="1:22" ht="15" customHeight="1" thickBot="1">
      <c r="B53" s="1737" t="str">
        <f>IF(startFoundation="Slab on grade", "x", "")</f>
        <v/>
      </c>
      <c r="C53" s="3653"/>
      <c r="D53" s="3655"/>
      <c r="E53" s="3657"/>
      <c r="F53" s="3565"/>
      <c r="G53" s="3565"/>
      <c r="H53" s="3565"/>
      <c r="I53" s="3565"/>
      <c r="J53" s="3565"/>
      <c r="K53" s="3565"/>
      <c r="L53" s="3565"/>
      <c r="M53" s="3565"/>
      <c r="N53" s="3565"/>
      <c r="O53" s="3469"/>
      <c r="P53" s="2186">
        <f>score602.1.2</f>
        <v>0</v>
      </c>
      <c r="Q53" s="3281"/>
      <c r="R53" s="3281"/>
      <c r="S53" s="3281"/>
      <c r="T53" s="3338"/>
    </row>
    <row r="54" spans="1:22" ht="15" customHeight="1" thickTop="1">
      <c r="B54" s="200" t="str">
        <f>IF(OR(startFoundation="Vented crawlspace",startFoundation="Conditioned crawlspace",startFoundation="Slab on grade",startFoundation="Slab + crawlspace"),"x","")</f>
        <v/>
      </c>
      <c r="C54" s="2230" t="s">
        <v>921</v>
      </c>
      <c r="D54" s="138"/>
      <c r="E54" s="139"/>
      <c r="F54" s="3569" t="s">
        <v>266</v>
      </c>
      <c r="G54" s="3570"/>
      <c r="H54" s="3570"/>
      <c r="I54" s="3570"/>
      <c r="J54" s="3570"/>
      <c r="K54" s="3570"/>
      <c r="L54" s="3570"/>
      <c r="M54" s="3570"/>
      <c r="N54" s="3570"/>
      <c r="O54" s="2220"/>
      <c r="P54" s="2220"/>
      <c r="Q54" s="3344"/>
      <c r="R54" s="3344"/>
      <c r="S54" s="3344"/>
      <c r="T54" s="1346"/>
    </row>
    <row r="55" spans="1:22" ht="30">
      <c r="A55" s="1737" t="str">
        <f>IF(OR(startFoundation="Basement",startFoundation="Basement &amp; vented crawlspace",startFoundation="Basement &amp; slab on grade"), "x", "")</f>
        <v/>
      </c>
      <c r="B55" s="200" t="str">
        <f>IF(OR(startFoundation="Vented crawlspace",startFoundation="Conditioned crawlspace",startFoundation="Slab on grade",startFoundation="Slab + crawlspace"),"x","")</f>
        <v/>
      </c>
      <c r="C55" s="3578" t="s">
        <v>922</v>
      </c>
      <c r="D55" s="3579"/>
      <c r="E55" s="140"/>
      <c r="F55" s="3505" t="s">
        <v>267</v>
      </c>
      <c r="G55" s="3505"/>
      <c r="H55" s="3505"/>
      <c r="I55" s="3505"/>
      <c r="J55" s="3505"/>
      <c r="K55" s="3505"/>
      <c r="L55" s="3505"/>
      <c r="M55" s="3505"/>
      <c r="N55" s="3505"/>
      <c r="O55" s="616" t="s">
        <v>268</v>
      </c>
      <c r="P55" s="1777"/>
      <c r="Q55" s="3296"/>
      <c r="R55" s="3296"/>
      <c r="S55" s="3296"/>
      <c r="T55" s="680" t="s">
        <v>20</v>
      </c>
    </row>
    <row r="56" spans="1:22" ht="30" customHeight="1" thickBot="1">
      <c r="B56" s="1742"/>
      <c r="C56" s="3580" t="s">
        <v>923</v>
      </c>
      <c r="D56" s="3581"/>
      <c r="E56" s="2246"/>
      <c r="F56" s="3353" t="s">
        <v>269</v>
      </c>
      <c r="G56" s="3353"/>
      <c r="H56" s="3353"/>
      <c r="I56" s="3353"/>
      <c r="J56" s="3353"/>
      <c r="K56" s="3353"/>
      <c r="L56" s="3353"/>
      <c r="M56" s="3353"/>
      <c r="N56" s="3353"/>
      <c r="O56" s="2247">
        <v>4</v>
      </c>
      <c r="P56" s="1347"/>
      <c r="Q56" s="3459"/>
      <c r="R56" s="3459"/>
      <c r="S56" s="3459"/>
      <c r="T56" s="681" t="s">
        <v>20</v>
      </c>
    </row>
    <row r="57" spans="1:22" s="32" customFormat="1" ht="16" thickTop="1">
      <c r="A57" s="200"/>
      <c r="B57" s="200" t="str">
        <f>IF(OR(startFoundation="Basement",startFoundation="Slab on grade",startFoundation="Basement &amp; slab on grade"), "x", "")</f>
        <v/>
      </c>
      <c r="C57" s="2248" t="s">
        <v>929</v>
      </c>
      <c r="D57" s="177"/>
      <c r="E57" s="2163"/>
      <c r="F57" s="3555" t="s">
        <v>492</v>
      </c>
      <c r="G57" s="3555"/>
      <c r="H57" s="3555"/>
      <c r="I57" s="3555"/>
      <c r="J57" s="3555"/>
      <c r="K57" s="3555"/>
      <c r="L57" s="3555"/>
      <c r="M57" s="3555"/>
      <c r="N57" s="3555"/>
      <c r="O57" s="2165"/>
      <c r="P57" s="2216"/>
      <c r="Q57" s="3585"/>
      <c r="R57" s="3585"/>
      <c r="S57" s="3585"/>
      <c r="T57" s="1346"/>
      <c r="V57" s="1799"/>
    </row>
    <row r="58" spans="1:22" s="32" customFormat="1" ht="30" customHeight="1">
      <c r="A58" s="200"/>
      <c r="B58" s="200" t="str">
        <f>IF(OR(startFoundation="Basement",startFoundation="Slab on grade",startFoundation="Basement &amp; slab on grade"), "x", "")</f>
        <v/>
      </c>
      <c r="C58" s="2986" t="s">
        <v>924</v>
      </c>
      <c r="D58" s="3584"/>
      <c r="E58" s="2164"/>
      <c r="F58" s="3065" t="s">
        <v>926</v>
      </c>
      <c r="G58" s="3065"/>
      <c r="H58" s="3065"/>
      <c r="I58" s="3065"/>
      <c r="J58" s="3065"/>
      <c r="K58" s="3065"/>
      <c r="L58" s="3065"/>
      <c r="M58" s="3065"/>
      <c r="N58" s="3065"/>
      <c r="O58" s="2166"/>
      <c r="P58" s="2221"/>
      <c r="Q58" s="3065"/>
      <c r="R58" s="3065"/>
      <c r="S58" s="3065"/>
      <c r="T58" s="648"/>
    </row>
    <row r="59" spans="1:22" s="32" customFormat="1" ht="30" customHeight="1">
      <c r="A59" s="200"/>
      <c r="B59" s="200" t="str">
        <f>IF(OR(startFoundation="Basement",startFoundation="Slab on grade",startFoundation="Basement &amp; slab on grade"), "x", "")</f>
        <v/>
      </c>
      <c r="C59" s="2194"/>
      <c r="D59" s="2195">
        <v>1</v>
      </c>
      <c r="E59" s="2195"/>
      <c r="F59" s="3065" t="s">
        <v>927</v>
      </c>
      <c r="G59" s="3065"/>
      <c r="H59" s="3065"/>
      <c r="I59" s="3065"/>
      <c r="J59" s="3065"/>
      <c r="K59" s="3065"/>
      <c r="L59" s="3065"/>
      <c r="M59" s="3065"/>
      <c r="N59" s="3065"/>
      <c r="O59" s="2166">
        <v>6</v>
      </c>
      <c r="P59" s="591"/>
      <c r="Q59" s="3296"/>
      <c r="R59" s="3296"/>
      <c r="S59" s="3296"/>
      <c r="T59" s="2172" t="s">
        <v>20</v>
      </c>
      <c r="V59" s="1799"/>
    </row>
    <row r="60" spans="1:22" s="32" customFormat="1" ht="45" customHeight="1">
      <c r="A60" s="200"/>
      <c r="B60" s="200" t="str">
        <f>IF(OR(startFoundation="Basement",startFoundation="Slab on grade",startFoundation="Basement &amp; slab on grade"), "x", "")</f>
        <v/>
      </c>
      <c r="C60" s="2194"/>
      <c r="D60" s="2249">
        <v>2</v>
      </c>
      <c r="E60" s="2249"/>
      <c r="F60" s="3437" t="s">
        <v>493</v>
      </c>
      <c r="G60" s="3437"/>
      <c r="H60" s="3437"/>
      <c r="I60" s="3437"/>
      <c r="J60" s="3437"/>
      <c r="K60" s="3437"/>
      <c r="L60" s="3437"/>
      <c r="M60" s="3437"/>
      <c r="N60" s="3437"/>
      <c r="O60" s="3561" t="s">
        <v>494</v>
      </c>
      <c r="P60" s="3293"/>
      <c r="Q60" s="3298"/>
      <c r="R60" s="3298"/>
      <c r="S60" s="3298"/>
      <c r="T60" s="3343" t="s">
        <v>20</v>
      </c>
    </row>
    <row r="61" spans="1:22" s="221" customFormat="1" ht="20" customHeight="1">
      <c r="A61" s="226"/>
      <c r="B61" s="200" t="str">
        <f>IF(OR(startFoundation="Basement",startFoundation="Slab on grade",startFoundation="Basement &amp; slab on grade"), "x", "")</f>
        <v/>
      </c>
      <c r="C61" s="653"/>
      <c r="D61" s="2188"/>
      <c r="E61" s="2188"/>
      <c r="F61" s="3556" t="s">
        <v>1083</v>
      </c>
      <c r="G61" s="3556"/>
      <c r="H61" s="3556"/>
      <c r="I61" s="3556"/>
      <c r="J61" s="3556"/>
      <c r="K61" s="3556"/>
      <c r="L61" s="3557" t="str">
        <f>IF(startFoundation="","No foundation type selected yet", startFoundation)</f>
        <v>No foundation type selected yet</v>
      </c>
      <c r="M61" s="3557"/>
      <c r="N61" s="3557"/>
      <c r="O61" s="3562"/>
      <c r="P61" s="3294"/>
      <c r="Q61" s="3541"/>
      <c r="R61" s="3541"/>
      <c r="S61" s="3541"/>
      <c r="T61" s="3116"/>
    </row>
    <row r="62" spans="1:22" s="32" customFormat="1" ht="45" customHeight="1">
      <c r="A62" s="200"/>
      <c r="B62" s="200" t="str">
        <f>IF(startFoundation="Basement", "x", "")</f>
        <v/>
      </c>
      <c r="C62" s="3300" t="s">
        <v>925</v>
      </c>
      <c r="D62" s="3301"/>
      <c r="E62" s="2250"/>
      <c r="F62" s="3437" t="s">
        <v>1084</v>
      </c>
      <c r="G62" s="3437"/>
      <c r="H62" s="3437"/>
      <c r="I62" s="3437"/>
      <c r="J62" s="3437"/>
      <c r="K62" s="3437"/>
      <c r="L62" s="3437"/>
      <c r="M62" s="3437"/>
      <c r="N62" s="3437"/>
      <c r="O62" s="2251"/>
      <c r="P62" s="2242"/>
      <c r="Q62" s="3299"/>
      <c r="R62" s="3299"/>
      <c r="S62" s="3299"/>
      <c r="T62" s="654"/>
    </row>
    <row r="63" spans="1:22" s="32" customFormat="1" ht="30" customHeight="1">
      <c r="A63" s="200"/>
      <c r="B63" s="200" t="str">
        <f>B64</f>
        <v/>
      </c>
      <c r="C63" s="2194"/>
      <c r="D63" s="2161">
        <v>1</v>
      </c>
      <c r="E63" s="2161"/>
      <c r="F63" s="3063" t="s">
        <v>928</v>
      </c>
      <c r="G63" s="3063"/>
      <c r="H63" s="3063"/>
      <c r="I63" s="3063"/>
      <c r="J63" s="3063"/>
      <c r="K63" s="3063"/>
      <c r="L63" s="3063"/>
      <c r="M63" s="3063"/>
      <c r="N63" s="3063"/>
      <c r="O63" s="2159">
        <v>8</v>
      </c>
      <c r="P63" s="510"/>
      <c r="Q63" s="3295"/>
      <c r="R63" s="3296"/>
      <c r="S63" s="3296"/>
      <c r="T63" s="3055" t="s">
        <v>20</v>
      </c>
    </row>
    <row r="64" spans="1:22" s="32" customFormat="1" ht="45" customHeight="1">
      <c r="A64" s="200"/>
      <c r="B64" s="200" t="str">
        <f>IF(OR(startFoundation="Basement",startFoundation="Slab on grade",startFoundation="Basement &amp; slab on grade"), "x", "")</f>
        <v/>
      </c>
      <c r="C64" s="2194"/>
      <c r="D64" s="2249">
        <v>2</v>
      </c>
      <c r="E64" s="2249"/>
      <c r="F64" s="3437" t="s">
        <v>495</v>
      </c>
      <c r="G64" s="3437"/>
      <c r="H64" s="3437"/>
      <c r="I64" s="3437"/>
      <c r="J64" s="3437"/>
      <c r="K64" s="3437"/>
      <c r="L64" s="3437"/>
      <c r="M64" s="3437"/>
      <c r="N64" s="3437"/>
      <c r="O64" s="3542" t="s">
        <v>2682</v>
      </c>
      <c r="P64" s="3544"/>
      <c r="Q64" s="3297"/>
      <c r="R64" s="3298"/>
      <c r="S64" s="3298"/>
      <c r="T64" s="3055"/>
    </row>
    <row r="65" spans="1:20" s="32" customFormat="1" ht="20" customHeight="1">
      <c r="A65" s="200"/>
      <c r="B65" s="200" t="str">
        <f t="shared" ref="B65" si="0">IF(startFoundation="Basement", "x", "")</f>
        <v/>
      </c>
      <c r="C65" s="2194"/>
      <c r="D65" s="2195"/>
      <c r="E65" s="2195"/>
      <c r="F65" s="3556" t="s">
        <v>1083</v>
      </c>
      <c r="G65" s="3556"/>
      <c r="H65" s="3556"/>
      <c r="I65" s="3556"/>
      <c r="J65" s="3556"/>
      <c r="K65" s="3556"/>
      <c r="L65" s="3557" t="str">
        <f>IF(startFoundation="","No foundation type selected yet", startFoundation)</f>
        <v>No foundation type selected yet</v>
      </c>
      <c r="M65" s="3557"/>
      <c r="N65" s="3557"/>
      <c r="O65" s="3543"/>
      <c r="P65" s="3545"/>
      <c r="Q65" s="3297"/>
      <c r="R65" s="3298"/>
      <c r="S65" s="3298"/>
      <c r="T65" s="3116"/>
    </row>
    <row r="66" spans="1:20" ht="45" customHeight="1">
      <c r="C66" s="530" t="s">
        <v>932</v>
      </c>
      <c r="D66" s="531"/>
      <c r="E66" s="532"/>
      <c r="F66" s="3453" t="s">
        <v>271</v>
      </c>
      <c r="G66" s="3454"/>
      <c r="H66" s="3454"/>
      <c r="I66" s="3454"/>
      <c r="J66" s="3454"/>
      <c r="K66" s="3454"/>
      <c r="L66" s="3454"/>
      <c r="M66" s="3454"/>
      <c r="N66" s="3454"/>
      <c r="O66" s="3467">
        <v>4</v>
      </c>
      <c r="P66" s="3464"/>
      <c r="Q66" s="3297"/>
      <c r="R66" s="3298"/>
      <c r="S66" s="3298"/>
      <c r="T66" s="3309" t="s">
        <v>20</v>
      </c>
    </row>
    <row r="67" spans="1:20">
      <c r="C67" s="533"/>
      <c r="D67" s="534"/>
      <c r="E67" s="535"/>
      <c r="F67" s="3588" t="s">
        <v>272</v>
      </c>
      <c r="G67" s="3588"/>
      <c r="H67" s="3588"/>
      <c r="I67" s="3588"/>
      <c r="J67" s="3588"/>
      <c r="K67" s="3588"/>
      <c r="L67" s="3588"/>
      <c r="M67" s="3588"/>
      <c r="N67" s="3588"/>
      <c r="O67" s="3468"/>
      <c r="P67" s="3465"/>
      <c r="Q67" s="3297"/>
      <c r="R67" s="3298"/>
      <c r="S67" s="3298"/>
      <c r="T67" s="3302"/>
    </row>
    <row r="68" spans="1:20" ht="30" customHeight="1" thickBot="1">
      <c r="C68" s="189"/>
      <c r="D68" s="519"/>
      <c r="E68" s="2213"/>
      <c r="F68" s="3589" t="s">
        <v>273</v>
      </c>
      <c r="G68" s="3590"/>
      <c r="H68" s="3590"/>
      <c r="I68" s="3590"/>
      <c r="J68" s="3590"/>
      <c r="K68" s="3590"/>
      <c r="L68" s="3590"/>
      <c r="M68" s="3590"/>
      <c r="N68" s="3591"/>
      <c r="O68" s="3469"/>
      <c r="P68" s="3466"/>
      <c r="Q68" s="3458"/>
      <c r="R68" s="3459"/>
      <c r="S68" s="3459"/>
      <c r="T68" s="3310"/>
    </row>
    <row r="69" spans="1:20" ht="30" customHeight="1" thickTop="1">
      <c r="C69" s="2230" t="s">
        <v>933</v>
      </c>
      <c r="D69" s="131"/>
      <c r="E69" s="2197"/>
      <c r="F69" s="3387" t="s">
        <v>274</v>
      </c>
      <c r="G69" s="3399"/>
      <c r="H69" s="3399"/>
      <c r="I69" s="3399"/>
      <c r="J69" s="3399"/>
      <c r="K69" s="3399"/>
      <c r="L69" s="3399"/>
      <c r="M69" s="3399"/>
      <c r="N69" s="3399"/>
      <c r="O69" s="3563"/>
      <c r="P69" s="3582"/>
      <c r="Q69" s="3462"/>
      <c r="R69" s="3462"/>
      <c r="S69" s="3462"/>
      <c r="T69" s="3460"/>
    </row>
    <row r="70" spans="1:20" ht="15" customHeight="1" thickBot="1">
      <c r="C70" s="141"/>
      <c r="D70" s="142"/>
      <c r="E70" s="143"/>
      <c r="F70" s="3592" t="s">
        <v>272</v>
      </c>
      <c r="G70" s="3592"/>
      <c r="H70" s="3592"/>
      <c r="I70" s="3592"/>
      <c r="J70" s="3592"/>
      <c r="K70" s="3592"/>
      <c r="L70" s="3592"/>
      <c r="M70" s="3592"/>
      <c r="N70" s="3592"/>
      <c r="O70" s="3564"/>
      <c r="P70" s="3583"/>
      <c r="Q70" s="3463"/>
      <c r="R70" s="3463"/>
      <c r="S70" s="3463"/>
      <c r="T70" s="3461"/>
    </row>
    <row r="71" spans="1:20" ht="60" customHeight="1">
      <c r="C71" s="125"/>
      <c r="D71" s="132"/>
      <c r="E71" s="143"/>
      <c r="F71" s="536">
        <v>1</v>
      </c>
      <c r="G71" s="3593" t="s">
        <v>275</v>
      </c>
      <c r="H71" s="3593"/>
      <c r="I71" s="3593"/>
      <c r="J71" s="3593"/>
      <c r="K71" s="3593"/>
      <c r="L71" s="3593"/>
      <c r="M71" s="3593"/>
      <c r="N71" s="539" t="s">
        <v>77</v>
      </c>
      <c r="O71" s="3247"/>
      <c r="P71" s="3456"/>
      <c r="Q71" s="3009"/>
      <c r="R71" s="3009"/>
      <c r="S71" s="3009"/>
      <c r="T71" s="3378" t="s">
        <v>20</v>
      </c>
    </row>
    <row r="72" spans="1:20" ht="60" customHeight="1">
      <c r="C72" s="125"/>
      <c r="D72" s="132"/>
      <c r="E72" s="143"/>
      <c r="F72" s="537">
        <v>2</v>
      </c>
      <c r="G72" s="3594" t="s">
        <v>276</v>
      </c>
      <c r="H72" s="3594"/>
      <c r="I72" s="3594"/>
      <c r="J72" s="3594"/>
      <c r="K72" s="3594"/>
      <c r="L72" s="3594"/>
      <c r="M72" s="3594"/>
      <c r="N72" s="540" t="s">
        <v>67</v>
      </c>
      <c r="O72" s="3247"/>
      <c r="P72" s="3457"/>
      <c r="Q72" s="3009"/>
      <c r="R72" s="3009"/>
      <c r="S72" s="3009"/>
      <c r="T72" s="3378"/>
    </row>
    <row r="73" spans="1:20" ht="54.75" customHeight="1" thickBot="1">
      <c r="C73" s="125"/>
      <c r="D73" s="132"/>
      <c r="E73" s="143"/>
      <c r="F73" s="538">
        <v>3</v>
      </c>
      <c r="G73" s="3595" t="s">
        <v>277</v>
      </c>
      <c r="H73" s="3595"/>
      <c r="I73" s="3595"/>
      <c r="J73" s="3595"/>
      <c r="K73" s="3595"/>
      <c r="L73" s="3595"/>
      <c r="M73" s="3595"/>
      <c r="N73" s="541" t="s">
        <v>68</v>
      </c>
      <c r="O73" s="3247"/>
      <c r="P73" s="3248">
        <f>score602.1.6</f>
        <v>0</v>
      </c>
      <c r="Q73" s="3009"/>
      <c r="R73" s="3009"/>
      <c r="S73" s="3009"/>
      <c r="T73" s="3378"/>
    </row>
    <row r="74" spans="1:20" ht="30" customHeight="1">
      <c r="C74" s="89"/>
      <c r="D74" s="132"/>
      <c r="E74" s="2168"/>
      <c r="F74" s="3596" t="s">
        <v>273</v>
      </c>
      <c r="G74" s="3597"/>
      <c r="H74" s="3597"/>
      <c r="I74" s="3597"/>
      <c r="J74" s="3597"/>
      <c r="K74" s="3597"/>
      <c r="L74" s="3597"/>
      <c r="M74" s="3597"/>
      <c r="N74" s="3598"/>
      <c r="O74" s="3247"/>
      <c r="P74" s="3455"/>
      <c r="Q74" s="2996"/>
      <c r="R74" s="2996"/>
      <c r="S74" s="2996"/>
      <c r="T74" s="3338"/>
    </row>
    <row r="75" spans="1:20" s="32" customFormat="1" ht="15">
      <c r="A75" s="200"/>
      <c r="B75" s="200"/>
      <c r="C75" s="655" t="s">
        <v>937</v>
      </c>
      <c r="D75" s="2218"/>
      <c r="E75" s="2218"/>
      <c r="F75" s="3599" t="s">
        <v>496</v>
      </c>
      <c r="G75" s="3599"/>
      <c r="H75" s="3599"/>
      <c r="I75" s="3599"/>
      <c r="J75" s="3599"/>
      <c r="K75" s="3599"/>
      <c r="L75" s="3599"/>
      <c r="M75" s="3599"/>
      <c r="N75" s="3599"/>
      <c r="O75" s="2219"/>
      <c r="P75" s="2204"/>
      <c r="Q75" s="3311"/>
      <c r="R75" s="3311"/>
      <c r="S75" s="3312"/>
      <c r="T75" s="2252"/>
    </row>
    <row r="76" spans="1:20" s="32" customFormat="1" ht="30" customHeight="1">
      <c r="A76" s="200"/>
      <c r="B76" s="200"/>
      <c r="C76" s="3586" t="s">
        <v>938</v>
      </c>
      <c r="D76" s="3587"/>
      <c r="E76" s="2217"/>
      <c r="F76" s="3101" t="s">
        <v>2819</v>
      </c>
      <c r="G76" s="3101"/>
      <c r="H76" s="3101"/>
      <c r="I76" s="3101"/>
      <c r="J76" s="3101"/>
      <c r="K76" s="3101"/>
      <c r="L76" s="3101"/>
      <c r="M76" s="3101"/>
      <c r="N76" s="3101"/>
      <c r="O76" s="2156"/>
      <c r="P76" s="2192"/>
      <c r="Q76" s="3438"/>
      <c r="R76" s="3438"/>
      <c r="S76" s="3438"/>
      <c r="T76" s="657"/>
    </row>
    <row r="77" spans="1:20" s="32" customFormat="1" ht="30" customHeight="1">
      <c r="A77" s="200"/>
      <c r="B77" s="200"/>
      <c r="C77" s="2194"/>
      <c r="D77" s="2195">
        <v>1</v>
      </c>
      <c r="E77" s="2195"/>
      <c r="F77" s="3065" t="s">
        <v>497</v>
      </c>
      <c r="G77" s="3065"/>
      <c r="H77" s="3065"/>
      <c r="I77" s="3065"/>
      <c r="J77" s="3065"/>
      <c r="K77" s="3065"/>
      <c r="L77" s="3065"/>
      <c r="M77" s="3065"/>
      <c r="N77" s="3065"/>
      <c r="O77" s="2166">
        <v>2</v>
      </c>
      <c r="P77" s="591"/>
      <c r="Q77" s="3296"/>
      <c r="R77" s="3296"/>
      <c r="S77" s="3296"/>
      <c r="T77" s="2153" t="s">
        <v>20</v>
      </c>
    </row>
    <row r="78" spans="1:20" s="32" customFormat="1" ht="38.25" customHeight="1">
      <c r="A78" s="200"/>
      <c r="B78" s="200"/>
      <c r="C78" s="3450"/>
      <c r="D78" s="3451">
        <v>2</v>
      </c>
      <c r="E78" s="3451"/>
      <c r="F78" s="3439" t="s">
        <v>939</v>
      </c>
      <c r="G78" s="3439"/>
      <c r="H78" s="3439"/>
      <c r="I78" s="3439"/>
      <c r="J78" s="3439"/>
      <c r="K78" s="3439"/>
      <c r="L78" s="3439"/>
      <c r="M78" s="3439"/>
      <c r="N78" s="3439"/>
      <c r="O78" s="2253" t="s">
        <v>3</v>
      </c>
      <c r="P78" s="2158"/>
      <c r="Q78" s="3298"/>
      <c r="R78" s="3298"/>
      <c r="S78" s="3298"/>
      <c r="T78" s="3308" t="s">
        <v>20</v>
      </c>
    </row>
    <row r="79" spans="1:20" s="32" customFormat="1" ht="15">
      <c r="A79" s="200"/>
      <c r="B79" s="200"/>
      <c r="C79" s="3450"/>
      <c r="D79" s="3452"/>
      <c r="E79" s="3159"/>
      <c r="F79" s="3440" t="s">
        <v>1101</v>
      </c>
      <c r="G79" s="3440"/>
      <c r="H79" s="3440"/>
      <c r="I79" s="3440"/>
      <c r="J79" s="3440"/>
      <c r="K79" s="3440"/>
      <c r="L79" s="3440"/>
      <c r="M79" s="3440"/>
      <c r="N79" s="3440"/>
      <c r="O79" s="2159">
        <v>2</v>
      </c>
      <c r="P79" s="2189">
        <f>score602.1.7.1_2</f>
        <v>0</v>
      </c>
      <c r="Q79" s="3298"/>
      <c r="R79" s="3298"/>
      <c r="S79" s="3298"/>
      <c r="T79" s="3308"/>
    </row>
    <row r="80" spans="1:20" s="32" customFormat="1" ht="30" customHeight="1">
      <c r="A80" s="200"/>
      <c r="B80" s="200"/>
      <c r="C80" s="2194"/>
      <c r="D80" s="2249">
        <v>3</v>
      </c>
      <c r="E80" s="2249"/>
      <c r="F80" s="3437" t="s">
        <v>498</v>
      </c>
      <c r="G80" s="3437"/>
      <c r="H80" s="3437"/>
      <c r="I80" s="3437"/>
      <c r="J80" s="3437"/>
      <c r="K80" s="3437"/>
      <c r="L80" s="3437"/>
      <c r="M80" s="3437"/>
      <c r="N80" s="3437"/>
      <c r="O80" s="2251">
        <v>4</v>
      </c>
      <c r="P80" s="810"/>
      <c r="Q80" s="3298"/>
      <c r="R80" s="3298"/>
      <c r="S80" s="3298"/>
      <c r="T80" s="2254" t="s">
        <v>20</v>
      </c>
    </row>
    <row r="81" spans="1:38" s="32" customFormat="1" ht="30" customHeight="1">
      <c r="A81" s="200"/>
      <c r="B81" s="200"/>
      <c r="C81" s="3300" t="s">
        <v>941</v>
      </c>
      <c r="D81" s="3301"/>
      <c r="E81" s="2250"/>
      <c r="F81" s="3437" t="s">
        <v>499</v>
      </c>
      <c r="G81" s="3437"/>
      <c r="H81" s="3437"/>
      <c r="I81" s="3437"/>
      <c r="J81" s="3437"/>
      <c r="K81" s="3437"/>
      <c r="L81" s="3437"/>
      <c r="M81" s="3437"/>
      <c r="N81" s="3437"/>
      <c r="O81" s="2251">
        <v>2</v>
      </c>
      <c r="P81" s="810"/>
      <c r="Q81" s="3298"/>
      <c r="R81" s="3298"/>
      <c r="S81" s="3298"/>
      <c r="T81" s="2255" t="s">
        <v>20</v>
      </c>
    </row>
    <row r="82" spans="1:38" ht="25.5" customHeight="1">
      <c r="C82" s="3441" t="s">
        <v>942</v>
      </c>
      <c r="D82" s="3443"/>
      <c r="E82" s="3314"/>
      <c r="F82" s="3287" t="s">
        <v>278</v>
      </c>
      <c r="G82" s="3288"/>
      <c r="H82" s="3288"/>
      <c r="I82" s="3288"/>
      <c r="J82" s="3288"/>
      <c r="K82" s="3288"/>
      <c r="L82" s="3288"/>
      <c r="M82" s="3288"/>
      <c r="N82" s="3288"/>
      <c r="O82" s="3446" t="s">
        <v>268</v>
      </c>
      <c r="P82" s="3448"/>
      <c r="Q82" s="3298"/>
      <c r="R82" s="3298"/>
      <c r="S82" s="3298"/>
      <c r="T82" s="3304" t="s">
        <v>20</v>
      </c>
    </row>
    <row r="83" spans="1:38" ht="15" customHeight="1">
      <c r="C83" s="3442"/>
      <c r="D83" s="3444"/>
      <c r="E83" s="3445"/>
      <c r="F83" s="3440" t="s">
        <v>1101</v>
      </c>
      <c r="G83" s="3440"/>
      <c r="H83" s="3440"/>
      <c r="I83" s="3440"/>
      <c r="J83" s="3440"/>
      <c r="K83" s="3440"/>
      <c r="L83" s="3440"/>
      <c r="M83" s="3440"/>
      <c r="N83" s="3440"/>
      <c r="O83" s="3447"/>
      <c r="P83" s="3449"/>
      <c r="Q83" s="3298"/>
      <c r="R83" s="3298"/>
      <c r="S83" s="3298"/>
      <c r="T83" s="3305"/>
    </row>
    <row r="84" spans="1:38" ht="75" customHeight="1">
      <c r="C84" s="655" t="s">
        <v>943</v>
      </c>
      <c r="D84" s="1348"/>
      <c r="E84" s="532"/>
      <c r="F84" s="3453" t="s">
        <v>944</v>
      </c>
      <c r="G84" s="3454"/>
      <c r="H84" s="3454"/>
      <c r="I84" s="3454"/>
      <c r="J84" s="3454"/>
      <c r="K84" s="3454"/>
      <c r="L84" s="3454"/>
      <c r="M84" s="3454"/>
      <c r="N84" s="3454"/>
      <c r="O84" s="2190"/>
      <c r="P84" s="2213"/>
      <c r="Q84" s="3306"/>
      <c r="R84" s="3306"/>
      <c r="S84" s="3306"/>
      <c r="T84" s="1410"/>
    </row>
    <row r="85" spans="1:38" s="32" customFormat="1" ht="135" customHeight="1">
      <c r="A85" s="200"/>
      <c r="B85" s="200"/>
      <c r="C85" s="2194"/>
      <c r="D85" s="2195">
        <v>1</v>
      </c>
      <c r="E85" s="2195"/>
      <c r="F85" s="3065" t="s">
        <v>945</v>
      </c>
      <c r="G85" s="3065"/>
      <c r="H85" s="3065"/>
      <c r="I85" s="3065"/>
      <c r="J85" s="3065"/>
      <c r="K85" s="3065"/>
      <c r="L85" s="3065"/>
      <c r="M85" s="3065"/>
      <c r="N85" s="3065"/>
      <c r="O85" s="2083" t="s">
        <v>3</v>
      </c>
      <c r="P85" s="2160"/>
      <c r="Q85" s="3307"/>
      <c r="R85" s="3307"/>
      <c r="S85" s="3307"/>
      <c r="T85" s="2157" t="s">
        <v>20</v>
      </c>
    </row>
    <row r="86" spans="1:38" s="32" customFormat="1" ht="15" customHeight="1">
      <c r="A86" s="200"/>
      <c r="B86" s="200"/>
      <c r="C86" s="2194"/>
      <c r="D86" s="2249">
        <v>2</v>
      </c>
      <c r="E86" s="2249"/>
      <c r="F86" s="3437" t="s">
        <v>947</v>
      </c>
      <c r="G86" s="3437"/>
      <c r="H86" s="3437"/>
      <c r="I86" s="3437"/>
      <c r="J86" s="3437"/>
      <c r="K86" s="3437"/>
      <c r="L86" s="3437"/>
      <c r="M86" s="3437"/>
      <c r="N86" s="3437"/>
      <c r="O86" s="2256">
        <v>2</v>
      </c>
      <c r="P86" s="812"/>
      <c r="Q86" s="3298"/>
      <c r="R86" s="3298"/>
      <c r="S86" s="3298"/>
      <c r="T86" s="2155" t="s">
        <v>20</v>
      </c>
    </row>
    <row r="87" spans="1:38" s="32" customFormat="1" ht="15" customHeight="1">
      <c r="A87" s="200"/>
      <c r="B87" s="200"/>
      <c r="C87" s="2194"/>
      <c r="D87" s="542">
        <v>3</v>
      </c>
      <c r="E87" s="542"/>
      <c r="F87" s="3430" t="s">
        <v>948</v>
      </c>
      <c r="G87" s="3430"/>
      <c r="H87" s="3430"/>
      <c r="I87" s="3430"/>
      <c r="J87" s="3430"/>
      <c r="K87" s="3430"/>
      <c r="L87" s="3430"/>
      <c r="M87" s="3430"/>
      <c r="N87" s="3430"/>
      <c r="O87" s="543">
        <v>3</v>
      </c>
      <c r="P87" s="812"/>
      <c r="Q87" s="3298"/>
      <c r="R87" s="3298"/>
      <c r="S87" s="3298"/>
      <c r="T87" s="2154" t="s">
        <v>20</v>
      </c>
    </row>
    <row r="88" spans="1:38" s="32" customFormat="1" ht="60" customHeight="1">
      <c r="A88" s="200"/>
      <c r="B88" s="200"/>
      <c r="C88" s="2194"/>
      <c r="D88" s="2195">
        <v>4</v>
      </c>
      <c r="E88" s="2195"/>
      <c r="F88" s="3065" t="s">
        <v>949</v>
      </c>
      <c r="G88" s="3065"/>
      <c r="H88" s="3065"/>
      <c r="I88" s="3065"/>
      <c r="J88" s="3065"/>
      <c r="K88" s="3065"/>
      <c r="L88" s="3065"/>
      <c r="M88" s="3065"/>
      <c r="N88" s="3065"/>
      <c r="O88" s="2257">
        <v>3</v>
      </c>
      <c r="P88" s="812"/>
      <c r="Q88" s="3298"/>
      <c r="R88" s="3298"/>
      <c r="S88" s="3298"/>
      <c r="T88" s="2157" t="s">
        <v>20</v>
      </c>
    </row>
    <row r="89" spans="1:38" s="32" customFormat="1" ht="30" customHeight="1" thickBot="1">
      <c r="A89" s="200"/>
      <c r="B89" s="200"/>
      <c r="C89" s="2194"/>
      <c r="D89" s="2249">
        <v>5</v>
      </c>
      <c r="E89" s="2249"/>
      <c r="F89" s="3437" t="s">
        <v>952</v>
      </c>
      <c r="G89" s="3437"/>
      <c r="H89" s="3437"/>
      <c r="I89" s="3437"/>
      <c r="J89" s="3437"/>
      <c r="K89" s="3437"/>
      <c r="L89" s="3437"/>
      <c r="M89" s="3437"/>
      <c r="N89" s="3437"/>
      <c r="O89" s="3433"/>
      <c r="P89" s="3426"/>
      <c r="Q89" s="2998"/>
      <c r="R89" s="2998"/>
      <c r="S89" s="2998"/>
      <c r="T89" s="3215" t="s">
        <v>20</v>
      </c>
    </row>
    <row r="90" spans="1:38" s="32" customFormat="1" ht="45" customHeight="1">
      <c r="A90" s="200"/>
      <c r="B90" s="200"/>
      <c r="C90" s="2194"/>
      <c r="D90" s="2195"/>
      <c r="E90" s="550"/>
      <c r="F90" s="544" t="s">
        <v>62</v>
      </c>
      <c r="G90" s="3431" t="s">
        <v>953</v>
      </c>
      <c r="H90" s="3431"/>
      <c r="I90" s="3431"/>
      <c r="J90" s="3431"/>
      <c r="K90" s="3431"/>
      <c r="L90" s="3431"/>
      <c r="M90" s="3431"/>
      <c r="N90" s="545" t="s">
        <v>67</v>
      </c>
      <c r="O90" s="3434"/>
      <c r="P90" s="3427"/>
      <c r="Q90" s="2998"/>
      <c r="R90" s="2998"/>
      <c r="S90" s="2998"/>
      <c r="T90" s="3055"/>
    </row>
    <row r="91" spans="1:38" s="32" customFormat="1" ht="36" customHeight="1" thickBot="1">
      <c r="A91" s="200"/>
      <c r="B91" s="200"/>
      <c r="C91" s="2194"/>
      <c r="D91" s="548"/>
      <c r="E91" s="549"/>
      <c r="F91" s="546" t="s">
        <v>63</v>
      </c>
      <c r="G91" s="3432" t="s">
        <v>954</v>
      </c>
      <c r="H91" s="3432"/>
      <c r="I91" s="3432"/>
      <c r="J91" s="3432"/>
      <c r="K91" s="3432"/>
      <c r="L91" s="3432"/>
      <c r="M91" s="3432"/>
      <c r="N91" s="547" t="s">
        <v>77</v>
      </c>
      <c r="O91" s="3435"/>
      <c r="P91" s="2189">
        <f>score602.1.9_5</f>
        <v>0</v>
      </c>
      <c r="Q91" s="2998"/>
      <c r="R91" s="2998"/>
      <c r="S91" s="2998"/>
      <c r="T91" s="3116"/>
    </row>
    <row r="92" spans="1:38" s="32" customFormat="1" ht="30" customHeight="1">
      <c r="A92" s="200"/>
      <c r="B92" s="200"/>
      <c r="C92" s="2194"/>
      <c r="D92" s="542">
        <v>6</v>
      </c>
      <c r="E92" s="542"/>
      <c r="F92" s="3121" t="s">
        <v>951</v>
      </c>
      <c r="G92" s="3121"/>
      <c r="H92" s="3121"/>
      <c r="I92" s="3121"/>
      <c r="J92" s="3121"/>
      <c r="K92" s="3121"/>
      <c r="L92" s="3121"/>
      <c r="M92" s="3121"/>
      <c r="N92" s="3121"/>
      <c r="O92" s="543">
        <v>2</v>
      </c>
      <c r="P92" s="812"/>
      <c r="Q92" s="2997"/>
      <c r="R92" s="2998"/>
      <c r="S92" s="2998"/>
      <c r="T92" s="2154" t="s">
        <v>20</v>
      </c>
    </row>
    <row r="93" spans="1:38" s="32" customFormat="1" ht="15" customHeight="1">
      <c r="A93" s="200"/>
      <c r="B93" s="200"/>
      <c r="C93" s="2194"/>
      <c r="D93" s="542">
        <v>7</v>
      </c>
      <c r="E93" s="542"/>
      <c r="F93" s="3430" t="s">
        <v>950</v>
      </c>
      <c r="G93" s="3430"/>
      <c r="H93" s="3430"/>
      <c r="I93" s="3430"/>
      <c r="J93" s="3430"/>
      <c r="K93" s="3430"/>
      <c r="L93" s="3430"/>
      <c r="M93" s="3430"/>
      <c r="N93" s="3430"/>
      <c r="O93" s="543">
        <v>2</v>
      </c>
      <c r="P93" s="812"/>
      <c r="Q93" s="2997"/>
      <c r="R93" s="2998"/>
      <c r="S93" s="2998"/>
      <c r="T93" s="2154" t="s">
        <v>20</v>
      </c>
    </row>
    <row r="94" spans="1:38" ht="135" customHeight="1">
      <c r="C94" s="3313" t="s">
        <v>958</v>
      </c>
      <c r="D94" s="3314"/>
      <c r="E94" s="2202"/>
      <c r="F94" s="3285" t="s">
        <v>959</v>
      </c>
      <c r="G94" s="3286"/>
      <c r="H94" s="3286"/>
      <c r="I94" s="3286"/>
      <c r="J94" s="3286"/>
      <c r="K94" s="3286"/>
      <c r="L94" s="3286"/>
      <c r="M94" s="3286"/>
      <c r="N94" s="3286"/>
      <c r="O94" s="658"/>
      <c r="P94" s="659"/>
      <c r="Q94" s="3606"/>
      <c r="R94" s="3606"/>
      <c r="S94" s="3606"/>
      <c r="T94" s="657"/>
    </row>
    <row r="95" spans="1:38" s="494" customFormat="1" ht="15" customHeight="1" thickBot="1">
      <c r="A95" s="170"/>
      <c r="B95" s="170"/>
      <c r="C95" s="89"/>
      <c r="D95" s="2164"/>
      <c r="E95" s="2168"/>
      <c r="F95" s="3428" t="str">
        <f>IF(startClimateZone="", "No zone chosen for this project. See the Start Here! worksheet.", CONCATENATE("Climate zone ",startClimateZone," chosen for this project. See the Start Here! worksheet."))</f>
        <v>No zone chosen for this project. See the Start Here! worksheet.</v>
      </c>
      <c r="G95" s="3428"/>
      <c r="H95" s="3428"/>
      <c r="I95" s="3428"/>
      <c r="J95" s="3428"/>
      <c r="K95" s="3429"/>
      <c r="L95" s="3429"/>
      <c r="M95" s="3429"/>
      <c r="N95" s="3429"/>
      <c r="O95" s="3340"/>
      <c r="P95" s="3315"/>
      <c r="Q95" s="3009"/>
      <c r="R95" s="3009"/>
      <c r="S95" s="3009"/>
      <c r="T95" s="3302" t="s">
        <v>20</v>
      </c>
      <c r="Y95" s="8"/>
      <c r="Z95" s="8"/>
      <c r="AA95" s="8"/>
      <c r="AB95" s="8"/>
      <c r="AC95" s="8"/>
      <c r="AD95" s="8"/>
      <c r="AE95" s="8"/>
      <c r="AF95" s="8"/>
      <c r="AG95" s="8"/>
      <c r="AH95" s="8"/>
      <c r="AI95" s="8"/>
      <c r="AJ95" s="8"/>
      <c r="AK95" s="8"/>
      <c r="AL95" s="8"/>
    </row>
    <row r="96" spans="1:38" ht="15" customHeight="1">
      <c r="C96" s="125"/>
      <c r="D96" s="132"/>
      <c r="E96" s="129"/>
      <c r="F96" s="552">
        <v>1</v>
      </c>
      <c r="G96" s="3423" t="s">
        <v>960</v>
      </c>
      <c r="H96" s="3423"/>
      <c r="I96" s="3423"/>
      <c r="J96" s="553" t="s">
        <v>77</v>
      </c>
      <c r="K96" s="558"/>
      <c r="L96" s="559"/>
      <c r="M96" s="559"/>
      <c r="N96" s="559"/>
      <c r="O96" s="3340"/>
      <c r="P96" s="3316"/>
      <c r="Q96" s="3009"/>
      <c r="R96" s="3009"/>
      <c r="S96" s="3009"/>
      <c r="T96" s="3302"/>
    </row>
    <row r="97" spans="1:20" ht="15" customHeight="1">
      <c r="C97" s="125"/>
      <c r="D97" s="132"/>
      <c r="E97" s="129"/>
      <c r="F97" s="554">
        <v>2</v>
      </c>
      <c r="G97" s="3424" t="s">
        <v>961</v>
      </c>
      <c r="H97" s="3424"/>
      <c r="I97" s="3424"/>
      <c r="J97" s="555" t="s">
        <v>67</v>
      </c>
      <c r="K97" s="560"/>
      <c r="L97" s="2171"/>
      <c r="M97" s="2171"/>
      <c r="N97" s="2171"/>
      <c r="O97" s="3340"/>
      <c r="P97" s="3317">
        <f>score602.1.10</f>
        <v>0</v>
      </c>
      <c r="Q97" s="3009"/>
      <c r="R97" s="3009"/>
      <c r="S97" s="3009"/>
      <c r="T97" s="3302"/>
    </row>
    <row r="98" spans="1:20" ht="15" customHeight="1" thickBot="1">
      <c r="C98" s="125"/>
      <c r="D98" s="132"/>
      <c r="E98" s="129"/>
      <c r="F98" s="556">
        <v>3</v>
      </c>
      <c r="G98" s="3425" t="s">
        <v>963</v>
      </c>
      <c r="H98" s="3425"/>
      <c r="I98" s="3425"/>
      <c r="J98" s="557" t="s">
        <v>68</v>
      </c>
      <c r="K98" s="561"/>
      <c r="L98" s="562"/>
      <c r="M98" s="562"/>
      <c r="N98" s="562"/>
      <c r="O98" s="3436"/>
      <c r="P98" s="3318"/>
      <c r="Q98" s="3009"/>
      <c r="R98" s="3009"/>
      <c r="S98" s="3009"/>
      <c r="T98" s="3303"/>
    </row>
    <row r="99" spans="1:20" s="32" customFormat="1" ht="30" customHeight="1" thickBot="1">
      <c r="A99" s="200"/>
      <c r="B99" s="200"/>
      <c r="C99" s="3421" t="s">
        <v>964</v>
      </c>
      <c r="D99" s="3422"/>
      <c r="E99" s="563"/>
      <c r="F99" s="3411" t="s">
        <v>488</v>
      </c>
      <c r="G99" s="3411"/>
      <c r="H99" s="3411"/>
      <c r="I99" s="3411"/>
      <c r="J99" s="3411"/>
      <c r="K99" s="3411"/>
      <c r="L99" s="3411"/>
      <c r="M99" s="3411"/>
      <c r="N99" s="3411"/>
      <c r="O99" s="870" t="s">
        <v>339</v>
      </c>
      <c r="P99" s="973"/>
      <c r="Q99" s="3083"/>
      <c r="R99" s="3084"/>
      <c r="S99" s="3084"/>
      <c r="T99" s="676" t="s">
        <v>20</v>
      </c>
    </row>
    <row r="100" spans="1:20" ht="30" customHeight="1" thickTop="1">
      <c r="C100" s="3400" t="s">
        <v>965</v>
      </c>
      <c r="D100" s="3401"/>
      <c r="E100" s="2197"/>
      <c r="F100" s="3387" t="s">
        <v>966</v>
      </c>
      <c r="G100" s="3399"/>
      <c r="H100" s="3399"/>
      <c r="I100" s="3399"/>
      <c r="J100" s="3399"/>
      <c r="K100" s="3399"/>
      <c r="L100" s="3399"/>
      <c r="M100" s="3399"/>
      <c r="N100" s="3399"/>
      <c r="O100" s="3276">
        <v>4</v>
      </c>
      <c r="P100" s="3607"/>
      <c r="Q100" s="3009"/>
      <c r="R100" s="3009"/>
      <c r="S100" s="3009"/>
      <c r="T100" s="3608" t="s">
        <v>20</v>
      </c>
    </row>
    <row r="101" spans="1:20" ht="14" customHeight="1">
      <c r="C101" s="134"/>
      <c r="D101" s="135"/>
      <c r="E101" s="136"/>
      <c r="F101" s="3609" t="s">
        <v>260</v>
      </c>
      <c r="G101" s="3609"/>
      <c r="H101" s="3609"/>
      <c r="I101" s="3609"/>
      <c r="J101" s="3609"/>
      <c r="K101" s="3609"/>
      <c r="L101" s="3609"/>
      <c r="M101" s="3609"/>
      <c r="N101" s="3609"/>
      <c r="O101" s="3247"/>
      <c r="P101" s="3465"/>
      <c r="Q101" s="3009"/>
      <c r="R101" s="3009"/>
      <c r="S101" s="3009"/>
      <c r="T101" s="3302"/>
    </row>
    <row r="102" spans="1:20" ht="27" customHeight="1">
      <c r="C102" s="134"/>
      <c r="D102" s="135"/>
      <c r="E102" s="136"/>
      <c r="F102" s="3415" t="s">
        <v>2991</v>
      </c>
      <c r="G102" s="3416"/>
      <c r="H102" s="3416"/>
      <c r="I102" s="3416"/>
      <c r="J102" s="3416"/>
      <c r="K102" s="3416"/>
      <c r="L102" s="3416"/>
      <c r="M102" s="3417"/>
      <c r="N102" s="3402"/>
      <c r="O102" s="3403"/>
      <c r="P102" s="3403"/>
      <c r="Q102" s="3403"/>
      <c r="R102" s="3403"/>
      <c r="S102" s="3403"/>
      <c r="T102" s="3404"/>
    </row>
    <row r="103" spans="1:20" ht="38.25" customHeight="1">
      <c r="C103" s="134"/>
      <c r="D103" s="135"/>
      <c r="E103" s="136"/>
      <c r="F103" s="3418" t="s">
        <v>261</v>
      </c>
      <c r="G103" s="3419"/>
      <c r="H103" s="3419" t="s">
        <v>262</v>
      </c>
      <c r="I103" s="3419"/>
      <c r="J103" s="3419"/>
      <c r="K103" s="3419" t="s">
        <v>263</v>
      </c>
      <c r="L103" s="3419"/>
      <c r="M103" s="3420"/>
      <c r="N103" s="3402"/>
      <c r="O103" s="3403"/>
      <c r="P103" s="3403"/>
      <c r="Q103" s="3403"/>
      <c r="R103" s="3403"/>
      <c r="S103" s="3403"/>
      <c r="T103" s="3404"/>
    </row>
    <row r="104" spans="1:20" ht="15" customHeight="1">
      <c r="C104" s="134"/>
      <c r="D104" s="135"/>
      <c r="E104" s="136"/>
      <c r="F104" s="3412" t="s">
        <v>967</v>
      </c>
      <c r="G104" s="3413"/>
      <c r="H104" s="3413">
        <v>12</v>
      </c>
      <c r="I104" s="3413"/>
      <c r="J104" s="3413"/>
      <c r="K104" s="3413">
        <v>12</v>
      </c>
      <c r="L104" s="3413"/>
      <c r="M104" s="3414"/>
      <c r="N104" s="3402"/>
      <c r="O104" s="3403"/>
      <c r="P104" s="3403"/>
      <c r="Q104" s="3403"/>
      <c r="R104" s="3403"/>
      <c r="S104" s="3403"/>
      <c r="T104" s="3404"/>
    </row>
    <row r="105" spans="1:20" ht="15" customHeight="1">
      <c r="C105" s="134"/>
      <c r="D105" s="135"/>
      <c r="E105" s="136"/>
      <c r="F105" s="3412" t="s">
        <v>264</v>
      </c>
      <c r="G105" s="3413"/>
      <c r="H105" s="3413">
        <v>18</v>
      </c>
      <c r="I105" s="3413"/>
      <c r="J105" s="3413"/>
      <c r="K105" s="3413">
        <v>12</v>
      </c>
      <c r="L105" s="3413"/>
      <c r="M105" s="3414"/>
      <c r="N105" s="3402"/>
      <c r="O105" s="3403"/>
      <c r="P105" s="3403"/>
      <c r="Q105" s="3403"/>
      <c r="R105" s="3403"/>
      <c r="S105" s="3403"/>
      <c r="T105" s="3404"/>
    </row>
    <row r="106" spans="1:20" ht="15" customHeight="1">
      <c r="C106" s="134"/>
      <c r="D106" s="135"/>
      <c r="E106" s="136"/>
      <c r="F106" s="3412" t="s">
        <v>265</v>
      </c>
      <c r="G106" s="3413"/>
      <c r="H106" s="3413">
        <v>24</v>
      </c>
      <c r="I106" s="3413"/>
      <c r="J106" s="3413"/>
      <c r="K106" s="3413">
        <v>12</v>
      </c>
      <c r="L106" s="3413"/>
      <c r="M106" s="3414"/>
      <c r="N106" s="3402"/>
      <c r="O106" s="3403"/>
      <c r="P106" s="3403"/>
      <c r="Q106" s="3403"/>
      <c r="R106" s="3403"/>
      <c r="S106" s="3403"/>
      <c r="T106" s="3404"/>
    </row>
    <row r="107" spans="1:20" ht="28.5" customHeight="1">
      <c r="C107" s="134"/>
      <c r="D107" s="135"/>
      <c r="E107" s="136"/>
      <c r="F107" s="3408" t="s">
        <v>968</v>
      </c>
      <c r="G107" s="3409"/>
      <c r="H107" s="3409"/>
      <c r="I107" s="3409"/>
      <c r="J107" s="3409"/>
      <c r="K107" s="3409"/>
      <c r="L107" s="3409"/>
      <c r="M107" s="3410"/>
      <c r="N107" s="3402"/>
      <c r="O107" s="3403"/>
      <c r="P107" s="3403"/>
      <c r="Q107" s="3403"/>
      <c r="R107" s="3403"/>
      <c r="S107" s="3403"/>
      <c r="T107" s="3404"/>
    </row>
    <row r="108" spans="1:20" s="8" customFormat="1" ht="15" customHeight="1" thickBot="1">
      <c r="A108" s="1740"/>
      <c r="B108" s="1740"/>
      <c r="C108" s="3405"/>
      <c r="D108" s="3406"/>
      <c r="E108" s="3406"/>
      <c r="F108" s="3406"/>
      <c r="G108" s="3406"/>
      <c r="H108" s="3406"/>
      <c r="I108" s="3406"/>
      <c r="J108" s="3406"/>
      <c r="K108" s="3406"/>
      <c r="L108" s="3406"/>
      <c r="M108" s="3406"/>
      <c r="N108" s="3406"/>
      <c r="O108" s="3406"/>
      <c r="P108" s="3406"/>
      <c r="Q108" s="3406"/>
      <c r="R108" s="3406"/>
      <c r="S108" s="3406"/>
      <c r="T108" s="3407"/>
    </row>
    <row r="109" spans="1:20" ht="60" customHeight="1" thickTop="1" thickBot="1">
      <c r="C109" s="3381" t="s">
        <v>2071</v>
      </c>
      <c r="D109" s="3382"/>
      <c r="E109" s="2199"/>
      <c r="F109" s="3610" t="s">
        <v>279</v>
      </c>
      <c r="G109" s="3611"/>
      <c r="H109" s="3611"/>
      <c r="I109" s="3611"/>
      <c r="J109" s="3611"/>
      <c r="K109" s="3611"/>
      <c r="L109" s="3611"/>
      <c r="M109" s="3611"/>
      <c r="N109" s="3611"/>
      <c r="O109" s="660" t="s">
        <v>268</v>
      </c>
      <c r="P109" s="699"/>
      <c r="Q109" s="2980"/>
      <c r="R109" s="2981"/>
      <c r="S109" s="2981"/>
      <c r="T109" s="682" t="s">
        <v>20</v>
      </c>
    </row>
    <row r="110" spans="1:20" ht="45" customHeight="1" thickTop="1">
      <c r="C110" s="3383" t="s">
        <v>969</v>
      </c>
      <c r="D110" s="3384"/>
      <c r="E110" s="144"/>
      <c r="F110" s="3612" t="s">
        <v>970</v>
      </c>
      <c r="G110" s="3612"/>
      <c r="H110" s="3612"/>
      <c r="I110" s="3612"/>
      <c r="J110" s="3612"/>
      <c r="K110" s="3612"/>
      <c r="L110" s="3612"/>
      <c r="M110" s="3612"/>
      <c r="N110" s="3612"/>
      <c r="O110" s="2177"/>
      <c r="P110" s="615"/>
      <c r="Q110" s="3386"/>
      <c r="R110" s="3386"/>
      <c r="S110" s="3386"/>
      <c r="T110" s="2184"/>
    </row>
    <row r="111" spans="1:20" ht="15" customHeight="1">
      <c r="C111" s="125"/>
      <c r="D111" s="126">
        <v>1</v>
      </c>
      <c r="E111" s="127"/>
      <c r="F111" s="3505" t="s">
        <v>971</v>
      </c>
      <c r="G111" s="3505"/>
      <c r="H111" s="3505"/>
      <c r="I111" s="3505"/>
      <c r="J111" s="3505"/>
      <c r="K111" s="3505"/>
      <c r="L111" s="3505"/>
      <c r="M111" s="3505"/>
      <c r="N111" s="3505"/>
      <c r="O111" s="128">
        <v>2</v>
      </c>
      <c r="P111" s="696"/>
      <c r="Q111" s="3613"/>
      <c r="R111" s="3613"/>
      <c r="S111" s="3613"/>
      <c r="T111" s="683" t="s">
        <v>20</v>
      </c>
    </row>
    <row r="112" spans="1:20" ht="15" customHeight="1">
      <c r="C112" s="125"/>
      <c r="D112" s="2207">
        <v>2</v>
      </c>
      <c r="E112" s="129"/>
      <c r="F112" s="3353" t="s">
        <v>972</v>
      </c>
      <c r="G112" s="3353"/>
      <c r="H112" s="3353"/>
      <c r="I112" s="3353"/>
      <c r="J112" s="3353"/>
      <c r="K112" s="3353"/>
      <c r="L112" s="3353"/>
      <c r="M112" s="3353"/>
      <c r="N112" s="3353"/>
      <c r="O112" s="2179">
        <v>2</v>
      </c>
      <c r="P112" s="974"/>
      <c r="Q112" s="3271"/>
      <c r="R112" s="3271"/>
      <c r="S112" s="3271"/>
      <c r="T112" s="2258" t="s">
        <v>20</v>
      </c>
    </row>
    <row r="113" spans="3:20" ht="30" customHeight="1">
      <c r="C113" s="125"/>
      <c r="D113" s="564">
        <v>3</v>
      </c>
      <c r="E113" s="565"/>
      <c r="F113" s="3288" t="s">
        <v>973</v>
      </c>
      <c r="G113" s="3288"/>
      <c r="H113" s="3288"/>
      <c r="I113" s="3288"/>
      <c r="J113" s="3288"/>
      <c r="K113" s="3288"/>
      <c r="L113" s="3288"/>
      <c r="M113" s="3288"/>
      <c r="N113" s="3288"/>
      <c r="O113" s="566" t="s">
        <v>268</v>
      </c>
      <c r="P113" s="1800"/>
      <c r="Q113" s="3271"/>
      <c r="R113" s="3271"/>
      <c r="S113" s="3271"/>
      <c r="T113" s="3385" t="s">
        <v>20</v>
      </c>
    </row>
    <row r="114" spans="3:20" ht="15" customHeight="1" thickBot="1">
      <c r="C114" s="125"/>
      <c r="D114" s="2207"/>
      <c r="E114" s="129"/>
      <c r="F114" s="3286"/>
      <c r="G114" s="3286"/>
      <c r="H114" s="3286"/>
      <c r="I114" s="3286"/>
      <c r="J114" s="3286"/>
      <c r="K114" s="3286"/>
      <c r="L114" s="3286"/>
      <c r="M114" s="3286"/>
      <c r="N114" s="3286"/>
      <c r="O114" s="176">
        <v>1</v>
      </c>
      <c r="P114" s="2186">
        <f>score602.1.15_3</f>
        <v>0</v>
      </c>
      <c r="Q114" s="3272"/>
      <c r="R114" s="3272"/>
      <c r="S114" s="3272"/>
      <c r="T114" s="3302"/>
    </row>
    <row r="115" spans="3:20" ht="60" customHeight="1" thickTop="1">
      <c r="C115" s="2259">
        <v>602.20000000000005</v>
      </c>
      <c r="D115" s="131"/>
      <c r="E115" s="2197"/>
      <c r="F115" s="3387" t="s">
        <v>975</v>
      </c>
      <c r="G115" s="3387"/>
      <c r="H115" s="3387"/>
      <c r="I115" s="3387"/>
      <c r="J115" s="3387"/>
      <c r="K115" s="3387"/>
      <c r="L115" s="3387"/>
      <c r="M115" s="3387"/>
      <c r="N115" s="3387"/>
      <c r="O115" s="3276">
        <v>3</v>
      </c>
      <c r="P115" s="2260"/>
      <c r="Q115" s="3273"/>
      <c r="R115" s="3210"/>
      <c r="S115" s="3210"/>
      <c r="T115" s="3337" t="s">
        <v>20</v>
      </c>
    </row>
    <row r="116" spans="3:20" ht="30" customHeight="1" thickBot="1">
      <c r="C116" s="89"/>
      <c r="D116" s="132"/>
      <c r="E116" s="2168"/>
      <c r="F116" s="3285"/>
      <c r="G116" s="3285"/>
      <c r="H116" s="3285"/>
      <c r="I116" s="3285"/>
      <c r="J116" s="3285"/>
      <c r="K116" s="3285"/>
      <c r="L116" s="3285"/>
      <c r="M116" s="3285"/>
      <c r="N116" s="3285"/>
      <c r="O116" s="3247"/>
      <c r="P116" s="2206">
        <f>score602.2</f>
        <v>0</v>
      </c>
      <c r="Q116" s="3010"/>
      <c r="R116" s="3010"/>
      <c r="S116" s="3010"/>
      <c r="T116" s="3378"/>
    </row>
    <row r="117" spans="3:20" ht="39" customHeight="1" thickTop="1" thickBot="1">
      <c r="C117" s="2230">
        <v>602.29999999999995</v>
      </c>
      <c r="D117" s="131"/>
      <c r="E117" s="2227"/>
      <c r="F117" s="3289" t="s">
        <v>270</v>
      </c>
      <c r="G117" s="3290"/>
      <c r="H117" s="3290"/>
      <c r="I117" s="3290"/>
      <c r="J117" s="3290"/>
      <c r="K117" s="3290"/>
      <c r="L117" s="3290"/>
      <c r="M117" s="3290"/>
      <c r="N117" s="3290"/>
      <c r="O117" s="2228">
        <v>4</v>
      </c>
      <c r="P117" s="2229"/>
      <c r="Q117" s="3274"/>
      <c r="R117" s="3275"/>
      <c r="S117" s="3275"/>
      <c r="T117" s="2261" t="s">
        <v>20</v>
      </c>
    </row>
    <row r="118" spans="3:20" ht="15" customHeight="1" thickTop="1">
      <c r="C118" s="2200">
        <v>602.4</v>
      </c>
      <c r="D118" s="521"/>
      <c r="E118" s="2170"/>
      <c r="F118" s="3291" t="s">
        <v>979</v>
      </c>
      <c r="G118" s="3291"/>
      <c r="H118" s="3291"/>
      <c r="I118" s="3291"/>
      <c r="J118" s="3291"/>
      <c r="K118" s="3291"/>
      <c r="L118" s="3291"/>
      <c r="M118" s="3291"/>
      <c r="N118" s="3291"/>
      <c r="O118" s="2181"/>
      <c r="P118" s="2185"/>
      <c r="Q118" s="3602"/>
      <c r="R118" s="3602"/>
      <c r="S118" s="3603"/>
      <c r="T118" s="2262"/>
    </row>
    <row r="119" spans="3:20" ht="60.75" customHeight="1">
      <c r="C119" s="2162" t="s">
        <v>980</v>
      </c>
      <c r="D119" s="2183"/>
      <c r="E119" s="2202"/>
      <c r="F119" s="3285" t="s">
        <v>981</v>
      </c>
      <c r="G119" s="3286"/>
      <c r="H119" s="3286"/>
      <c r="I119" s="3286"/>
      <c r="J119" s="3286"/>
      <c r="K119" s="3286"/>
      <c r="L119" s="3286"/>
      <c r="M119" s="3286"/>
      <c r="N119" s="3286"/>
      <c r="O119" s="870" t="s">
        <v>3</v>
      </c>
      <c r="P119" s="2180"/>
      <c r="Q119" s="2995"/>
      <c r="R119" s="2996"/>
      <c r="S119" s="2996"/>
      <c r="T119" s="2173" t="s">
        <v>20</v>
      </c>
    </row>
    <row r="120" spans="3:20" ht="15" customHeight="1">
      <c r="C120" s="568" t="s">
        <v>982</v>
      </c>
      <c r="D120" s="569"/>
      <c r="E120" s="569"/>
      <c r="F120" s="3292" t="s">
        <v>2348</v>
      </c>
      <c r="G120" s="3292"/>
      <c r="H120" s="3292"/>
      <c r="I120" s="3292"/>
      <c r="J120" s="3292"/>
      <c r="K120" s="3292"/>
      <c r="L120" s="3292"/>
      <c r="M120" s="3292"/>
      <c r="N120" s="3292"/>
      <c r="O120" s="567">
        <v>1</v>
      </c>
      <c r="P120" s="509"/>
      <c r="Q120" s="2997"/>
      <c r="R120" s="2998"/>
      <c r="S120" s="2998"/>
      <c r="T120" s="684" t="s">
        <v>20</v>
      </c>
    </row>
    <row r="121" spans="3:20" ht="15" customHeight="1">
      <c r="C121" s="570" t="s">
        <v>984</v>
      </c>
      <c r="D121" s="571"/>
      <c r="E121" s="571"/>
      <c r="F121" s="3614" t="s">
        <v>983</v>
      </c>
      <c r="G121" s="3614"/>
      <c r="H121" s="3614"/>
      <c r="I121" s="3614"/>
      <c r="J121" s="3614"/>
      <c r="K121" s="3614"/>
      <c r="L121" s="3614"/>
      <c r="M121" s="3614"/>
      <c r="N121" s="3614"/>
      <c r="O121" s="529">
        <v>1</v>
      </c>
      <c r="P121" s="509"/>
      <c r="Q121" s="3600"/>
      <c r="R121" s="3143"/>
      <c r="S121" s="3143"/>
      <c r="T121" s="2203" t="s">
        <v>20</v>
      </c>
    </row>
    <row r="122" spans="3:20" ht="15">
      <c r="C122" s="3319" t="s">
        <v>284</v>
      </c>
      <c r="D122" s="3319"/>
      <c r="E122" s="3319"/>
      <c r="F122" s="3319"/>
      <c r="G122" s="3319"/>
      <c r="H122" s="3319"/>
      <c r="I122" s="3319"/>
      <c r="J122" s="3319"/>
      <c r="K122" s="3319"/>
      <c r="L122" s="3319"/>
      <c r="M122" s="3319"/>
      <c r="N122" s="3319"/>
      <c r="O122" s="3319"/>
      <c r="P122" s="3319"/>
      <c r="Q122" s="3319"/>
      <c r="R122" s="3319"/>
      <c r="S122" s="3319"/>
      <c r="T122" s="3319"/>
    </row>
    <row r="123" spans="3:20" s="119" customFormat="1" ht="18.75" customHeight="1" thickBot="1">
      <c r="C123" s="2222">
        <v>603</v>
      </c>
      <c r="D123" s="2208"/>
      <c r="E123" s="3651" t="s">
        <v>985</v>
      </c>
      <c r="F123" s="3567"/>
      <c r="G123" s="3567"/>
      <c r="H123" s="3567"/>
      <c r="I123" s="3567"/>
      <c r="J123" s="3567"/>
      <c r="K123" s="3567"/>
      <c r="L123" s="3567"/>
      <c r="M123" s="3567"/>
      <c r="N123" s="3567"/>
      <c r="O123" s="3567"/>
      <c r="P123" s="3567"/>
      <c r="Q123" s="3567"/>
      <c r="R123" s="3567"/>
      <c r="S123" s="3567"/>
      <c r="T123" s="3568"/>
    </row>
    <row r="124" spans="3:20" ht="45" customHeight="1" thickTop="1" thickBot="1">
      <c r="C124" s="2201">
        <v>603.1</v>
      </c>
      <c r="D124" s="2210"/>
      <c r="E124" s="2202"/>
      <c r="F124" s="3286" t="s">
        <v>999</v>
      </c>
      <c r="G124" s="3286"/>
      <c r="H124" s="3286"/>
      <c r="I124" s="3286"/>
      <c r="J124" s="3286"/>
      <c r="K124" s="3286"/>
      <c r="L124" s="3286"/>
      <c r="M124" s="3286"/>
      <c r="N124" s="3286"/>
      <c r="O124" s="2179" t="s">
        <v>285</v>
      </c>
      <c r="P124" s="1778"/>
      <c r="Q124" s="3601"/>
      <c r="R124" s="3601"/>
      <c r="S124" s="3601"/>
      <c r="T124" s="3608" t="s">
        <v>20</v>
      </c>
    </row>
    <row r="125" spans="3:20" ht="15" customHeight="1">
      <c r="C125" s="2201"/>
      <c r="D125" s="2210"/>
      <c r="E125" s="2202"/>
      <c r="F125" s="3624" t="s">
        <v>286</v>
      </c>
      <c r="G125" s="3625"/>
      <c r="H125" s="3625"/>
      <c r="I125" s="3625"/>
      <c r="J125" s="3625"/>
      <c r="K125" s="3625"/>
      <c r="L125" s="3625"/>
      <c r="M125" s="3625"/>
      <c r="N125" s="3626"/>
      <c r="O125" s="2179"/>
      <c r="P125" s="3248">
        <f>score603.1</f>
        <v>0</v>
      </c>
      <c r="Q125" s="3601"/>
      <c r="R125" s="3601"/>
      <c r="S125" s="3601"/>
      <c r="T125" s="3302"/>
    </row>
    <row r="126" spans="3:20" ht="15" customHeight="1">
      <c r="C126" s="2201"/>
      <c r="D126" s="2210"/>
      <c r="E126" s="2202"/>
      <c r="F126" s="3396" t="s">
        <v>287</v>
      </c>
      <c r="G126" s="3397"/>
      <c r="H126" s="572" t="s">
        <v>288</v>
      </c>
      <c r="I126" s="3615" t="s">
        <v>287</v>
      </c>
      <c r="J126" s="3616"/>
      <c r="K126" s="572" t="s">
        <v>288</v>
      </c>
      <c r="L126" s="3615" t="s">
        <v>287</v>
      </c>
      <c r="M126" s="3616"/>
      <c r="N126" s="573" t="s">
        <v>288</v>
      </c>
      <c r="O126" s="496"/>
      <c r="P126" s="3248"/>
      <c r="Q126" s="3601"/>
      <c r="R126" s="3601"/>
      <c r="S126" s="3601"/>
      <c r="T126" s="3302"/>
    </row>
    <row r="127" spans="3:20" ht="15" customHeight="1">
      <c r="C127" s="2201"/>
      <c r="D127" s="2210"/>
      <c r="E127" s="2202"/>
      <c r="F127" s="3398" t="s">
        <v>289</v>
      </c>
      <c r="G127" s="3389"/>
      <c r="H127" s="2263">
        <v>1</v>
      </c>
      <c r="I127" s="3392" t="s">
        <v>293</v>
      </c>
      <c r="J127" s="3393"/>
      <c r="K127" s="2263">
        <v>5</v>
      </c>
      <c r="L127" s="3617" t="s">
        <v>297</v>
      </c>
      <c r="M127" s="3618"/>
      <c r="N127" s="2264">
        <v>9</v>
      </c>
      <c r="O127" s="496"/>
      <c r="P127" s="2168"/>
      <c r="Q127" s="3601"/>
      <c r="R127" s="3601"/>
      <c r="S127" s="3601"/>
      <c r="T127" s="3302"/>
    </row>
    <row r="128" spans="3:20" ht="15" customHeight="1">
      <c r="C128" s="2201"/>
      <c r="D128" s="2210"/>
      <c r="E128" s="2202"/>
      <c r="F128" s="3388" t="s">
        <v>290</v>
      </c>
      <c r="G128" s="3389"/>
      <c r="H128" s="2263">
        <v>2</v>
      </c>
      <c r="I128" s="3394" t="s">
        <v>294</v>
      </c>
      <c r="J128" s="3395"/>
      <c r="K128" s="2265">
        <v>6</v>
      </c>
      <c r="L128" s="3617" t="s">
        <v>298</v>
      </c>
      <c r="M128" s="3618"/>
      <c r="N128" s="2264">
        <v>10</v>
      </c>
      <c r="O128" s="496"/>
      <c r="P128" s="2168"/>
      <c r="Q128" s="3601"/>
      <c r="R128" s="3601"/>
      <c r="S128" s="3601"/>
      <c r="T128" s="3302"/>
    </row>
    <row r="129" spans="1:20" ht="15" customHeight="1">
      <c r="C129" s="2201"/>
      <c r="D129" s="2210"/>
      <c r="E129" s="2202"/>
      <c r="F129" s="3388" t="s">
        <v>291</v>
      </c>
      <c r="G129" s="3389"/>
      <c r="H129" s="2263">
        <v>3</v>
      </c>
      <c r="I129" s="3617" t="s">
        <v>295</v>
      </c>
      <c r="J129" s="3618"/>
      <c r="K129" s="2263">
        <v>7</v>
      </c>
      <c r="L129" s="3617" t="s">
        <v>299</v>
      </c>
      <c r="M129" s="3618"/>
      <c r="N129" s="2264">
        <v>11</v>
      </c>
      <c r="O129" s="496"/>
      <c r="P129" s="2168"/>
      <c r="Q129" s="3601"/>
      <c r="R129" s="3601"/>
      <c r="S129" s="3601"/>
      <c r="T129" s="3302"/>
    </row>
    <row r="130" spans="1:20" ht="15" customHeight="1" thickBot="1">
      <c r="C130" s="2201"/>
      <c r="D130" s="2210"/>
      <c r="E130" s="2202"/>
      <c r="F130" s="3390" t="s">
        <v>292</v>
      </c>
      <c r="G130" s="3391"/>
      <c r="H130" s="2266">
        <v>4</v>
      </c>
      <c r="I130" s="3619" t="s">
        <v>296</v>
      </c>
      <c r="J130" s="3620"/>
      <c r="K130" s="2266">
        <v>8</v>
      </c>
      <c r="L130" s="3619" t="s">
        <v>300</v>
      </c>
      <c r="M130" s="3620"/>
      <c r="N130" s="2267">
        <v>12</v>
      </c>
      <c r="O130" s="496"/>
      <c r="P130" s="2168"/>
      <c r="Q130" s="3601"/>
      <c r="R130" s="3601"/>
      <c r="S130" s="3601"/>
      <c r="T130" s="3302"/>
    </row>
    <row r="131" spans="1:20" s="8" customFormat="1" ht="30" customHeight="1" thickBot="1">
      <c r="A131" s="1740"/>
      <c r="B131" s="1740"/>
      <c r="C131" s="89"/>
      <c r="D131" s="2168"/>
      <c r="E131" s="2168"/>
      <c r="F131" s="3627" t="s">
        <v>1107</v>
      </c>
      <c r="G131" s="3627"/>
      <c r="H131" s="3627"/>
      <c r="I131" s="3627"/>
      <c r="J131" s="3627"/>
      <c r="K131" s="3627"/>
      <c r="L131" s="3627"/>
      <c r="M131" s="3627"/>
      <c r="N131" s="3627"/>
      <c r="O131" s="2168"/>
      <c r="P131" s="2168"/>
      <c r="Q131" s="3601"/>
      <c r="R131" s="3601"/>
      <c r="S131" s="3601"/>
      <c r="T131" s="3310"/>
    </row>
    <row r="132" spans="1:20" ht="75" customHeight="1" thickTop="1">
      <c r="C132" s="2230">
        <v>603.20000000000005</v>
      </c>
      <c r="D132" s="131"/>
      <c r="E132" s="2197"/>
      <c r="F132" s="3399" t="s">
        <v>998</v>
      </c>
      <c r="G132" s="3399"/>
      <c r="H132" s="3399"/>
      <c r="I132" s="3399"/>
      <c r="J132" s="3399"/>
      <c r="K132" s="3399"/>
      <c r="L132" s="3399"/>
      <c r="M132" s="3399"/>
      <c r="N132" s="3399"/>
      <c r="O132" s="3276" t="s">
        <v>1085</v>
      </c>
      <c r="P132" s="1779"/>
      <c r="Q132" s="3210"/>
      <c r="R132" s="3210"/>
      <c r="S132" s="3210"/>
      <c r="T132" s="3604" t="s">
        <v>20</v>
      </c>
    </row>
    <row r="133" spans="1:20" s="8" customFormat="1" ht="40" customHeight="1" thickBot="1">
      <c r="A133" s="1740"/>
      <c r="B133" s="1740"/>
      <c r="C133" s="89"/>
      <c r="D133" s="2168"/>
      <c r="E133" s="2168"/>
      <c r="F133" s="3440" t="s">
        <v>1108</v>
      </c>
      <c r="G133" s="3440"/>
      <c r="H133" s="3440"/>
      <c r="I133" s="3440"/>
      <c r="J133" s="3440"/>
      <c r="K133" s="3440"/>
      <c r="L133" s="3440"/>
      <c r="M133" s="3440"/>
      <c r="N133" s="3440"/>
      <c r="O133" s="3621"/>
      <c r="P133" s="637">
        <f>score603.2</f>
        <v>0</v>
      </c>
      <c r="Q133" s="3281"/>
      <c r="R133" s="3281"/>
      <c r="S133" s="3281"/>
      <c r="T133" s="3605"/>
    </row>
    <row r="134" spans="1:20" ht="30" customHeight="1" thickTop="1">
      <c r="C134" s="2230">
        <v>603.29999999999995</v>
      </c>
      <c r="D134" s="131"/>
      <c r="E134" s="2197"/>
      <c r="F134" s="3399" t="s">
        <v>301</v>
      </c>
      <c r="G134" s="3399"/>
      <c r="H134" s="3399"/>
      <c r="I134" s="3399"/>
      <c r="J134" s="3399"/>
      <c r="K134" s="3399"/>
      <c r="L134" s="3399"/>
      <c r="M134" s="3399"/>
      <c r="N134" s="3399"/>
      <c r="O134" s="2177">
        <v>4</v>
      </c>
      <c r="P134" s="2268"/>
      <c r="Q134" s="3622"/>
      <c r="R134" s="3623"/>
      <c r="S134" s="3623"/>
      <c r="T134" s="2178" t="s">
        <v>20</v>
      </c>
    </row>
    <row r="135" spans="1:20" ht="15">
      <c r="C135" s="3319" t="s">
        <v>302</v>
      </c>
      <c r="D135" s="3319"/>
      <c r="E135" s="3319"/>
      <c r="F135" s="3319"/>
      <c r="G135" s="3319"/>
      <c r="H135" s="3319"/>
      <c r="I135" s="3319"/>
      <c r="J135" s="3319"/>
      <c r="K135" s="3319"/>
      <c r="L135" s="3319"/>
      <c r="M135" s="3319"/>
      <c r="N135" s="3319"/>
      <c r="O135" s="3319"/>
      <c r="P135" s="3319"/>
      <c r="Q135" s="3319"/>
      <c r="R135" s="3319"/>
      <c r="S135" s="3319"/>
      <c r="T135" s="3319"/>
    </row>
    <row r="136" spans="1:20">
      <c r="C136" s="619">
        <v>604.1</v>
      </c>
      <c r="D136" s="2175"/>
      <c r="E136" s="2175"/>
      <c r="F136" s="3262" t="s">
        <v>1002</v>
      </c>
      <c r="G136" s="3263"/>
      <c r="H136" s="3263"/>
      <c r="I136" s="3263"/>
      <c r="J136" s="3263"/>
      <c r="K136" s="3263"/>
      <c r="L136" s="3263"/>
      <c r="M136" s="3263"/>
      <c r="N136" s="3263"/>
      <c r="O136" s="2175"/>
      <c r="P136" s="2175"/>
      <c r="Q136" s="3263"/>
      <c r="R136" s="3263"/>
      <c r="S136" s="3263"/>
      <c r="T136" s="620"/>
    </row>
    <row r="137" spans="1:20" ht="30" customHeight="1">
      <c r="C137" s="134" t="s">
        <v>1004</v>
      </c>
      <c r="D137" s="135"/>
      <c r="E137" s="136"/>
      <c r="F137" s="3285" t="s">
        <v>1003</v>
      </c>
      <c r="G137" s="3286"/>
      <c r="H137" s="3286"/>
      <c r="I137" s="3286"/>
      <c r="J137" s="3286"/>
      <c r="K137" s="3286"/>
      <c r="L137" s="3286"/>
      <c r="M137" s="3286"/>
      <c r="N137" s="3286"/>
      <c r="O137" s="3247" t="s">
        <v>303</v>
      </c>
      <c r="P137" s="1778"/>
      <c r="Q137" s="3146"/>
      <c r="R137" s="3146"/>
      <c r="S137" s="3146"/>
      <c r="T137" s="3378" t="s">
        <v>20</v>
      </c>
    </row>
    <row r="138" spans="1:20" ht="15">
      <c r="C138" s="89"/>
      <c r="D138" s="132"/>
      <c r="E138" s="2168"/>
      <c r="F138" s="3200" t="s">
        <v>1000</v>
      </c>
      <c r="G138" s="3201"/>
      <c r="H138" s="3201"/>
      <c r="I138" s="3201"/>
      <c r="J138" s="3201"/>
      <c r="K138" s="3201"/>
      <c r="L138" s="3201"/>
      <c r="M138" s="3201"/>
      <c r="N138" s="3202"/>
      <c r="O138" s="3264"/>
      <c r="P138" s="2189">
        <f>score604.1.1</f>
        <v>0</v>
      </c>
      <c r="Q138" s="3379"/>
      <c r="R138" s="3379"/>
      <c r="S138" s="3379"/>
      <c r="T138" s="3338"/>
    </row>
    <row r="139" spans="1:20" ht="30" customHeight="1">
      <c r="C139" s="574" t="s">
        <v>1005</v>
      </c>
      <c r="D139" s="575"/>
      <c r="E139" s="576"/>
      <c r="F139" s="3287" t="s">
        <v>304</v>
      </c>
      <c r="G139" s="3288"/>
      <c r="H139" s="3288"/>
      <c r="I139" s="3288"/>
      <c r="J139" s="3288"/>
      <c r="K139" s="3288"/>
      <c r="L139" s="3288"/>
      <c r="M139" s="3288"/>
      <c r="N139" s="3288"/>
      <c r="O139" s="3246" t="s">
        <v>305</v>
      </c>
      <c r="P139" s="1780"/>
      <c r="Q139" s="3379"/>
      <c r="R139" s="3379"/>
      <c r="S139" s="3379"/>
      <c r="T139" s="3377" t="s">
        <v>20</v>
      </c>
    </row>
    <row r="140" spans="1:20" ht="15">
      <c r="C140" s="89"/>
      <c r="D140" s="132"/>
      <c r="E140" s="2168"/>
      <c r="F140" s="3200" t="s">
        <v>1001</v>
      </c>
      <c r="G140" s="3201"/>
      <c r="H140" s="3201"/>
      <c r="I140" s="3201"/>
      <c r="J140" s="3201"/>
      <c r="K140" s="3201"/>
      <c r="L140" s="3201"/>
      <c r="M140" s="3201"/>
      <c r="N140" s="3202"/>
      <c r="O140" s="3247"/>
      <c r="P140" s="2186">
        <f>score604.1.2</f>
        <v>0</v>
      </c>
      <c r="Q140" s="3380"/>
      <c r="R140" s="3380"/>
      <c r="S140" s="3380"/>
      <c r="T140" s="3378"/>
    </row>
    <row r="141" spans="1:20" ht="15">
      <c r="C141" s="3319" t="s">
        <v>306</v>
      </c>
      <c r="D141" s="3319"/>
      <c r="E141" s="3319"/>
      <c r="F141" s="3319"/>
      <c r="G141" s="3319"/>
      <c r="H141" s="3319"/>
      <c r="I141" s="3319"/>
      <c r="J141" s="3319"/>
      <c r="K141" s="3319"/>
      <c r="L141" s="3319"/>
      <c r="M141" s="3319"/>
      <c r="N141" s="3319"/>
      <c r="O141" s="3319"/>
      <c r="P141" s="3319"/>
      <c r="Q141" s="3319"/>
      <c r="R141" s="3319"/>
      <c r="S141" s="3319"/>
      <c r="T141" s="3319"/>
    </row>
    <row r="142" spans="1:20" s="119" customFormat="1" ht="27" customHeight="1" thickBot="1">
      <c r="C142" s="2222">
        <v>605</v>
      </c>
      <c r="D142" s="2208"/>
      <c r="E142" s="3651" t="s">
        <v>1010</v>
      </c>
      <c r="F142" s="3567"/>
      <c r="G142" s="3567"/>
      <c r="H142" s="3567"/>
      <c r="I142" s="3567"/>
      <c r="J142" s="3567"/>
      <c r="K142" s="3567"/>
      <c r="L142" s="3567"/>
      <c r="M142" s="3567"/>
      <c r="N142" s="3567"/>
      <c r="O142" s="3567"/>
      <c r="P142" s="3567"/>
      <c r="Q142" s="3567"/>
      <c r="R142" s="3567"/>
      <c r="S142" s="3567"/>
      <c r="T142" s="3568"/>
    </row>
    <row r="143" spans="1:20" ht="52.5" customHeight="1" thickTop="1" thickBot="1">
      <c r="C143" s="2201">
        <v>605.1</v>
      </c>
      <c r="D143" s="2210"/>
      <c r="E143" s="2202"/>
      <c r="F143" s="3285" t="s">
        <v>1011</v>
      </c>
      <c r="G143" s="3286"/>
      <c r="H143" s="3286"/>
      <c r="I143" s="3286"/>
      <c r="J143" s="3286"/>
      <c r="K143" s="3286"/>
      <c r="L143" s="3286"/>
      <c r="M143" s="3286"/>
      <c r="N143" s="3286"/>
      <c r="O143" s="2179">
        <v>6</v>
      </c>
      <c r="P143" s="582"/>
      <c r="Q143" s="3280"/>
      <c r="R143" s="3281"/>
      <c r="S143" s="3281"/>
      <c r="T143" s="1873" t="s">
        <v>20</v>
      </c>
    </row>
    <row r="144" spans="1:20" ht="117" customHeight="1" thickTop="1" thickBot="1">
      <c r="C144" s="130">
        <v>605.20000000000005</v>
      </c>
      <c r="D144" s="2226"/>
      <c r="E144" s="2227"/>
      <c r="F144" s="3289" t="s">
        <v>1012</v>
      </c>
      <c r="G144" s="3290"/>
      <c r="H144" s="3290"/>
      <c r="I144" s="3290"/>
      <c r="J144" s="3290"/>
      <c r="K144" s="3290"/>
      <c r="L144" s="3290"/>
      <c r="M144" s="3290"/>
      <c r="N144" s="3290"/>
      <c r="O144" s="2228">
        <v>7</v>
      </c>
      <c r="P144" s="2269"/>
      <c r="Q144" s="3282"/>
      <c r="R144" s="3282"/>
      <c r="S144" s="3282"/>
      <c r="T144" s="685" t="s">
        <v>20</v>
      </c>
    </row>
    <row r="145" spans="1:20" ht="30" customHeight="1" thickTop="1" thickBot="1">
      <c r="C145" s="2201">
        <v>605.29999999999995</v>
      </c>
      <c r="D145" s="2210"/>
      <c r="E145" s="2202"/>
      <c r="F145" s="3348" t="s">
        <v>1013</v>
      </c>
      <c r="G145" s="3349"/>
      <c r="H145" s="3349"/>
      <c r="I145" s="3349"/>
      <c r="J145" s="3349"/>
      <c r="K145" s="3349"/>
      <c r="L145" s="3349"/>
      <c r="M145" s="3349"/>
      <c r="N145" s="3349"/>
      <c r="O145" s="3350" t="s">
        <v>307</v>
      </c>
      <c r="P145" s="1781"/>
      <c r="Q145" s="3282"/>
      <c r="R145" s="3282"/>
      <c r="S145" s="3282"/>
      <c r="T145" s="3302" t="s">
        <v>20</v>
      </c>
    </row>
    <row r="146" spans="1:20" ht="30" customHeight="1" thickTop="1">
      <c r="C146" s="89"/>
      <c r="D146" s="132"/>
      <c r="E146" s="2168"/>
      <c r="F146" s="3440" t="s">
        <v>1018</v>
      </c>
      <c r="G146" s="3440"/>
      <c r="H146" s="3440"/>
      <c r="I146" s="3440"/>
      <c r="J146" s="3440"/>
      <c r="K146" s="3440"/>
      <c r="L146" s="3440"/>
      <c r="M146" s="3440"/>
      <c r="N146" s="3440"/>
      <c r="O146" s="3350"/>
      <c r="P146" s="2189">
        <f>score605.3</f>
        <v>0</v>
      </c>
      <c r="Q146" s="3210"/>
      <c r="R146" s="3210"/>
      <c r="S146" s="3210"/>
      <c r="T146" s="3302"/>
    </row>
    <row r="147" spans="1:20" ht="15">
      <c r="C147" s="3319" t="s">
        <v>308</v>
      </c>
      <c r="D147" s="3319"/>
      <c r="E147" s="3319"/>
      <c r="F147" s="3319"/>
      <c r="G147" s="3319"/>
      <c r="H147" s="3319"/>
      <c r="I147" s="3319"/>
      <c r="J147" s="3319"/>
      <c r="K147" s="3319"/>
      <c r="L147" s="3319"/>
      <c r="M147" s="3319"/>
      <c r="N147" s="3319"/>
      <c r="O147" s="3319"/>
      <c r="P147" s="3319"/>
      <c r="Q147" s="3319"/>
      <c r="R147" s="3319"/>
      <c r="S147" s="3319"/>
      <c r="T147" s="3319"/>
    </row>
    <row r="148" spans="1:20" s="119" customFormat="1" ht="15" customHeight="1" thickBot="1">
      <c r="C148" s="2222">
        <v>606</v>
      </c>
      <c r="D148" s="2208"/>
      <c r="E148" s="2208"/>
      <c r="F148" s="3351" t="s">
        <v>1009</v>
      </c>
      <c r="G148" s="3351"/>
      <c r="H148" s="3351"/>
      <c r="I148" s="3351"/>
      <c r="J148" s="3351"/>
      <c r="K148" s="3351"/>
      <c r="L148" s="3351"/>
      <c r="M148" s="3351"/>
      <c r="N148" s="3351"/>
      <c r="O148" s="2208"/>
      <c r="P148" s="2208"/>
      <c r="Q148" s="3283"/>
      <c r="R148" s="3283"/>
      <c r="S148" s="3284"/>
      <c r="T148" s="91"/>
    </row>
    <row r="149" spans="1:20" ht="152.25" customHeight="1" thickTop="1">
      <c r="C149" s="2201">
        <v>606.1</v>
      </c>
      <c r="D149" s="2210"/>
      <c r="E149" s="2202"/>
      <c r="F149" s="3285" t="s">
        <v>309</v>
      </c>
      <c r="G149" s="3286"/>
      <c r="H149" s="3286"/>
      <c r="I149" s="3286"/>
      <c r="J149" s="3286"/>
      <c r="K149" s="3286"/>
      <c r="L149" s="3286"/>
      <c r="M149" s="3286"/>
      <c r="N149" s="3286"/>
      <c r="O149" s="614" t="s">
        <v>310</v>
      </c>
      <c r="P149" s="2186">
        <f>IF(SUM(claim606.1_1,claim606.1_2,claim606.1_3)&gt;8, 8, SUM(claim606.1_1,claim606.1_2,claim606.1_3))</f>
        <v>0</v>
      </c>
      <c r="Q149" s="3210"/>
      <c r="R149" s="3210"/>
      <c r="S149" s="3210"/>
      <c r="T149" s="3628" t="s">
        <v>20</v>
      </c>
    </row>
    <row r="150" spans="1:20" ht="30" customHeight="1">
      <c r="C150" s="125"/>
      <c r="D150" s="126">
        <v>1</v>
      </c>
      <c r="E150" s="145"/>
      <c r="F150" s="3352" t="s">
        <v>311</v>
      </c>
      <c r="G150" s="3352"/>
      <c r="H150" s="3352"/>
      <c r="I150" s="3352"/>
      <c r="J150" s="3352"/>
      <c r="K150" s="3352"/>
      <c r="L150" s="3352"/>
      <c r="M150" s="3352"/>
      <c r="N150" s="3352"/>
      <c r="O150" s="128">
        <v>3</v>
      </c>
      <c r="P150" s="1349"/>
      <c r="Q150" s="3009"/>
      <c r="R150" s="3009"/>
      <c r="S150" s="3009"/>
      <c r="T150" s="3378"/>
    </row>
    <row r="151" spans="1:20" ht="30" customHeight="1">
      <c r="C151" s="125"/>
      <c r="D151" s="2223">
        <v>2</v>
      </c>
      <c r="E151" s="2270"/>
      <c r="F151" s="3630" t="s">
        <v>312</v>
      </c>
      <c r="G151" s="3630"/>
      <c r="H151" s="3630"/>
      <c r="I151" s="3630"/>
      <c r="J151" s="3630"/>
      <c r="K151" s="3630"/>
      <c r="L151" s="3630"/>
      <c r="M151" s="3630"/>
      <c r="N151" s="3630"/>
      <c r="O151" s="2225">
        <v>6</v>
      </c>
      <c r="P151" s="1350"/>
      <c r="Q151" s="3009"/>
      <c r="R151" s="3009"/>
      <c r="S151" s="3009"/>
      <c r="T151" s="3378"/>
    </row>
    <row r="152" spans="1:20" ht="36" customHeight="1">
      <c r="C152" s="125"/>
      <c r="D152" s="2207">
        <v>3</v>
      </c>
      <c r="E152" s="146"/>
      <c r="F152" s="3631" t="s">
        <v>313</v>
      </c>
      <c r="G152" s="3631"/>
      <c r="H152" s="3631"/>
      <c r="I152" s="3631"/>
      <c r="J152" s="3631"/>
      <c r="K152" s="3631"/>
      <c r="L152" s="3631"/>
      <c r="M152" s="3631"/>
      <c r="N152" s="3631"/>
      <c r="O152" s="2271" t="s">
        <v>314</v>
      </c>
      <c r="P152" s="1782"/>
      <c r="Q152" s="3009"/>
      <c r="R152" s="3009"/>
      <c r="S152" s="3009"/>
      <c r="T152" s="3378"/>
    </row>
    <row r="153" spans="1:20" ht="75" customHeight="1">
      <c r="C153" s="89"/>
      <c r="D153" s="2168"/>
      <c r="E153" s="2168"/>
      <c r="F153" s="3259" t="s">
        <v>1019</v>
      </c>
      <c r="G153" s="3260"/>
      <c r="H153" s="3260"/>
      <c r="I153" s="3260"/>
      <c r="J153" s="3260"/>
      <c r="K153" s="3260"/>
      <c r="L153" s="3260"/>
      <c r="M153" s="3260"/>
      <c r="N153" s="3261"/>
      <c r="O153" s="2168"/>
      <c r="P153" s="2168"/>
      <c r="Q153" s="2996"/>
      <c r="R153" s="2996"/>
      <c r="S153" s="2996"/>
      <c r="T153" s="3378"/>
    </row>
    <row r="154" spans="1:20" ht="129.75" customHeight="1">
      <c r="C154" s="577">
        <v>606.20000000000005</v>
      </c>
      <c r="D154" s="578"/>
      <c r="E154" s="579"/>
      <c r="F154" s="3629" t="s">
        <v>315</v>
      </c>
      <c r="G154" s="3629"/>
      <c r="H154" s="3629"/>
      <c r="I154" s="3629"/>
      <c r="J154" s="3629"/>
      <c r="K154" s="3629"/>
      <c r="L154" s="3629"/>
      <c r="M154" s="3629"/>
      <c r="N154" s="3629"/>
      <c r="O154" s="661"/>
      <c r="P154" s="662"/>
      <c r="Q154" s="3606"/>
      <c r="R154" s="3606"/>
      <c r="S154" s="3606"/>
      <c r="T154" s="3636"/>
    </row>
    <row r="155" spans="1:20" ht="79.5" customHeight="1">
      <c r="C155" s="89"/>
      <c r="D155" s="2168"/>
      <c r="E155" s="2168"/>
      <c r="F155" s="3632" t="s">
        <v>1020</v>
      </c>
      <c r="G155" s="3632"/>
      <c r="H155" s="3632"/>
      <c r="I155" s="3632"/>
      <c r="J155" s="3632"/>
      <c r="K155" s="3632"/>
      <c r="L155" s="3632"/>
      <c r="M155" s="3632"/>
      <c r="N155" s="3632"/>
      <c r="O155" s="214"/>
      <c r="P155" s="2213"/>
      <c r="Q155" s="3263"/>
      <c r="R155" s="3263"/>
      <c r="S155" s="3263"/>
      <c r="T155" s="3519"/>
    </row>
    <row r="156" spans="1:20" ht="30" customHeight="1">
      <c r="C156" s="125"/>
      <c r="D156" s="126">
        <v>1</v>
      </c>
      <c r="E156" s="127"/>
      <c r="F156" s="3505" t="s">
        <v>316</v>
      </c>
      <c r="G156" s="3505"/>
      <c r="H156" s="3505"/>
      <c r="I156" s="3505"/>
      <c r="J156" s="3505"/>
      <c r="K156" s="3505"/>
      <c r="L156" s="3505"/>
      <c r="M156" s="3505"/>
      <c r="N156" s="3505"/>
      <c r="O156" s="128">
        <v>3</v>
      </c>
      <c r="P156" s="591"/>
      <c r="Q156" s="3633"/>
      <c r="R156" s="3486"/>
      <c r="S156" s="3486"/>
      <c r="T156" s="2176" t="s">
        <v>20</v>
      </c>
    </row>
    <row r="157" spans="1:20" ht="30" customHeight="1">
      <c r="C157" s="125"/>
      <c r="D157" s="2207">
        <v>2</v>
      </c>
      <c r="E157" s="129"/>
      <c r="F157" s="3353" t="s">
        <v>317</v>
      </c>
      <c r="G157" s="3353"/>
      <c r="H157" s="3353"/>
      <c r="I157" s="3353"/>
      <c r="J157" s="3353"/>
      <c r="K157" s="3353"/>
      <c r="L157" s="3353"/>
      <c r="M157" s="3353"/>
      <c r="N157" s="3353"/>
      <c r="O157" s="2179">
        <v>4</v>
      </c>
      <c r="P157" s="812"/>
      <c r="Q157" s="3634"/>
      <c r="R157" s="3635"/>
      <c r="S157" s="3635"/>
      <c r="T157" s="2172" t="s">
        <v>20</v>
      </c>
    </row>
    <row r="158" spans="1:20" ht="48" customHeight="1">
      <c r="C158" s="2205">
        <v>606.29999999999995</v>
      </c>
      <c r="D158" s="524"/>
      <c r="E158" s="2193"/>
      <c r="F158" s="3287" t="s">
        <v>1022</v>
      </c>
      <c r="G158" s="3288"/>
      <c r="H158" s="3288"/>
      <c r="I158" s="3288"/>
      <c r="J158" s="3288"/>
      <c r="K158" s="3288"/>
      <c r="L158" s="3288"/>
      <c r="M158" s="3288"/>
      <c r="N158" s="3288"/>
      <c r="O158" s="3354" t="s">
        <v>318</v>
      </c>
      <c r="P158" s="1783"/>
      <c r="Q158" s="3379"/>
      <c r="R158" s="3379"/>
      <c r="S158" s="3379"/>
      <c r="T158" s="3377" t="s">
        <v>20</v>
      </c>
    </row>
    <row r="159" spans="1:20" ht="15" customHeight="1">
      <c r="C159" s="89"/>
      <c r="D159" s="2168"/>
      <c r="E159" s="2168"/>
      <c r="F159" s="3440" t="s">
        <v>1021</v>
      </c>
      <c r="G159" s="3440"/>
      <c r="H159" s="3440"/>
      <c r="I159" s="3440"/>
      <c r="J159" s="3440"/>
      <c r="K159" s="3440"/>
      <c r="L159" s="3440"/>
      <c r="M159" s="3440"/>
      <c r="N159" s="3440"/>
      <c r="O159" s="3355"/>
      <c r="P159" s="2206">
        <f>score606.3</f>
        <v>0</v>
      </c>
      <c r="Q159" s="3380"/>
      <c r="R159" s="3380"/>
      <c r="S159" s="3380"/>
      <c r="T159" s="3378"/>
    </row>
    <row r="160" spans="1:20" s="147" customFormat="1" ht="15">
      <c r="A160" s="1741"/>
      <c r="B160" s="1741"/>
      <c r="C160" s="3319" t="s">
        <v>2384</v>
      </c>
      <c r="D160" s="3319"/>
      <c r="E160" s="3319"/>
      <c r="F160" s="3319"/>
      <c r="G160" s="3319"/>
      <c r="H160" s="3319"/>
      <c r="I160" s="3319"/>
      <c r="J160" s="3319"/>
      <c r="K160" s="3319"/>
      <c r="L160" s="3319"/>
      <c r="M160" s="3319"/>
      <c r="N160" s="3319"/>
      <c r="O160" s="3319"/>
      <c r="P160" s="3319"/>
      <c r="Q160" s="3319"/>
      <c r="R160" s="3319"/>
      <c r="S160" s="3319"/>
      <c r="T160" s="3319"/>
    </row>
    <row r="161" spans="3:20" ht="30" customHeight="1">
      <c r="C161" s="663">
        <v>607.1</v>
      </c>
      <c r="D161" s="664"/>
      <c r="E161" s="665"/>
      <c r="F161" s="3646" t="s">
        <v>281</v>
      </c>
      <c r="G161" s="3646"/>
      <c r="H161" s="3646"/>
      <c r="I161" s="3646"/>
      <c r="J161" s="3646"/>
      <c r="K161" s="3646"/>
      <c r="L161" s="3646"/>
      <c r="M161" s="3646"/>
      <c r="N161" s="3646"/>
      <c r="O161" s="2191"/>
      <c r="P161" s="659"/>
      <c r="Q161" s="3386"/>
      <c r="R161" s="3386"/>
      <c r="S161" s="3386"/>
      <c r="T161" s="666"/>
    </row>
    <row r="162" spans="3:20" ht="30" customHeight="1">
      <c r="C162" s="125"/>
      <c r="D162" s="126">
        <v>1</v>
      </c>
      <c r="E162" s="127"/>
      <c r="F162" s="3505" t="s">
        <v>282</v>
      </c>
      <c r="G162" s="3505"/>
      <c r="H162" s="3505"/>
      <c r="I162" s="3505"/>
      <c r="J162" s="3505"/>
      <c r="K162" s="3505"/>
      <c r="L162" s="3505"/>
      <c r="M162" s="3505"/>
      <c r="N162" s="3505"/>
      <c r="O162" s="128">
        <v>3</v>
      </c>
      <c r="P162" s="591"/>
      <c r="Q162" s="2996"/>
      <c r="R162" s="2996"/>
      <c r="S162" s="2996"/>
      <c r="T162" s="683" t="s">
        <v>20</v>
      </c>
    </row>
    <row r="163" spans="3:20" ht="15" customHeight="1">
      <c r="C163" s="125"/>
      <c r="D163" s="2207">
        <v>2</v>
      </c>
      <c r="E163" s="129"/>
      <c r="F163" s="3353" t="s">
        <v>283</v>
      </c>
      <c r="G163" s="3353"/>
      <c r="H163" s="3353"/>
      <c r="I163" s="3353"/>
      <c r="J163" s="3353"/>
      <c r="K163" s="3353"/>
      <c r="L163" s="3353"/>
      <c r="M163" s="3353"/>
      <c r="N163" s="3353"/>
      <c r="O163" s="2179">
        <v>3</v>
      </c>
      <c r="P163" s="2167"/>
      <c r="Q163" s="2998"/>
      <c r="R163" s="2998"/>
      <c r="S163" s="2998"/>
      <c r="T163" s="2258" t="s">
        <v>20</v>
      </c>
    </row>
    <row r="164" spans="3:20" ht="30" customHeight="1">
      <c r="C164" s="577">
        <v>607.20000000000005</v>
      </c>
      <c r="D164" s="564"/>
      <c r="E164" s="565"/>
      <c r="F164" s="3614" t="s">
        <v>408</v>
      </c>
      <c r="G164" s="3614"/>
      <c r="H164" s="3614"/>
      <c r="I164" s="3614"/>
      <c r="J164" s="3614"/>
      <c r="K164" s="3614"/>
      <c r="L164" s="3614"/>
      <c r="M164" s="3614"/>
      <c r="N164" s="3614"/>
      <c r="O164" s="2209">
        <v>1</v>
      </c>
      <c r="P164" s="1351"/>
      <c r="Q164" s="3143"/>
      <c r="R164" s="3143"/>
      <c r="S164" s="3143"/>
      <c r="T164" s="686" t="s">
        <v>20</v>
      </c>
    </row>
    <row r="165" spans="3:20" ht="15">
      <c r="C165" s="3319" t="s">
        <v>1024</v>
      </c>
      <c r="D165" s="3319"/>
      <c r="E165" s="3319"/>
      <c r="F165" s="3319"/>
      <c r="G165" s="3319"/>
      <c r="H165" s="3319"/>
      <c r="I165" s="3319"/>
      <c r="J165" s="3319"/>
      <c r="K165" s="3319"/>
      <c r="L165" s="3319"/>
      <c r="M165" s="3319"/>
      <c r="N165" s="3319"/>
      <c r="O165" s="3319"/>
      <c r="P165" s="3319"/>
      <c r="Q165" s="3319"/>
      <c r="R165" s="3319"/>
      <c r="S165" s="3319"/>
      <c r="T165" s="3319"/>
    </row>
    <row r="166" spans="3:20" ht="78" customHeight="1">
      <c r="C166" s="2201">
        <v>608.1</v>
      </c>
      <c r="D166" s="2210"/>
      <c r="E166" s="2202"/>
      <c r="F166" s="3285" t="s">
        <v>319</v>
      </c>
      <c r="G166" s="3286"/>
      <c r="H166" s="3286"/>
      <c r="I166" s="3286"/>
      <c r="J166" s="3286"/>
      <c r="K166" s="3286"/>
      <c r="L166" s="3286"/>
      <c r="M166" s="3286"/>
      <c r="N166" s="3286"/>
      <c r="O166" s="3355" t="s">
        <v>320</v>
      </c>
      <c r="P166" s="1778"/>
      <c r="Q166" s="3256"/>
      <c r="R166" s="3256"/>
      <c r="S166" s="3256"/>
      <c r="T166" s="3378" t="s">
        <v>20</v>
      </c>
    </row>
    <row r="167" spans="3:20" ht="15" customHeight="1">
      <c r="C167" s="89"/>
      <c r="D167" s="2168"/>
      <c r="E167" s="2168"/>
      <c r="F167" s="3640" t="s">
        <v>1087</v>
      </c>
      <c r="G167" s="3641"/>
      <c r="H167" s="3641"/>
      <c r="I167" s="3641"/>
      <c r="J167" s="3641"/>
      <c r="K167" s="3641"/>
      <c r="L167" s="3641"/>
      <c r="M167" s="3641"/>
      <c r="N167" s="3642"/>
      <c r="O167" s="3355"/>
      <c r="P167" s="2186">
        <f>score608.1</f>
        <v>0</v>
      </c>
      <c r="Q167" s="3227"/>
      <c r="R167" s="3227"/>
      <c r="S167" s="3227"/>
      <c r="T167" s="3378"/>
    </row>
    <row r="168" spans="3:20" ht="15">
      <c r="C168" s="3319" t="s">
        <v>1028</v>
      </c>
      <c r="D168" s="3319"/>
      <c r="E168" s="3319"/>
      <c r="F168" s="3319"/>
      <c r="G168" s="3319"/>
      <c r="H168" s="3319"/>
      <c r="I168" s="3319"/>
      <c r="J168" s="3319"/>
      <c r="K168" s="3319"/>
      <c r="L168" s="3319"/>
      <c r="M168" s="3319"/>
      <c r="N168" s="3319"/>
      <c r="O168" s="3319"/>
      <c r="P168" s="3319"/>
      <c r="Q168" s="3319"/>
      <c r="R168" s="3319"/>
      <c r="S168" s="3319"/>
      <c r="T168" s="3319"/>
    </row>
    <row r="169" spans="3:20" ht="45" customHeight="1">
      <c r="C169" s="2201">
        <v>609.1</v>
      </c>
      <c r="D169" s="2210"/>
      <c r="E169" s="2202"/>
      <c r="F169" s="3637" t="s">
        <v>1029</v>
      </c>
      <c r="G169" s="3638"/>
      <c r="H169" s="3638"/>
      <c r="I169" s="3638"/>
      <c r="J169" s="3638"/>
      <c r="K169" s="3638"/>
      <c r="L169" s="3638"/>
      <c r="M169" s="3638"/>
      <c r="N169" s="3638"/>
      <c r="O169" s="3639" t="s">
        <v>321</v>
      </c>
      <c r="P169" s="1769"/>
      <c r="Q169" s="3256"/>
      <c r="R169" s="3256"/>
      <c r="S169" s="3256"/>
      <c r="T169" s="3302" t="s">
        <v>20</v>
      </c>
    </row>
    <row r="170" spans="3:20" ht="15" customHeight="1">
      <c r="C170" s="89"/>
      <c r="D170" s="2168"/>
      <c r="E170" s="2168"/>
      <c r="F170" s="3640" t="s">
        <v>1088</v>
      </c>
      <c r="G170" s="3641"/>
      <c r="H170" s="3641"/>
      <c r="I170" s="3641"/>
      <c r="J170" s="3641"/>
      <c r="K170" s="3641"/>
      <c r="L170" s="3641"/>
      <c r="M170" s="3641"/>
      <c r="N170" s="3642"/>
      <c r="O170" s="3639"/>
      <c r="P170" s="2186">
        <f>score609.1</f>
        <v>0</v>
      </c>
      <c r="Q170" s="3227"/>
      <c r="R170" s="3227"/>
      <c r="S170" s="3227"/>
      <c r="T170" s="3302"/>
    </row>
    <row r="171" spans="3:20" ht="15">
      <c r="C171" s="3319" t="s">
        <v>1031</v>
      </c>
      <c r="D171" s="3319"/>
      <c r="E171" s="3319"/>
      <c r="F171" s="3319"/>
      <c r="G171" s="3319"/>
      <c r="H171" s="3319"/>
      <c r="I171" s="3319"/>
      <c r="J171" s="3319"/>
      <c r="K171" s="3319"/>
      <c r="L171" s="3319"/>
      <c r="M171" s="3319"/>
      <c r="N171" s="3319"/>
      <c r="O171" s="3319"/>
      <c r="P171" s="3319"/>
      <c r="Q171" s="3319"/>
      <c r="R171" s="3319"/>
      <c r="S171" s="3319"/>
      <c r="T171" s="3319"/>
    </row>
    <row r="172" spans="3:20" ht="75" customHeight="1">
      <c r="C172" s="2201">
        <v>610.1</v>
      </c>
      <c r="D172" s="2210"/>
      <c r="E172" s="2202"/>
      <c r="F172" s="3265" t="s">
        <v>1090</v>
      </c>
      <c r="G172" s="3643"/>
      <c r="H172" s="3643"/>
      <c r="I172" s="3643"/>
      <c r="J172" s="3643"/>
      <c r="K172" s="3643"/>
      <c r="L172" s="3643"/>
      <c r="M172" s="3643"/>
      <c r="N172" s="3643"/>
      <c r="O172" s="667" t="s">
        <v>2115</v>
      </c>
      <c r="P172" s="2186">
        <f>score610.1</f>
        <v>0</v>
      </c>
      <c r="Q172" s="3644"/>
      <c r="R172" s="3645"/>
      <c r="S172" s="3645"/>
      <c r="T172" s="1409"/>
    </row>
    <row r="173" spans="3:20" ht="30" customHeight="1">
      <c r="C173" s="2201" t="s">
        <v>1032</v>
      </c>
      <c r="D173" s="2210"/>
      <c r="E173" s="2202"/>
      <c r="F173" s="3265" t="s">
        <v>1091</v>
      </c>
      <c r="G173" s="3265"/>
      <c r="H173" s="3265"/>
      <c r="I173" s="3265"/>
      <c r="J173" s="3265"/>
      <c r="K173" s="3265"/>
      <c r="L173" s="3265"/>
      <c r="M173" s="3265"/>
      <c r="N173" s="3265"/>
      <c r="O173" s="2179">
        <v>15</v>
      </c>
      <c r="P173" s="2215"/>
      <c r="Q173" s="3255"/>
      <c r="R173" s="3255"/>
      <c r="S173" s="3255"/>
      <c r="T173" s="2172" t="s">
        <v>20</v>
      </c>
    </row>
    <row r="174" spans="3:20" ht="60" customHeight="1">
      <c r="C174" s="2205" t="s">
        <v>1033</v>
      </c>
      <c r="D174" s="524"/>
      <c r="E174" s="2193"/>
      <c r="F174" s="3663" t="s">
        <v>1092</v>
      </c>
      <c r="G174" s="3663"/>
      <c r="H174" s="3663"/>
      <c r="I174" s="3663"/>
      <c r="J174" s="3663"/>
      <c r="K174" s="3663"/>
      <c r="L174" s="3663"/>
      <c r="M174" s="3663"/>
      <c r="N174" s="3663"/>
      <c r="O174" s="675" t="s">
        <v>2673</v>
      </c>
      <c r="P174" s="1641">
        <f>score610.1.2_1+choice610.1.2_2</f>
        <v>0</v>
      </c>
      <c r="Q174" s="3143"/>
      <c r="R174" s="3143"/>
      <c r="S174" s="3143"/>
      <c r="T174" s="674"/>
    </row>
    <row r="175" spans="3:20" ht="60" customHeight="1">
      <c r="C175" s="3218"/>
      <c r="D175" s="3219">
        <v>1</v>
      </c>
      <c r="E175" s="3220"/>
      <c r="F175" s="3221" t="s">
        <v>2113</v>
      </c>
      <c r="G175" s="3221"/>
      <c r="H175" s="3221"/>
      <c r="I175" s="3221"/>
      <c r="J175" s="3221"/>
      <c r="K175" s="3221"/>
      <c r="L175" s="3221"/>
      <c r="M175" s="3221"/>
      <c r="N175" s="3221"/>
      <c r="O175" s="667" t="s">
        <v>2674</v>
      </c>
      <c r="P175" s="1641">
        <f>score610.1.2_1</f>
        <v>0</v>
      </c>
      <c r="Q175" s="3009"/>
      <c r="R175" s="3009"/>
      <c r="S175" s="3009"/>
      <c r="T175" s="1409"/>
    </row>
    <row r="176" spans="3:20" ht="43.5" customHeight="1" thickBot="1">
      <c r="C176" s="3218"/>
      <c r="D176" s="3219"/>
      <c r="E176" s="3220"/>
      <c r="F176" s="3221"/>
      <c r="G176" s="3221"/>
      <c r="H176" s="3221"/>
      <c r="I176" s="3221"/>
      <c r="J176" s="3221"/>
      <c r="K176" s="3221"/>
      <c r="L176" s="3221"/>
      <c r="M176" s="3221"/>
      <c r="N176" s="3221"/>
      <c r="O176" s="2211" t="s">
        <v>2305</v>
      </c>
      <c r="P176" s="2160"/>
      <c r="Q176" s="3009"/>
      <c r="R176" s="3009"/>
      <c r="S176" s="3009"/>
      <c r="T176" s="3222" t="s">
        <v>20</v>
      </c>
    </row>
    <row r="177" spans="3:20" ht="15" customHeight="1">
      <c r="C177" s="2201"/>
      <c r="D177" s="2207"/>
      <c r="E177" s="2202"/>
      <c r="F177" s="3362" t="s">
        <v>2117</v>
      </c>
      <c r="G177" s="3363"/>
      <c r="H177" s="3363"/>
      <c r="I177" s="1420">
        <v>1</v>
      </c>
      <c r="J177" s="1421">
        <v>2</v>
      </c>
      <c r="K177" s="1421">
        <v>3</v>
      </c>
      <c r="L177" s="1421">
        <v>4</v>
      </c>
      <c r="M177" s="1422" t="s">
        <v>2118</v>
      </c>
      <c r="N177" s="1412"/>
      <c r="O177" s="3228" t="s">
        <v>2306</v>
      </c>
      <c r="P177" s="3169"/>
      <c r="Q177" s="3009"/>
      <c r="R177" s="3009"/>
      <c r="S177" s="3009"/>
      <c r="T177" s="3222"/>
    </row>
    <row r="178" spans="3:20" ht="15" customHeight="1">
      <c r="C178" s="2201"/>
      <c r="D178" s="2207"/>
      <c r="E178" s="2202"/>
      <c r="F178" s="3364" t="s">
        <v>1034</v>
      </c>
      <c r="G178" s="3365"/>
      <c r="H178" s="3365"/>
      <c r="I178" s="2272" t="s">
        <v>2107</v>
      </c>
      <c r="J178" s="2273" t="s">
        <v>2112</v>
      </c>
      <c r="K178" s="2273" t="s">
        <v>2108</v>
      </c>
      <c r="L178" s="2273" t="s">
        <v>2111</v>
      </c>
      <c r="M178" s="2274" t="s">
        <v>2110</v>
      </c>
      <c r="N178" s="2198"/>
      <c r="O178" s="3228"/>
      <c r="P178" s="3169"/>
      <c r="Q178" s="3009"/>
      <c r="R178" s="3009"/>
      <c r="S178" s="3009"/>
      <c r="T178" s="3222"/>
    </row>
    <row r="179" spans="3:20" ht="15.75" customHeight="1" thickBot="1">
      <c r="C179" s="2201"/>
      <c r="D179" s="2207"/>
      <c r="E179" s="2202"/>
      <c r="F179" s="3366" t="s">
        <v>1037</v>
      </c>
      <c r="G179" s="3367"/>
      <c r="H179" s="3367"/>
      <c r="I179" s="2275" t="s">
        <v>2116</v>
      </c>
      <c r="J179" s="2276" t="s">
        <v>2108</v>
      </c>
      <c r="K179" s="2276" t="s">
        <v>2109</v>
      </c>
      <c r="L179" s="2276" t="s">
        <v>2110</v>
      </c>
      <c r="M179" s="2277" t="s">
        <v>2110</v>
      </c>
      <c r="N179" s="1423"/>
      <c r="O179" s="3228"/>
      <c r="P179" s="3169"/>
      <c r="Q179" s="3009"/>
      <c r="R179" s="3009"/>
      <c r="S179" s="3009"/>
      <c r="T179" s="3222"/>
    </row>
    <row r="180" spans="3:20" ht="27.75" customHeight="1">
      <c r="C180" s="2201"/>
      <c r="D180" s="2207"/>
      <c r="E180" s="2202"/>
      <c r="F180" s="3373" t="s">
        <v>2119</v>
      </c>
      <c r="G180" s="3374"/>
      <c r="H180" s="3374"/>
      <c r="I180" s="3374"/>
      <c r="J180" s="3374"/>
      <c r="K180" s="3374"/>
      <c r="L180" s="3374"/>
      <c r="M180" s="3374"/>
      <c r="N180" s="3375"/>
      <c r="O180" s="3229"/>
      <c r="P180" s="3230"/>
      <c r="Q180" s="3234"/>
      <c r="R180" s="3234"/>
      <c r="S180" s="3234"/>
      <c r="T180" s="3223"/>
    </row>
    <row r="181" spans="3:20" ht="45" customHeight="1">
      <c r="C181" s="3249"/>
      <c r="D181" s="3277">
        <v>2</v>
      </c>
      <c r="E181" s="3278"/>
      <c r="F181" s="3241" t="s">
        <v>2126</v>
      </c>
      <c r="G181" s="3241"/>
      <c r="H181" s="3241"/>
      <c r="I181" s="3241"/>
      <c r="J181" s="3241"/>
      <c r="K181" s="3241"/>
      <c r="L181" s="3241"/>
      <c r="M181" s="3241"/>
      <c r="N181" s="3241"/>
      <c r="O181" s="3231" t="s">
        <v>2114</v>
      </c>
      <c r="P181" s="3232">
        <f>score610.1.2_2</f>
        <v>0</v>
      </c>
      <c r="Q181" s="3226"/>
      <c r="R181" s="3226"/>
      <c r="S181" s="3226"/>
      <c r="T181" s="3224" t="s">
        <v>20</v>
      </c>
    </row>
    <row r="182" spans="3:20" ht="37.5" customHeight="1">
      <c r="C182" s="3249"/>
      <c r="D182" s="3219"/>
      <c r="E182" s="3279"/>
      <c r="F182" s="3221"/>
      <c r="G182" s="3221"/>
      <c r="H182" s="3221"/>
      <c r="I182" s="3221"/>
      <c r="J182" s="3221"/>
      <c r="K182" s="3221"/>
      <c r="L182" s="3221"/>
      <c r="M182" s="3221"/>
      <c r="N182" s="3221"/>
      <c r="O182" s="2984"/>
      <c r="P182" s="3233"/>
      <c r="Q182" s="3009"/>
      <c r="R182" s="3009"/>
      <c r="S182" s="3009"/>
      <c r="T182" s="3222"/>
    </row>
    <row r="183" spans="3:20" ht="22.5" customHeight="1">
      <c r="C183" s="2201"/>
      <c r="D183" s="2207"/>
      <c r="E183" s="2202"/>
      <c r="F183" s="3221"/>
      <c r="G183" s="3221"/>
      <c r="H183" s="3221"/>
      <c r="I183" s="3221"/>
      <c r="J183" s="3221"/>
      <c r="K183" s="3221"/>
      <c r="L183" s="3221"/>
      <c r="M183" s="3221"/>
      <c r="N183" s="3221"/>
      <c r="O183" s="3228" t="s">
        <v>2402</v>
      </c>
      <c r="P183" s="3244"/>
      <c r="Q183" s="3009"/>
      <c r="R183" s="3009"/>
      <c r="S183" s="3009"/>
      <c r="T183" s="3222"/>
    </row>
    <row r="184" spans="3:20" ht="22.5" customHeight="1">
      <c r="C184" s="2201"/>
      <c r="D184" s="2207"/>
      <c r="E184" s="2202"/>
      <c r="F184" s="3221"/>
      <c r="G184" s="3221"/>
      <c r="H184" s="3221"/>
      <c r="I184" s="3221"/>
      <c r="J184" s="3221"/>
      <c r="K184" s="3221"/>
      <c r="L184" s="3221"/>
      <c r="M184" s="3221"/>
      <c r="N184" s="3221"/>
      <c r="O184" s="3228"/>
      <c r="P184" s="3244"/>
      <c r="Q184" s="3009"/>
      <c r="R184" s="3009"/>
      <c r="S184" s="3009"/>
      <c r="T184" s="3222"/>
    </row>
    <row r="185" spans="3:20" ht="22.5" customHeight="1">
      <c r="C185" s="2201"/>
      <c r="D185" s="2207"/>
      <c r="E185" s="2202"/>
      <c r="F185" s="3221"/>
      <c r="G185" s="3221"/>
      <c r="H185" s="3221"/>
      <c r="I185" s="3221"/>
      <c r="J185" s="3221"/>
      <c r="K185" s="3221"/>
      <c r="L185" s="3221"/>
      <c r="M185" s="3221"/>
      <c r="N185" s="3221"/>
      <c r="O185" s="3228"/>
      <c r="P185" s="3244"/>
      <c r="Q185" s="3009"/>
      <c r="R185" s="3009"/>
      <c r="S185" s="3009"/>
      <c r="T185" s="3222"/>
    </row>
    <row r="186" spans="3:20" ht="22.5" customHeight="1">
      <c r="C186" s="2201"/>
      <c r="D186" s="2207"/>
      <c r="E186" s="2202"/>
      <c r="F186" s="3221"/>
      <c r="G186" s="3221"/>
      <c r="H186" s="3221"/>
      <c r="I186" s="3221"/>
      <c r="J186" s="3221"/>
      <c r="K186" s="3221"/>
      <c r="L186" s="3221"/>
      <c r="M186" s="3221"/>
      <c r="N186" s="3221"/>
      <c r="O186" s="3228" t="s">
        <v>2403</v>
      </c>
      <c r="P186" s="3244"/>
      <c r="Q186" s="3009"/>
      <c r="R186" s="3009"/>
      <c r="S186" s="3009"/>
      <c r="T186" s="3222"/>
    </row>
    <row r="187" spans="3:20" ht="22.5" customHeight="1">
      <c r="C187" s="2201"/>
      <c r="D187" s="2207"/>
      <c r="E187" s="2202"/>
      <c r="F187" s="3221"/>
      <c r="G187" s="3221"/>
      <c r="H187" s="3221"/>
      <c r="I187" s="3221"/>
      <c r="J187" s="3221"/>
      <c r="K187" s="3221"/>
      <c r="L187" s="3221"/>
      <c r="M187" s="3221"/>
      <c r="N187" s="3221"/>
      <c r="O187" s="3228"/>
      <c r="P187" s="3244"/>
      <c r="Q187" s="3009"/>
      <c r="R187" s="3009"/>
      <c r="S187" s="3009"/>
      <c r="T187" s="3222"/>
    </row>
    <row r="188" spans="3:20" ht="22.5" customHeight="1">
      <c r="C188" s="2201"/>
      <c r="D188" s="2207"/>
      <c r="E188" s="2202"/>
      <c r="F188" s="3221"/>
      <c r="G188" s="3221"/>
      <c r="H188" s="3221"/>
      <c r="I188" s="3221"/>
      <c r="J188" s="3221"/>
      <c r="K188" s="3221"/>
      <c r="L188" s="3221"/>
      <c r="M188" s="3221"/>
      <c r="N188" s="3221"/>
      <c r="O188" s="3228"/>
      <c r="P188" s="3244"/>
      <c r="Q188" s="3009"/>
      <c r="R188" s="3009"/>
      <c r="S188" s="3009"/>
      <c r="T188" s="3222"/>
    </row>
    <row r="189" spans="3:20" ht="22.5" customHeight="1" thickBot="1">
      <c r="C189" s="2201"/>
      <c r="D189" s="2207"/>
      <c r="E189" s="2202"/>
      <c r="F189" s="3242"/>
      <c r="G189" s="3242"/>
      <c r="H189" s="3242"/>
      <c r="I189" s="3242"/>
      <c r="J189" s="3242"/>
      <c r="K189" s="3242"/>
      <c r="L189" s="3242"/>
      <c r="M189" s="3242"/>
      <c r="N189" s="3242"/>
      <c r="O189" s="3228" t="s">
        <v>2405</v>
      </c>
      <c r="P189" s="3245"/>
      <c r="Q189" s="3009"/>
      <c r="R189" s="3009"/>
      <c r="S189" s="3009"/>
      <c r="T189" s="3222"/>
    </row>
    <row r="190" spans="3:20" ht="15" customHeight="1">
      <c r="C190" s="2201"/>
      <c r="D190" s="2207"/>
      <c r="E190" s="2202"/>
      <c r="F190" s="3368" t="s">
        <v>2127</v>
      </c>
      <c r="G190" s="3357"/>
      <c r="H190" s="3358"/>
      <c r="I190" s="3356" t="s">
        <v>2128</v>
      </c>
      <c r="J190" s="3357"/>
      <c r="K190" s="3358"/>
      <c r="L190" s="3356" t="s">
        <v>2129</v>
      </c>
      <c r="M190" s="3357"/>
      <c r="N190" s="3376"/>
      <c r="O190" s="3228"/>
      <c r="P190" s="3245"/>
      <c r="Q190" s="3009"/>
      <c r="R190" s="3009"/>
      <c r="S190" s="3009"/>
      <c r="T190" s="3222"/>
    </row>
    <row r="191" spans="3:20" ht="20" customHeight="1">
      <c r="C191" s="2201"/>
      <c r="D191" s="2207"/>
      <c r="E191" s="2202"/>
      <c r="F191" s="3266" t="s">
        <v>1017</v>
      </c>
      <c r="G191" s="3267"/>
      <c r="H191" s="3268"/>
      <c r="I191" s="3235" t="s">
        <v>2130</v>
      </c>
      <c r="J191" s="3236"/>
      <c r="K191" s="3269"/>
      <c r="L191" s="3235" t="s">
        <v>68</v>
      </c>
      <c r="M191" s="3236"/>
      <c r="N191" s="3237"/>
      <c r="O191" s="3228"/>
      <c r="P191" s="3245"/>
      <c r="Q191" s="3009"/>
      <c r="R191" s="3009"/>
      <c r="S191" s="3009"/>
      <c r="T191" s="3222"/>
    </row>
    <row r="192" spans="3:20" ht="20" customHeight="1">
      <c r="C192" s="2201"/>
      <c r="D192" s="2207"/>
      <c r="E192" s="2202"/>
      <c r="F192" s="3369" t="s">
        <v>1016</v>
      </c>
      <c r="G192" s="3370"/>
      <c r="H192" s="3370"/>
      <c r="I192" s="3235" t="s">
        <v>67</v>
      </c>
      <c r="J192" s="3236"/>
      <c r="K192" s="3269"/>
      <c r="L192" s="3235" t="s">
        <v>125</v>
      </c>
      <c r="M192" s="3236"/>
      <c r="N192" s="3237"/>
      <c r="O192" s="3228" t="s">
        <v>2404</v>
      </c>
      <c r="P192" s="3245"/>
      <c r="Q192" s="3009"/>
      <c r="R192" s="3009"/>
      <c r="S192" s="3009"/>
      <c r="T192" s="3222"/>
    </row>
    <row r="193" spans="3:20" ht="20" customHeight="1" thickBot="1">
      <c r="C193" s="2201"/>
      <c r="D193" s="2207"/>
      <c r="E193" s="2202"/>
      <c r="F193" s="3371" t="s">
        <v>1015</v>
      </c>
      <c r="G193" s="3372"/>
      <c r="H193" s="3372"/>
      <c r="I193" s="3238" t="s">
        <v>115</v>
      </c>
      <c r="J193" s="3239"/>
      <c r="K193" s="3270"/>
      <c r="L193" s="3238" t="s">
        <v>1180</v>
      </c>
      <c r="M193" s="3239"/>
      <c r="N193" s="3240"/>
      <c r="O193" s="3228"/>
      <c r="P193" s="3245"/>
      <c r="Q193" s="3009"/>
      <c r="R193" s="3009"/>
      <c r="S193" s="3009"/>
      <c r="T193" s="3222"/>
    </row>
    <row r="194" spans="3:20" ht="20" customHeight="1">
      <c r="C194" s="2201"/>
      <c r="D194" s="2207"/>
      <c r="E194" s="2202"/>
      <c r="F194" s="3359" t="s">
        <v>2120</v>
      </c>
      <c r="G194" s="3360"/>
      <c r="H194" s="3360"/>
      <c r="I194" s="3360"/>
      <c r="J194" s="3360"/>
      <c r="K194" s="3360"/>
      <c r="L194" s="3360"/>
      <c r="M194" s="3360"/>
      <c r="N194" s="3361"/>
      <c r="O194" s="3243"/>
      <c r="P194" s="3245"/>
      <c r="Q194" s="3227"/>
      <c r="R194" s="3227"/>
      <c r="S194" s="3227"/>
      <c r="T194" s="3225"/>
    </row>
    <row r="195" spans="3:20" ht="15">
      <c r="C195" s="3319" t="s">
        <v>1038</v>
      </c>
      <c r="D195" s="3319"/>
      <c r="E195" s="3319"/>
      <c r="F195" s="3319"/>
      <c r="G195" s="3319"/>
      <c r="H195" s="3319"/>
      <c r="I195" s="3319"/>
      <c r="J195" s="3319"/>
      <c r="K195" s="3319"/>
      <c r="L195" s="3319"/>
      <c r="M195" s="3319"/>
      <c r="N195" s="3319"/>
      <c r="O195" s="3319"/>
      <c r="P195" s="3319"/>
      <c r="Q195" s="3319"/>
      <c r="R195" s="3319"/>
      <c r="S195" s="3319"/>
      <c r="T195" s="3319"/>
    </row>
    <row r="196" spans="3:20" ht="105" customHeight="1">
      <c r="C196" s="2201">
        <v>611.1</v>
      </c>
      <c r="D196" s="2210"/>
      <c r="E196" s="2202"/>
      <c r="F196" s="3285" t="s">
        <v>322</v>
      </c>
      <c r="G196" s="3286"/>
      <c r="H196" s="3286"/>
      <c r="I196" s="3286"/>
      <c r="J196" s="3286"/>
      <c r="K196" s="3286"/>
      <c r="L196" s="3286"/>
      <c r="M196" s="3286"/>
      <c r="N196" s="3286"/>
      <c r="O196" s="3661" t="s">
        <v>323</v>
      </c>
      <c r="P196" s="1778"/>
      <c r="Q196" s="3256"/>
      <c r="R196" s="3256"/>
      <c r="S196" s="3256"/>
      <c r="T196" s="3378" t="s">
        <v>20</v>
      </c>
    </row>
    <row r="197" spans="3:20" ht="30" customHeight="1">
      <c r="C197" s="89"/>
      <c r="D197" s="2168"/>
      <c r="E197" s="2168"/>
      <c r="F197" s="3259" t="s">
        <v>1089</v>
      </c>
      <c r="G197" s="3260"/>
      <c r="H197" s="3260"/>
      <c r="I197" s="3260"/>
      <c r="J197" s="3260"/>
      <c r="K197" s="3260"/>
      <c r="L197" s="3260"/>
      <c r="M197" s="3260"/>
      <c r="N197" s="3261"/>
      <c r="O197" s="3661"/>
      <c r="P197" s="2189">
        <f>score611.1</f>
        <v>0</v>
      </c>
      <c r="Q197" s="2996"/>
      <c r="R197" s="2996"/>
      <c r="S197" s="2996"/>
      <c r="T197" s="3378"/>
    </row>
    <row r="198" spans="3:20" ht="69" customHeight="1">
      <c r="C198" s="530">
        <v>611.20000000000005</v>
      </c>
      <c r="D198" s="531"/>
      <c r="E198" s="532"/>
      <c r="F198" s="3453" t="s">
        <v>1049</v>
      </c>
      <c r="G198" s="3454"/>
      <c r="H198" s="3454"/>
      <c r="I198" s="3454"/>
      <c r="J198" s="3454"/>
      <c r="K198" s="3454"/>
      <c r="L198" s="3454"/>
      <c r="M198" s="3454"/>
      <c r="N198" s="3454"/>
      <c r="O198" s="661" t="s">
        <v>1050</v>
      </c>
      <c r="P198" s="673">
        <f>score611.2</f>
        <v>0</v>
      </c>
      <c r="Q198" s="3252"/>
      <c r="R198" s="3253"/>
      <c r="S198" s="3253"/>
      <c r="T198" s="674"/>
    </row>
    <row r="199" spans="3:20" ht="30" customHeight="1">
      <c r="C199" s="125"/>
      <c r="D199" s="126">
        <v>1</v>
      </c>
      <c r="E199" s="145"/>
      <c r="F199" s="3352" t="s">
        <v>1051</v>
      </c>
      <c r="G199" s="3352"/>
      <c r="H199" s="3352"/>
      <c r="I199" s="3352"/>
      <c r="J199" s="3352"/>
      <c r="K199" s="3352"/>
      <c r="L199" s="3352"/>
      <c r="M199" s="3352"/>
      <c r="N199" s="3352"/>
      <c r="O199" s="128">
        <v>3</v>
      </c>
      <c r="P199" s="1352"/>
      <c r="Q199" s="3254"/>
      <c r="R199" s="3255"/>
      <c r="S199" s="3255"/>
      <c r="T199" s="2176" t="s">
        <v>20</v>
      </c>
    </row>
    <row r="200" spans="3:20" ht="30" customHeight="1">
      <c r="C200" s="125"/>
      <c r="D200" s="2223">
        <v>2</v>
      </c>
      <c r="E200" s="2270"/>
      <c r="F200" s="3630" t="s">
        <v>1052</v>
      </c>
      <c r="G200" s="3630"/>
      <c r="H200" s="3630"/>
      <c r="I200" s="3630"/>
      <c r="J200" s="3630"/>
      <c r="K200" s="3630"/>
      <c r="L200" s="3630"/>
      <c r="M200" s="3630"/>
      <c r="N200" s="3630"/>
      <c r="O200" s="2225">
        <v>3</v>
      </c>
      <c r="P200" s="1353"/>
      <c r="Q200" s="2997"/>
      <c r="R200" s="2998"/>
      <c r="S200" s="2998"/>
      <c r="T200" s="681" t="s">
        <v>20</v>
      </c>
    </row>
    <row r="201" spans="3:20" ht="30" customHeight="1">
      <c r="C201" s="125"/>
      <c r="D201" s="2223">
        <v>3</v>
      </c>
      <c r="E201" s="2270"/>
      <c r="F201" s="3630" t="s">
        <v>1053</v>
      </c>
      <c r="G201" s="3630"/>
      <c r="H201" s="3630"/>
      <c r="I201" s="3630"/>
      <c r="J201" s="3630"/>
      <c r="K201" s="3630"/>
      <c r="L201" s="3630"/>
      <c r="M201" s="3630"/>
      <c r="N201" s="3630"/>
      <c r="O201" s="2225">
        <v>3</v>
      </c>
      <c r="P201" s="1353"/>
      <c r="Q201" s="2997"/>
      <c r="R201" s="2998"/>
      <c r="S201" s="2998"/>
      <c r="T201" s="681" t="s">
        <v>20</v>
      </c>
    </row>
    <row r="202" spans="3:20" ht="30" customHeight="1">
      <c r="C202" s="125"/>
      <c r="D202" s="2223">
        <v>4</v>
      </c>
      <c r="E202" s="2270"/>
      <c r="F202" s="3630" t="s">
        <v>1054</v>
      </c>
      <c r="G202" s="3630"/>
      <c r="H202" s="3630"/>
      <c r="I202" s="3630"/>
      <c r="J202" s="3630"/>
      <c r="K202" s="3630"/>
      <c r="L202" s="3630"/>
      <c r="M202" s="3630"/>
      <c r="N202" s="3630"/>
      <c r="O202" s="2225">
        <v>3</v>
      </c>
      <c r="P202" s="1353"/>
      <c r="Q202" s="2997"/>
      <c r="R202" s="2998"/>
      <c r="S202" s="2998"/>
      <c r="T202" s="681" t="s">
        <v>20</v>
      </c>
    </row>
    <row r="203" spans="3:20" ht="30" customHeight="1">
      <c r="C203" s="125"/>
      <c r="D203" s="2223">
        <v>5</v>
      </c>
      <c r="E203" s="2270"/>
      <c r="F203" s="3630" t="s">
        <v>1055</v>
      </c>
      <c r="G203" s="3630"/>
      <c r="H203" s="3630"/>
      <c r="I203" s="3630"/>
      <c r="J203" s="3630"/>
      <c r="K203" s="3630"/>
      <c r="L203" s="3630"/>
      <c r="M203" s="3630"/>
      <c r="N203" s="3630"/>
      <c r="O203" s="2225">
        <v>3</v>
      </c>
      <c r="P203" s="1353"/>
      <c r="Q203" s="2997"/>
      <c r="R203" s="2998"/>
      <c r="S203" s="2998"/>
      <c r="T203" s="681" t="s">
        <v>20</v>
      </c>
    </row>
    <row r="204" spans="3:20" ht="30" customHeight="1">
      <c r="C204" s="125"/>
      <c r="D204" s="2223">
        <v>6</v>
      </c>
      <c r="E204" s="2270"/>
      <c r="F204" s="3630" t="s">
        <v>1056</v>
      </c>
      <c r="G204" s="3630"/>
      <c r="H204" s="3630"/>
      <c r="I204" s="3630"/>
      <c r="J204" s="3630"/>
      <c r="K204" s="3630"/>
      <c r="L204" s="3630"/>
      <c r="M204" s="3630"/>
      <c r="N204" s="3630"/>
      <c r="O204" s="2225">
        <v>3</v>
      </c>
      <c r="P204" s="1353"/>
      <c r="Q204" s="2997"/>
      <c r="R204" s="2998"/>
      <c r="S204" s="2998"/>
      <c r="T204" s="681" t="s">
        <v>20</v>
      </c>
    </row>
    <row r="205" spans="3:20" ht="30" customHeight="1">
      <c r="C205" s="125"/>
      <c r="D205" s="2207">
        <v>7</v>
      </c>
      <c r="E205" s="146"/>
      <c r="F205" s="3662" t="s">
        <v>1057</v>
      </c>
      <c r="G205" s="3662"/>
      <c r="H205" s="3662"/>
      <c r="I205" s="3662"/>
      <c r="J205" s="3662"/>
      <c r="K205" s="3662"/>
      <c r="L205" s="3662"/>
      <c r="M205" s="3662"/>
      <c r="N205" s="3662"/>
      <c r="O205" s="2278">
        <v>3</v>
      </c>
      <c r="P205" s="812"/>
      <c r="Q205" s="2997"/>
      <c r="R205" s="2998"/>
      <c r="S205" s="2998"/>
      <c r="T205" s="681" t="s">
        <v>20</v>
      </c>
    </row>
    <row r="206" spans="3:20" ht="39" customHeight="1">
      <c r="C206" s="668">
        <v>611.29999999999995</v>
      </c>
      <c r="D206" s="669"/>
      <c r="E206" s="670"/>
      <c r="F206" s="3347" t="s">
        <v>1058</v>
      </c>
      <c r="G206" s="3347"/>
      <c r="H206" s="3347"/>
      <c r="I206" s="3347"/>
      <c r="J206" s="3347"/>
      <c r="K206" s="3347"/>
      <c r="L206" s="3347"/>
      <c r="M206" s="3347"/>
      <c r="N206" s="3347"/>
      <c r="O206" s="671"/>
      <c r="P206" s="672"/>
      <c r="Q206" s="3257"/>
      <c r="R206" s="3257"/>
      <c r="S206" s="3258"/>
      <c r="T206" s="580"/>
    </row>
    <row r="207" spans="3:20" ht="60" customHeight="1">
      <c r="C207" s="125"/>
      <c r="D207" s="126">
        <v>1</v>
      </c>
      <c r="E207" s="127"/>
      <c r="F207" s="3505" t="s">
        <v>1059</v>
      </c>
      <c r="G207" s="3505"/>
      <c r="H207" s="3505"/>
      <c r="I207" s="3505"/>
      <c r="J207" s="3505"/>
      <c r="K207" s="3505"/>
      <c r="L207" s="3505"/>
      <c r="M207" s="3505"/>
      <c r="N207" s="3505"/>
      <c r="O207" s="128">
        <v>3</v>
      </c>
      <c r="P207" s="591"/>
      <c r="Q207" s="2995"/>
      <c r="R207" s="2996"/>
      <c r="S207" s="2996"/>
      <c r="T207" s="678" t="s">
        <v>20</v>
      </c>
    </row>
    <row r="208" spans="3:20" ht="48" customHeight="1">
      <c r="C208" s="125"/>
      <c r="D208" s="2223">
        <v>2</v>
      </c>
      <c r="E208" s="2224"/>
      <c r="F208" s="3345" t="s">
        <v>1060</v>
      </c>
      <c r="G208" s="3345"/>
      <c r="H208" s="3345"/>
      <c r="I208" s="3345"/>
      <c r="J208" s="3345"/>
      <c r="K208" s="3345"/>
      <c r="L208" s="3345"/>
      <c r="M208" s="3345"/>
      <c r="N208" s="3345"/>
      <c r="O208" s="2225">
        <v>3</v>
      </c>
      <c r="P208" s="810"/>
      <c r="Q208" s="2997"/>
      <c r="R208" s="2998"/>
      <c r="S208" s="2998"/>
      <c r="T208" s="676" t="s">
        <v>20</v>
      </c>
    </row>
    <row r="209" spans="1:20" ht="30" customHeight="1">
      <c r="C209" s="125"/>
      <c r="D209" s="2223">
        <v>3</v>
      </c>
      <c r="E209" s="2224"/>
      <c r="F209" s="3345" t="s">
        <v>1061</v>
      </c>
      <c r="G209" s="3345"/>
      <c r="H209" s="3345"/>
      <c r="I209" s="3345"/>
      <c r="J209" s="3345"/>
      <c r="K209" s="3345"/>
      <c r="L209" s="3345"/>
      <c r="M209" s="3345"/>
      <c r="N209" s="3345"/>
      <c r="O209" s="2225">
        <v>3</v>
      </c>
      <c r="P209" s="810"/>
      <c r="Q209" s="2997"/>
      <c r="R209" s="2998"/>
      <c r="S209" s="2998"/>
      <c r="T209" s="676" t="s">
        <v>20</v>
      </c>
    </row>
    <row r="210" spans="1:20" ht="30" customHeight="1" thickBot="1">
      <c r="C210" s="581"/>
      <c r="D210" s="2279">
        <v>4</v>
      </c>
      <c r="E210" s="2280"/>
      <c r="F210" s="3346" t="s">
        <v>1062</v>
      </c>
      <c r="G210" s="3346"/>
      <c r="H210" s="3346"/>
      <c r="I210" s="3346"/>
      <c r="J210" s="3346"/>
      <c r="K210" s="3346"/>
      <c r="L210" s="3346"/>
      <c r="M210" s="3346"/>
      <c r="N210" s="3346"/>
      <c r="O210" s="2281">
        <v>1</v>
      </c>
      <c r="P210" s="1221"/>
      <c r="Q210" s="3250"/>
      <c r="R210" s="3251"/>
      <c r="S210" s="3251"/>
      <c r="T210" s="687" t="s">
        <v>20</v>
      </c>
    </row>
    <row r="211" spans="1:20" customFormat="1" ht="16" thickBot="1">
      <c r="A211" s="1742"/>
      <c r="B211" s="1742"/>
      <c r="C211" s="3658"/>
      <c r="D211" s="3659"/>
      <c r="E211" s="3659"/>
      <c r="F211" s="3659"/>
      <c r="G211" s="3659"/>
      <c r="H211" s="3659"/>
      <c r="I211" s="3659"/>
      <c r="J211" s="3659"/>
      <c r="K211" s="3659"/>
      <c r="L211" s="3659"/>
      <c r="M211" s="3659"/>
      <c r="N211" s="3659"/>
      <c r="O211" s="3659"/>
      <c r="P211" s="3659"/>
      <c r="Q211" s="3659"/>
      <c r="R211" s="3659"/>
      <c r="S211" s="3659"/>
      <c r="T211" s="3660"/>
    </row>
    <row r="212" spans="1:20" customFormat="1" ht="18.75" customHeight="1" thickBot="1">
      <c r="A212" s="1742"/>
      <c r="B212" s="1742"/>
      <c r="C212" s="3103" t="s">
        <v>324</v>
      </c>
      <c r="D212" s="3104"/>
      <c r="E212" s="3104"/>
      <c r="F212" s="3104"/>
      <c r="G212" s="3104"/>
      <c r="H212" s="3104"/>
      <c r="I212" s="3104"/>
      <c r="J212" s="3104"/>
      <c r="K212" s="3104"/>
      <c r="L212" s="3104"/>
      <c r="M212" s="3104"/>
      <c r="N212" s="3104"/>
      <c r="O212" s="3104"/>
      <c r="P212" s="3105" t="s">
        <v>325</v>
      </c>
      <c r="Q212" s="3105"/>
      <c r="R212" s="3105"/>
      <c r="S212" s="3105"/>
      <c r="T212" s="3106"/>
    </row>
    <row r="213" spans="1:20">
      <c r="C213" s="3647" t="str">
        <f>CONCATENATE(copyright," All rights reserved.  This document is protected by U.S. copyright law. Requirements from ICC700-2012 National Green Building Standard™ © 2013 National Association of Home Builders of the U.S. - used by permission."," Home Innovation authorizes use of this document only by those individuals/organizations participating in Home Innovation's Green Building Certification and solely for purpose of seeking project certification from the Home Innovation Research Labs.")</f>
        <v>© 2020 Home Innovation Research Labs, Inc. All rights reserved.  This document is protected by U.S. copyright law. Requirements from ICC700-2012 National Green Building Standard™ © 2013 National Association of Home Builders of the U.S. - used by permission. Home Innovation authorizes use of this document only by those individuals/organizations participating in Home Innovation's Green Building Certification and solely for purpose of seeking project certification from the Home Innovation Research Labs.</v>
      </c>
      <c r="D213" s="3647"/>
      <c r="E213" s="3647"/>
      <c r="F213" s="3647"/>
      <c r="G213" s="3647"/>
      <c r="H213" s="3647"/>
      <c r="I213" s="3647"/>
      <c r="J213" s="3647"/>
      <c r="K213" s="3647"/>
      <c r="L213" s="3647"/>
      <c r="M213" s="3647"/>
      <c r="N213" s="3647"/>
      <c r="O213" s="3647"/>
      <c r="P213" s="3647"/>
      <c r="Q213" s="3647"/>
      <c r="R213" s="3647"/>
      <c r="S213" s="3647"/>
      <c r="T213" s="3647"/>
    </row>
    <row r="214" spans="1:20">
      <c r="C214" s="3648"/>
      <c r="D214" s="3648"/>
      <c r="E214" s="3648"/>
      <c r="F214" s="3648"/>
      <c r="G214" s="3648"/>
      <c r="H214" s="3648"/>
      <c r="I214" s="3648"/>
      <c r="J214" s="3648"/>
      <c r="K214" s="3648"/>
      <c r="L214" s="3648"/>
      <c r="M214" s="3648"/>
      <c r="N214" s="3648"/>
      <c r="O214" s="3648"/>
      <c r="P214" s="3648"/>
      <c r="Q214" s="3648"/>
      <c r="R214" s="3648"/>
      <c r="S214" s="3648"/>
      <c r="T214" s="3648"/>
    </row>
    <row r="215" spans="1:20">
      <c r="C215" s="3648"/>
      <c r="D215" s="3648"/>
      <c r="E215" s="3648"/>
      <c r="F215" s="3648"/>
      <c r="G215" s="3648"/>
      <c r="H215" s="3648"/>
      <c r="I215" s="3648"/>
      <c r="J215" s="3648"/>
      <c r="K215" s="3648"/>
      <c r="L215" s="3648"/>
      <c r="M215" s="3648"/>
      <c r="N215" s="3648"/>
      <c r="O215" s="3648"/>
      <c r="P215" s="3648"/>
      <c r="Q215" s="3648"/>
      <c r="R215" s="3648"/>
      <c r="S215" s="3648"/>
      <c r="T215" s="3648"/>
    </row>
  </sheetData>
  <sheetProtection algorithmName="SHA-512" hashValue="nrXI3qbLNYxfGmVDBstW9TAbpK+6zvi71TA5ZvOV6yA8zCxqyvTlZwXKrxtk4+7xpLEUndEIbDfx6a1MjWLOBg==" saltValue="gq+0UiDcwtj6r78QcdiZAQ==" spinCount="100000" sheet="1" objects="1" scenarios="1" formatRows="0" selectLockedCells="1"/>
  <autoFilter ref="B6:B210" xr:uid="{00000000-0009-0000-0000-000002000000}"/>
  <mergeCells count="466">
    <mergeCell ref="C213:T215"/>
    <mergeCell ref="C4:I5"/>
    <mergeCell ref="E123:T123"/>
    <mergeCell ref="E142:T142"/>
    <mergeCell ref="C52:C53"/>
    <mergeCell ref="D52:D53"/>
    <mergeCell ref="E52:E53"/>
    <mergeCell ref="C211:T211"/>
    <mergeCell ref="C212:O212"/>
    <mergeCell ref="P212:T212"/>
    <mergeCell ref="C195:T195"/>
    <mergeCell ref="F196:N196"/>
    <mergeCell ref="O196:O197"/>
    <mergeCell ref="T196:T197"/>
    <mergeCell ref="F198:N198"/>
    <mergeCell ref="F199:N199"/>
    <mergeCell ref="F201:N201"/>
    <mergeCell ref="F205:N205"/>
    <mergeCell ref="F200:N200"/>
    <mergeCell ref="F202:N202"/>
    <mergeCell ref="F204:N204"/>
    <mergeCell ref="F203:N203"/>
    <mergeCell ref="F207:N207"/>
    <mergeCell ref="F174:N174"/>
    <mergeCell ref="C168:T168"/>
    <mergeCell ref="F169:N169"/>
    <mergeCell ref="O169:O170"/>
    <mergeCell ref="T169:T170"/>
    <mergeCell ref="F170:N170"/>
    <mergeCell ref="C171:T171"/>
    <mergeCell ref="F172:N172"/>
    <mergeCell ref="Q172:S172"/>
    <mergeCell ref="T158:T159"/>
    <mergeCell ref="F159:N159"/>
    <mergeCell ref="C160:T160"/>
    <mergeCell ref="F166:N166"/>
    <mergeCell ref="O166:O167"/>
    <mergeCell ref="T166:T167"/>
    <mergeCell ref="F167:N167"/>
    <mergeCell ref="F161:N161"/>
    <mergeCell ref="F162:N162"/>
    <mergeCell ref="F163:N163"/>
    <mergeCell ref="F164:N164"/>
    <mergeCell ref="C165:T165"/>
    <mergeCell ref="Q158:S159"/>
    <mergeCell ref="Q161:S161"/>
    <mergeCell ref="T145:T146"/>
    <mergeCell ref="F146:N146"/>
    <mergeCell ref="T149:T153"/>
    <mergeCell ref="C147:T147"/>
    <mergeCell ref="F154:N154"/>
    <mergeCell ref="F156:N156"/>
    <mergeCell ref="F151:N151"/>
    <mergeCell ref="F152:N152"/>
    <mergeCell ref="F153:N153"/>
    <mergeCell ref="F155:N155"/>
    <mergeCell ref="Q156:S157"/>
    <mergeCell ref="Q154:S155"/>
    <mergeCell ref="T154:T155"/>
    <mergeCell ref="T137:T138"/>
    <mergeCell ref="I126:J126"/>
    <mergeCell ref="I129:J129"/>
    <mergeCell ref="I130:J130"/>
    <mergeCell ref="L126:M126"/>
    <mergeCell ref="L127:M127"/>
    <mergeCell ref="L128:M128"/>
    <mergeCell ref="L129:M129"/>
    <mergeCell ref="L130:M130"/>
    <mergeCell ref="Q132:S133"/>
    <mergeCell ref="O132:O133"/>
    <mergeCell ref="Q134:S134"/>
    <mergeCell ref="T124:T131"/>
    <mergeCell ref="F125:N125"/>
    <mergeCell ref="F131:N131"/>
    <mergeCell ref="F133:N133"/>
    <mergeCell ref="F134:N134"/>
    <mergeCell ref="Q121:S121"/>
    <mergeCell ref="Q124:S131"/>
    <mergeCell ref="Q118:S118"/>
    <mergeCell ref="Q119:S119"/>
    <mergeCell ref="Q120:S120"/>
    <mergeCell ref="T132:T133"/>
    <mergeCell ref="F87:N87"/>
    <mergeCell ref="F88:N88"/>
    <mergeCell ref="T89:T91"/>
    <mergeCell ref="Q94:S94"/>
    <mergeCell ref="F100:N100"/>
    <mergeCell ref="O100:O101"/>
    <mergeCell ref="P100:P101"/>
    <mergeCell ref="T100:T101"/>
    <mergeCell ref="F101:N101"/>
    <mergeCell ref="F109:N109"/>
    <mergeCell ref="F110:N110"/>
    <mergeCell ref="F111:N111"/>
    <mergeCell ref="F112:N112"/>
    <mergeCell ref="F113:N113"/>
    <mergeCell ref="F114:N114"/>
    <mergeCell ref="Q111:S111"/>
    <mergeCell ref="Q112:S112"/>
    <mergeCell ref="F121:N121"/>
    <mergeCell ref="F63:N63"/>
    <mergeCell ref="F64:N64"/>
    <mergeCell ref="C76:D76"/>
    <mergeCell ref="C81:D81"/>
    <mergeCell ref="F66:N66"/>
    <mergeCell ref="F67:N67"/>
    <mergeCell ref="F68:N68"/>
    <mergeCell ref="F69:N69"/>
    <mergeCell ref="F70:N70"/>
    <mergeCell ref="G71:M71"/>
    <mergeCell ref="G72:M72"/>
    <mergeCell ref="G73:M73"/>
    <mergeCell ref="F80:N80"/>
    <mergeCell ref="F77:N77"/>
    <mergeCell ref="F76:N76"/>
    <mergeCell ref="F74:N74"/>
    <mergeCell ref="F75:N75"/>
    <mergeCell ref="F41:N41"/>
    <mergeCell ref="O52:O53"/>
    <mergeCell ref="L61:N61"/>
    <mergeCell ref="O60:O61"/>
    <mergeCell ref="O69:O70"/>
    <mergeCell ref="F52:N53"/>
    <mergeCell ref="E47:T47"/>
    <mergeCell ref="F54:N54"/>
    <mergeCell ref="C46:T46"/>
    <mergeCell ref="F49:N49"/>
    <mergeCell ref="F50:N50"/>
    <mergeCell ref="C51:D51"/>
    <mergeCell ref="F51:N51"/>
    <mergeCell ref="F48:N48"/>
    <mergeCell ref="C50:D50"/>
    <mergeCell ref="C55:D55"/>
    <mergeCell ref="F55:N55"/>
    <mergeCell ref="C56:D56"/>
    <mergeCell ref="P69:P70"/>
    <mergeCell ref="C58:D58"/>
    <mergeCell ref="Q57:S57"/>
    <mergeCell ref="Q58:S58"/>
    <mergeCell ref="Q59:S59"/>
    <mergeCell ref="F61:K61"/>
    <mergeCell ref="G34:H34"/>
    <mergeCell ref="G35:H35"/>
    <mergeCell ref="G36:H36"/>
    <mergeCell ref="F42:N42"/>
    <mergeCell ref="O42:O43"/>
    <mergeCell ref="Q60:S61"/>
    <mergeCell ref="O64:O65"/>
    <mergeCell ref="P64:P65"/>
    <mergeCell ref="P42:P43"/>
    <mergeCell ref="F43:N43"/>
    <mergeCell ref="F38:N38"/>
    <mergeCell ref="F39:N39"/>
    <mergeCell ref="Q38:S41"/>
    <mergeCell ref="Q42:S43"/>
    <mergeCell ref="F56:N56"/>
    <mergeCell ref="F57:N57"/>
    <mergeCell ref="F58:N58"/>
    <mergeCell ref="F59:N59"/>
    <mergeCell ref="F65:K65"/>
    <mergeCell ref="L65:N65"/>
    <mergeCell ref="Q52:S53"/>
    <mergeCell ref="Q56:S56"/>
    <mergeCell ref="F60:N60"/>
    <mergeCell ref="F62:N62"/>
    <mergeCell ref="Q28:S28"/>
    <mergeCell ref="Q29:S29"/>
    <mergeCell ref="Q37:S37"/>
    <mergeCell ref="T26:T27"/>
    <mergeCell ref="Q26:S27"/>
    <mergeCell ref="F30:N30"/>
    <mergeCell ref="F16:N16"/>
    <mergeCell ref="F17:N17"/>
    <mergeCell ref="F18:N18"/>
    <mergeCell ref="Q30:S30"/>
    <mergeCell ref="F27:N27"/>
    <mergeCell ref="F28:N28"/>
    <mergeCell ref="T28:T30"/>
    <mergeCell ref="F29:N29"/>
    <mergeCell ref="F33:N33"/>
    <mergeCell ref="O33:O36"/>
    <mergeCell ref="T33:T36"/>
    <mergeCell ref="F31:N31"/>
    <mergeCell ref="F32:N32"/>
    <mergeCell ref="F37:N37"/>
    <mergeCell ref="P34:P36"/>
    <mergeCell ref="Q33:S36"/>
    <mergeCell ref="Q31:S31"/>
    <mergeCell ref="Q32:S32"/>
    <mergeCell ref="F15:N15"/>
    <mergeCell ref="Q15:S15"/>
    <mergeCell ref="Q16:S16"/>
    <mergeCell ref="Q17:S17"/>
    <mergeCell ref="F25:N25"/>
    <mergeCell ref="F26:N26"/>
    <mergeCell ref="F19:N19"/>
    <mergeCell ref="F20:N20"/>
    <mergeCell ref="F21:N21"/>
    <mergeCell ref="F22:N22"/>
    <mergeCell ref="F23:N23"/>
    <mergeCell ref="F24:N24"/>
    <mergeCell ref="Q21:S21"/>
    <mergeCell ref="Q22:S22"/>
    <mergeCell ref="Q23:S23"/>
    <mergeCell ref="Q24:S24"/>
    <mergeCell ref="Q20:S20"/>
    <mergeCell ref="Q18:S18"/>
    <mergeCell ref="Q19:S19"/>
    <mergeCell ref="Q25:S25"/>
    <mergeCell ref="O26:O27"/>
    <mergeCell ref="P26:P27"/>
    <mergeCell ref="N1:N2"/>
    <mergeCell ref="O1:P1"/>
    <mergeCell ref="Q1:T1"/>
    <mergeCell ref="J5:T5"/>
    <mergeCell ref="C1:H3"/>
    <mergeCell ref="J1:M3"/>
    <mergeCell ref="J4:M4"/>
    <mergeCell ref="C6:E6"/>
    <mergeCell ref="F6:N6"/>
    <mergeCell ref="C7:T7"/>
    <mergeCell ref="T9:T14"/>
    <mergeCell ref="F9:N9"/>
    <mergeCell ref="F14:N14"/>
    <mergeCell ref="P9:P14"/>
    <mergeCell ref="O9:O14"/>
    <mergeCell ref="Q6:S6"/>
    <mergeCell ref="Q9:S14"/>
    <mergeCell ref="G10:K10"/>
    <mergeCell ref="G11:K11"/>
    <mergeCell ref="G12:K12"/>
    <mergeCell ref="G13:K13"/>
    <mergeCell ref="E8:T8"/>
    <mergeCell ref="P73:P74"/>
    <mergeCell ref="P71:P72"/>
    <mergeCell ref="O71:O74"/>
    <mergeCell ref="Q66:S68"/>
    <mergeCell ref="T71:T74"/>
    <mergeCell ref="Q71:S74"/>
    <mergeCell ref="T69:T70"/>
    <mergeCell ref="Q69:S70"/>
    <mergeCell ref="P66:P68"/>
    <mergeCell ref="O66:O68"/>
    <mergeCell ref="F85:N85"/>
    <mergeCell ref="F86:N86"/>
    <mergeCell ref="Q76:S76"/>
    <mergeCell ref="F78:N78"/>
    <mergeCell ref="F79:N79"/>
    <mergeCell ref="C82:C83"/>
    <mergeCell ref="D82:D83"/>
    <mergeCell ref="E82:E83"/>
    <mergeCell ref="O82:O83"/>
    <mergeCell ref="P82:P83"/>
    <mergeCell ref="F83:N83"/>
    <mergeCell ref="F81:N81"/>
    <mergeCell ref="Q77:S77"/>
    <mergeCell ref="Q78:S79"/>
    <mergeCell ref="Q80:S80"/>
    <mergeCell ref="Q81:S81"/>
    <mergeCell ref="C78:C79"/>
    <mergeCell ref="D78:D79"/>
    <mergeCell ref="E78:E79"/>
    <mergeCell ref="F84:N84"/>
    <mergeCell ref="F82:N82"/>
    <mergeCell ref="G96:I96"/>
    <mergeCell ref="G97:I97"/>
    <mergeCell ref="G98:I98"/>
    <mergeCell ref="P89:P90"/>
    <mergeCell ref="F94:N94"/>
    <mergeCell ref="F95:N95"/>
    <mergeCell ref="F93:N93"/>
    <mergeCell ref="G90:M90"/>
    <mergeCell ref="G91:M91"/>
    <mergeCell ref="O89:O91"/>
    <mergeCell ref="O95:O98"/>
    <mergeCell ref="F89:N89"/>
    <mergeCell ref="F92:N92"/>
    <mergeCell ref="C100:D100"/>
    <mergeCell ref="N102:T107"/>
    <mergeCell ref="C108:T108"/>
    <mergeCell ref="F107:M107"/>
    <mergeCell ref="F99:N99"/>
    <mergeCell ref="Q100:S101"/>
    <mergeCell ref="Q99:S99"/>
    <mergeCell ref="F106:G106"/>
    <mergeCell ref="H106:J106"/>
    <mergeCell ref="K106:M106"/>
    <mergeCell ref="F102:M102"/>
    <mergeCell ref="F103:G103"/>
    <mergeCell ref="H103:J103"/>
    <mergeCell ref="K103:M103"/>
    <mergeCell ref="F104:G104"/>
    <mergeCell ref="H104:J104"/>
    <mergeCell ref="K104:M104"/>
    <mergeCell ref="F105:G105"/>
    <mergeCell ref="H105:J105"/>
    <mergeCell ref="K105:M105"/>
    <mergeCell ref="C99:D99"/>
    <mergeCell ref="T139:T140"/>
    <mergeCell ref="C135:T135"/>
    <mergeCell ref="F137:N137"/>
    <mergeCell ref="F138:N138"/>
    <mergeCell ref="Q136:S136"/>
    <mergeCell ref="Q137:S138"/>
    <mergeCell ref="Q139:S140"/>
    <mergeCell ref="C109:D109"/>
    <mergeCell ref="C110:D110"/>
    <mergeCell ref="T113:T114"/>
    <mergeCell ref="Q109:S109"/>
    <mergeCell ref="Q110:S110"/>
    <mergeCell ref="T115:T116"/>
    <mergeCell ref="F115:N116"/>
    <mergeCell ref="F129:G129"/>
    <mergeCell ref="F130:G130"/>
    <mergeCell ref="I127:J127"/>
    <mergeCell ref="I128:J128"/>
    <mergeCell ref="C122:T122"/>
    <mergeCell ref="F124:N124"/>
    <mergeCell ref="F126:G126"/>
    <mergeCell ref="F127:G127"/>
    <mergeCell ref="F128:G128"/>
    <mergeCell ref="F132:N132"/>
    <mergeCell ref="F208:N208"/>
    <mergeCell ref="F209:N209"/>
    <mergeCell ref="F210:N210"/>
    <mergeCell ref="F206:N206"/>
    <mergeCell ref="Q208:S208"/>
    <mergeCell ref="F144:N144"/>
    <mergeCell ref="F145:N145"/>
    <mergeCell ref="O145:O146"/>
    <mergeCell ref="F148:N148"/>
    <mergeCell ref="F149:N149"/>
    <mergeCell ref="F150:N150"/>
    <mergeCell ref="F157:N157"/>
    <mergeCell ref="F158:N158"/>
    <mergeCell ref="O158:O159"/>
    <mergeCell ref="I190:K190"/>
    <mergeCell ref="F194:N194"/>
    <mergeCell ref="F177:H177"/>
    <mergeCell ref="F178:H178"/>
    <mergeCell ref="F179:H179"/>
    <mergeCell ref="F190:H190"/>
    <mergeCell ref="F192:H192"/>
    <mergeCell ref="F193:H193"/>
    <mergeCell ref="F180:N180"/>
    <mergeCell ref="L190:N190"/>
    <mergeCell ref="C141:T141"/>
    <mergeCell ref="Q51:S51"/>
    <mergeCell ref="T38:T41"/>
    <mergeCell ref="C42:C43"/>
    <mergeCell ref="D42:D43"/>
    <mergeCell ref="E42:E43"/>
    <mergeCell ref="C44:C45"/>
    <mergeCell ref="D44:D45"/>
    <mergeCell ref="E44:E45"/>
    <mergeCell ref="Q44:S45"/>
    <mergeCell ref="F40:N40"/>
    <mergeCell ref="F44:N44"/>
    <mergeCell ref="T44:T45"/>
    <mergeCell ref="F45:N45"/>
    <mergeCell ref="T52:T53"/>
    <mergeCell ref="T42:T43"/>
    <mergeCell ref="O44:O45"/>
    <mergeCell ref="P44:P45"/>
    <mergeCell ref="Q48:S48"/>
    <mergeCell ref="Q49:S49"/>
    <mergeCell ref="Q50:S50"/>
    <mergeCell ref="T60:T61"/>
    <mergeCell ref="Q54:S54"/>
    <mergeCell ref="Q55:S55"/>
    <mergeCell ref="P60:P61"/>
    <mergeCell ref="T63:T65"/>
    <mergeCell ref="Q63:S63"/>
    <mergeCell ref="Q64:S65"/>
    <mergeCell ref="Q62:S62"/>
    <mergeCell ref="C62:D62"/>
    <mergeCell ref="T95:T98"/>
    <mergeCell ref="Q89:S91"/>
    <mergeCell ref="Q88:S88"/>
    <mergeCell ref="Q92:S92"/>
    <mergeCell ref="Q93:S93"/>
    <mergeCell ref="Q86:S86"/>
    <mergeCell ref="Q87:S87"/>
    <mergeCell ref="Q82:S83"/>
    <mergeCell ref="T82:T83"/>
    <mergeCell ref="Q84:S84"/>
    <mergeCell ref="Q95:S98"/>
    <mergeCell ref="Q85:S85"/>
    <mergeCell ref="T78:T79"/>
    <mergeCell ref="T66:T68"/>
    <mergeCell ref="Q75:S75"/>
    <mergeCell ref="C94:D94"/>
    <mergeCell ref="P95:P96"/>
    <mergeCell ref="P97:P98"/>
    <mergeCell ref="Q113:S114"/>
    <mergeCell ref="Q115:S116"/>
    <mergeCell ref="Q117:S117"/>
    <mergeCell ref="O115:O116"/>
    <mergeCell ref="D181:D182"/>
    <mergeCell ref="E181:E182"/>
    <mergeCell ref="Q173:S173"/>
    <mergeCell ref="Q162:S162"/>
    <mergeCell ref="Q163:S163"/>
    <mergeCell ref="Q164:S164"/>
    <mergeCell ref="Q166:S167"/>
    <mergeCell ref="Q169:S170"/>
    <mergeCell ref="Q143:S143"/>
    <mergeCell ref="Q144:S144"/>
    <mergeCell ref="Q145:S146"/>
    <mergeCell ref="Q148:S148"/>
    <mergeCell ref="Q149:S153"/>
    <mergeCell ref="F143:N143"/>
    <mergeCell ref="F139:N139"/>
    <mergeCell ref="F117:N117"/>
    <mergeCell ref="F119:N119"/>
    <mergeCell ref="F118:N118"/>
    <mergeCell ref="F120:N120"/>
    <mergeCell ref="F140:N140"/>
    <mergeCell ref="O139:O140"/>
    <mergeCell ref="P125:P126"/>
    <mergeCell ref="C181:C182"/>
    <mergeCell ref="Q209:S209"/>
    <mergeCell ref="Q210:S210"/>
    <mergeCell ref="Q198:S198"/>
    <mergeCell ref="Q199:S199"/>
    <mergeCell ref="Q200:S200"/>
    <mergeCell ref="Q201:S201"/>
    <mergeCell ref="Q202:S202"/>
    <mergeCell ref="Q203:S203"/>
    <mergeCell ref="Q204:S204"/>
    <mergeCell ref="Q205:S205"/>
    <mergeCell ref="Q196:S197"/>
    <mergeCell ref="Q206:S206"/>
    <mergeCell ref="Q207:S207"/>
    <mergeCell ref="F197:N197"/>
    <mergeCell ref="F136:N136"/>
    <mergeCell ref="O137:O138"/>
    <mergeCell ref="F173:N173"/>
    <mergeCell ref="F191:H191"/>
    <mergeCell ref="I191:K191"/>
    <mergeCell ref="I192:K192"/>
    <mergeCell ref="I193:K193"/>
    <mergeCell ref="C175:C176"/>
    <mergeCell ref="D175:D176"/>
    <mergeCell ref="E175:E176"/>
    <mergeCell ref="F175:N176"/>
    <mergeCell ref="T176:T180"/>
    <mergeCell ref="T181:T194"/>
    <mergeCell ref="Q181:S194"/>
    <mergeCell ref="O177:O180"/>
    <mergeCell ref="P177:P180"/>
    <mergeCell ref="O181:O182"/>
    <mergeCell ref="P181:P182"/>
    <mergeCell ref="Q174:S180"/>
    <mergeCell ref="O183:O185"/>
    <mergeCell ref="L191:N191"/>
    <mergeCell ref="L192:N192"/>
    <mergeCell ref="L193:N193"/>
    <mergeCell ref="F181:N189"/>
    <mergeCell ref="O186:O188"/>
    <mergeCell ref="O189:O191"/>
    <mergeCell ref="O192:O194"/>
    <mergeCell ref="P183:P185"/>
    <mergeCell ref="P186:P188"/>
    <mergeCell ref="P189:P191"/>
    <mergeCell ref="P192:P194"/>
  </mergeCells>
  <conditionalFormatting sqref="P28">
    <cfRule type="expression" dxfId="2149" priority="316" stopIfTrue="1">
      <formula>AND(SUM($P$28:$P$32)&gt;13.01,claim601.5_1&gt;0)</formula>
    </cfRule>
  </conditionalFormatting>
  <conditionalFormatting sqref="P29">
    <cfRule type="expression" dxfId="2148" priority="315" stopIfTrue="1">
      <formula>AND(SUM($P$28:$P$32)&gt;13.01,claim601.5_2&gt;0)</formula>
    </cfRule>
  </conditionalFormatting>
  <conditionalFormatting sqref="P32">
    <cfRule type="expression" dxfId="2147" priority="314" stopIfTrue="1">
      <formula>AND(SUM($P$28:$P$32)&gt;13.01,claim601.5_5&gt;0)</formula>
    </cfRule>
  </conditionalFormatting>
  <conditionalFormatting sqref="P82">
    <cfRule type="expression" dxfId="2146" priority="304" stopIfTrue="1">
      <formula>OR(claim602.1.8="Not Met", claim602.1.8="")</formula>
    </cfRule>
  </conditionalFormatting>
  <conditionalFormatting sqref="P152">
    <cfRule type="expression" dxfId="2145" priority="303" stopIfTrue="1">
      <formula>AND(P152&gt;0,COUNTBLANK(P150:P151)&gt;1)</formula>
    </cfRule>
  </conditionalFormatting>
  <conditionalFormatting sqref="P4">
    <cfRule type="expression" dxfId="2144" priority="297" stopIfTrue="1">
      <formula>$P$4="Not Met"</formula>
    </cfRule>
  </conditionalFormatting>
  <conditionalFormatting sqref="P3">
    <cfRule type="expression" dxfId="2143" priority="296" stopIfTrue="1">
      <formula>$P$3="Not Met"</formula>
    </cfRule>
  </conditionalFormatting>
  <conditionalFormatting sqref="T118 T110 T154 T174:T175 T161 T198 T206 T172 T15 T19 T26 T37 T58 T62 T76 T69 T84">
    <cfRule type="notContainsBlanks" dxfId="2142" priority="317">
      <formula>LEN(TRIM(T15))&gt;0</formula>
    </cfRule>
  </conditionalFormatting>
  <conditionalFormatting sqref="P50">
    <cfRule type="expression" dxfId="2141" priority="11" stopIfTrue="1">
      <formula>AND($A$50="x",$P$50="No Slabs")</formula>
    </cfRule>
    <cfRule type="expression" dxfId="2140" priority="23">
      <formula>AND($B$50="x",AND($P$50&lt;&gt;"",$P$50&lt;&gt;"No Slabs"))</formula>
    </cfRule>
    <cfRule type="expression" dxfId="2139" priority="284" stopIfTrue="1">
      <formula>OR(claim602.1.1.1="Not Met",claim602.1.1.1="")</formula>
    </cfRule>
  </conditionalFormatting>
  <conditionalFormatting sqref="P55">
    <cfRule type="expression" dxfId="2138" priority="12" stopIfTrue="1">
      <formula>AND($A$55="x",$P$55="No habitable or usable space below grade")</formula>
    </cfRule>
    <cfRule type="expression" dxfId="2137" priority="21" stopIfTrue="1">
      <formula>AND($B$55="x",AND($P$55&lt;&gt;"",$P$55&lt;&gt;"No habitable or usable space below grade"))</formula>
    </cfRule>
    <cfRule type="expression" dxfId="2136" priority="278" stopIfTrue="1">
      <formula>OR(claim602.1.3.1="Not Met",claim602.1.3.1="")</formula>
    </cfRule>
  </conditionalFormatting>
  <conditionalFormatting sqref="P60">
    <cfRule type="expression" dxfId="2135" priority="270" stopIfTrue="1">
      <formula>OR(claim602.1.4.1_2="Not Met",claim602.1.4.1_2="")</formula>
    </cfRule>
  </conditionalFormatting>
  <conditionalFormatting sqref="P64">
    <cfRule type="expression" dxfId="2134" priority="15">
      <formula>AND($B$64&lt;&gt;"x",OR(claim602.1.4.2_2="Not Met",claim602.1.4.2_2=""))</formula>
    </cfRule>
  </conditionalFormatting>
  <conditionalFormatting sqref="P78">
    <cfRule type="expression" dxfId="2133" priority="262" stopIfTrue="1">
      <formula>OR(choice602.1.7.1_2="Not Met",choice602.1.7.1_2="")</formula>
    </cfRule>
  </conditionalFormatting>
  <conditionalFormatting sqref="P85">
    <cfRule type="expression" dxfId="2132" priority="256" stopIfTrue="1">
      <formula>OR(claim602.1.9_1="Not Met",claim602.1.9_1="")</formula>
    </cfRule>
  </conditionalFormatting>
  <conditionalFormatting sqref="P119">
    <cfRule type="expression" dxfId="2131" priority="232" stopIfTrue="1">
      <formula>OR(P119="Not Met", P119="")</formula>
    </cfRule>
  </conditionalFormatting>
  <conditionalFormatting sqref="P31">
    <cfRule type="expression" dxfId="2130" priority="193">
      <formula>AND(SUM($P$28:$P$32)&gt;13.01,claim601.5_4&gt;0)</formula>
    </cfRule>
  </conditionalFormatting>
  <conditionalFormatting sqref="P30">
    <cfRule type="expression" dxfId="2129" priority="192">
      <formula>AND(SUM($P$28:$P$32)&gt;13.01,claim601.5_3&gt;0)</formula>
    </cfRule>
  </conditionalFormatting>
  <conditionalFormatting sqref="Q9:S14 Q16:S18">
    <cfRule type="beginsWith" dxfId="2128" priority="186" operator="beginsWith" text="*">
      <formula>LEFT(Q9,LEN("*"))="*"</formula>
    </cfRule>
  </conditionalFormatting>
  <conditionalFormatting sqref="Q19:S19 Q28:S28">
    <cfRule type="beginsWith" dxfId="2127" priority="181" operator="beginsWith" text="*">
      <formula>LEFT(Q19,LEN("*"))="*"</formula>
    </cfRule>
  </conditionalFormatting>
  <conditionalFormatting sqref="Q208:S210 Q200:S200 Q203:S205 Q20:S20 Q22:S25 Q31:S36 Q50:S51 Q55:S56 Q59:S61 Q63:S68 Q71:S74 Q77 Q80:Q81">
    <cfRule type="beginsWith" dxfId="2126" priority="180" operator="beginsWith" text="*">
      <formula>LEFT(Q20,LEN("*"))="*"</formula>
    </cfRule>
  </conditionalFormatting>
  <conditionalFormatting sqref="Q207:S207 Q199:S199 Q201:S202 Q21:S21">
    <cfRule type="beginsWith" dxfId="2125" priority="179" operator="beginsWith" text="*">
      <formula>LEFT(Q21,LEN("*"))="*"</formula>
    </cfRule>
  </conditionalFormatting>
  <conditionalFormatting sqref="Q29:S29">
    <cfRule type="beginsWith" dxfId="2124" priority="172" operator="beginsWith" text="*">
      <formula>LEFT(Q29,LEN("*"))="*"</formula>
    </cfRule>
  </conditionalFormatting>
  <conditionalFormatting sqref="Q30:S30">
    <cfRule type="beginsWith" dxfId="2123" priority="171" operator="beginsWith" text="*">
      <formula>LEFT(Q30,LEN("*"))="*"</formula>
    </cfRule>
  </conditionalFormatting>
  <conditionalFormatting sqref="Q38:S41">
    <cfRule type="beginsWith" dxfId="2122" priority="166" operator="beginsWith" text="*">
      <formula>LEFT(Q38,LEN("*"))="*"</formula>
    </cfRule>
    <cfRule type="containsBlanks" dxfId="2121" priority="326">
      <formula>LEN(TRIM(Q38))=0</formula>
    </cfRule>
  </conditionalFormatting>
  <conditionalFormatting sqref="Q42:S43">
    <cfRule type="beginsWith" dxfId="2120" priority="164" operator="beginsWith" text="*">
      <formula>LEFT(Q42,LEN("*"))="*"</formula>
    </cfRule>
    <cfRule type="containsBlanks" dxfId="2119" priority="327">
      <formula>LEN(TRIM(Q42))=0</formula>
    </cfRule>
  </conditionalFormatting>
  <conditionalFormatting sqref="Q44:S45">
    <cfRule type="beginsWith" dxfId="2118" priority="163" operator="beginsWith" text="*">
      <formula>LEFT(Q44,LEN("*"))="*"</formula>
    </cfRule>
    <cfRule type="containsBlanks" dxfId="2117" priority="335">
      <formula>LEN(TRIM(Q44))=0</formula>
    </cfRule>
  </conditionalFormatting>
  <conditionalFormatting sqref="Q52:S53">
    <cfRule type="beginsWith" dxfId="2116" priority="156" operator="beginsWith" text="*">
      <formula>LEFT(Q52,LEN("*"))="*"</formula>
    </cfRule>
  </conditionalFormatting>
  <conditionalFormatting sqref="Q174:Q175 Q86:S93 Q99:S101 Q111:S114 Q109:S109 Q117:S117 Q119:S121 Q134:S134 Q143:S144 Q162:S163 Q181 Q156:S157">
    <cfRule type="beginsWith" dxfId="2115" priority="143" operator="beginsWith" text="*">
      <formula>LEFT(Q86,LEN("*"))="*"</formula>
    </cfRule>
  </conditionalFormatting>
  <conditionalFormatting sqref="Q115:S116 Q145:S146 Q164:S164 Q95:S98">
    <cfRule type="beginsWith" dxfId="2114" priority="130" operator="beginsWith" text="*">
      <formula>LEFT(Q95,LEN("*"))="*"</formula>
    </cfRule>
  </conditionalFormatting>
  <conditionalFormatting sqref="Q124:S133 Q158:S159 Q169:S170">
    <cfRule type="containsBlanks" dxfId="2113" priority="46">
      <formula>LEN(TRIM(Q124))=0</formula>
    </cfRule>
    <cfRule type="beginsWith" dxfId="2112" priority="47" operator="beginsWith" text="*">
      <formula>LEFT(Q124,LEN("*"))="*"</formula>
    </cfRule>
  </conditionalFormatting>
  <conditionalFormatting sqref="Q137:S140">
    <cfRule type="containsBlanks" dxfId="2111" priority="52">
      <formula>LEN(TRIM(Q137))=0</formula>
    </cfRule>
    <cfRule type="beginsWith" dxfId="2110" priority="53" operator="beginsWith" text="*">
      <formula>LEFT(Q137,LEN("*"))="*"</formula>
    </cfRule>
  </conditionalFormatting>
  <conditionalFormatting sqref="Q149:S153">
    <cfRule type="beginsWith" dxfId="2109" priority="71" operator="beginsWith" text="*">
      <formula>LEFT(Q149,LEN("*"))="*"</formula>
    </cfRule>
    <cfRule type="containsBlanks" dxfId="2108" priority="330">
      <formula>LEN(TRIM(Q149))=0</formula>
    </cfRule>
  </conditionalFormatting>
  <conditionalFormatting sqref="Q166:S167 Q196:S197">
    <cfRule type="beginsWith" dxfId="2107" priority="56" operator="beginsWith" text="*">
      <formula>LEFT(Q166,LEN("*"))="*"</formula>
    </cfRule>
    <cfRule type="containsBlanks" dxfId="2106" priority="107">
      <formula>LEN(TRIM(Q166))=0</formula>
    </cfRule>
  </conditionalFormatting>
  <conditionalFormatting sqref="Q85:S85">
    <cfRule type="expression" dxfId="2105" priority="43">
      <formula>AND($Q$85&lt;&gt;"",claim602.1.9_1="N/A")</formula>
    </cfRule>
    <cfRule type="expression" dxfId="2104" priority="44">
      <formula>claim602.1.9_1="N/A"</formula>
    </cfRule>
    <cfRule type="beginsWith" dxfId="2103" priority="45" operator="beginsWith" text="*">
      <formula>LEFT(Q85,LEN("*"))="*"</formula>
    </cfRule>
  </conditionalFormatting>
  <conditionalFormatting sqref="P99">
    <cfRule type="expression" dxfId="2102" priority="69">
      <formula>OR(claim602.1.11="",claim602.1.11="Not Met")</formula>
    </cfRule>
  </conditionalFormatting>
  <conditionalFormatting sqref="P109">
    <cfRule type="expression" dxfId="2101" priority="68">
      <formula>OR(claim602.1.13="Not Met", claim602.1.13="")</formula>
    </cfRule>
  </conditionalFormatting>
  <conditionalFormatting sqref="P113">
    <cfRule type="expression" dxfId="2100" priority="67">
      <formula>OR(choice602.1.14_3="Not Met", choice602.1.14_3="")</formula>
    </cfRule>
  </conditionalFormatting>
  <conditionalFormatting sqref="Q172:S173">
    <cfRule type="beginsWith" dxfId="2099" priority="60" operator="beginsWith" text="*">
      <formula>LEFT(Q172,LEN("*"))="*"</formula>
    </cfRule>
  </conditionalFormatting>
  <conditionalFormatting sqref="P59">
    <cfRule type="expression" dxfId="2098" priority="17">
      <formula>AND(AND($B$57:$B$61="x",$P$59&gt;0))</formula>
    </cfRule>
    <cfRule type="expression" dxfId="2097" priority="66">
      <formula>AND($P$59&lt;&gt;"",OR($P$60="No crawlspace",$P$60="No below grade crawlspace walls"))</formula>
    </cfRule>
  </conditionalFormatting>
  <conditionalFormatting sqref="P63">
    <cfRule type="expression" dxfId="2096" priority="65">
      <formula>AND($P$63&lt;&gt;"",$B$63="x")</formula>
    </cfRule>
  </conditionalFormatting>
  <conditionalFormatting sqref="Q174:Q175 Q181:S193">
    <cfRule type="containsBlanks" dxfId="2095" priority="42">
      <formula>LEN(TRIM(Q174))=0</formula>
    </cfRule>
  </conditionalFormatting>
  <conditionalFormatting sqref="Q78">
    <cfRule type="beginsWith" dxfId="2094" priority="39" operator="beginsWith" text="*">
      <formula>LEFT(Q78,LEN("*"))="*"</formula>
    </cfRule>
    <cfRule type="expression" dxfId="2093" priority="40">
      <formula>AND(choice602.1.7.1_2="N/A",note602.1.7.1_2="")</formula>
    </cfRule>
  </conditionalFormatting>
  <conditionalFormatting sqref="Q82">
    <cfRule type="expression" dxfId="2092" priority="37">
      <formula>AND(claim602.1.8="N/A",note602.1.8="")</formula>
    </cfRule>
    <cfRule type="beginsWith" dxfId="2091" priority="38" operator="beginsWith" text="*">
      <formula>LEFT(Q82,LEN("*"))="*"</formula>
    </cfRule>
  </conditionalFormatting>
  <conditionalFormatting sqref="P42:P43">
    <cfRule type="expression" dxfId="2090" priority="36">
      <formula>AND($B$42="x")</formula>
    </cfRule>
  </conditionalFormatting>
  <conditionalFormatting sqref="P57:P61">
    <cfRule type="expression" dxfId="2089" priority="35" stopIfTrue="1">
      <formula>AND($B$57:$B$61="x")</formula>
    </cfRule>
  </conditionalFormatting>
  <conditionalFormatting sqref="P62:P65">
    <cfRule type="expression" dxfId="2088" priority="269" stopIfTrue="1">
      <formula>AND($B$64="x")</formula>
    </cfRule>
  </conditionalFormatting>
  <conditionalFormatting sqref="P50">
    <cfRule type="expression" dxfId="2087" priority="33" stopIfTrue="1">
      <formula>AND($B$50="x")</formula>
    </cfRule>
  </conditionalFormatting>
  <conditionalFormatting sqref="P55">
    <cfRule type="expression" dxfId="2086" priority="32" stopIfTrue="1">
      <formula>AND($B$55="x")</formula>
    </cfRule>
  </conditionalFormatting>
  <conditionalFormatting sqref="P52:P53">
    <cfRule type="expression" dxfId="2085" priority="31">
      <formula>AND($B$52="x")</formula>
    </cfRule>
  </conditionalFormatting>
  <conditionalFormatting sqref="P54">
    <cfRule type="expression" priority="29">
      <formula>AND($B$54="x")</formula>
    </cfRule>
  </conditionalFormatting>
  <conditionalFormatting sqref="P54">
    <cfRule type="expression" dxfId="2084" priority="28">
      <formula>AND($B$54="x")</formula>
    </cfRule>
  </conditionalFormatting>
  <conditionalFormatting sqref="P42:P43">
    <cfRule type="expression" dxfId="2083" priority="27">
      <formula>AND(AND($B$42:$B$43="x",$P$42&gt;0))</formula>
    </cfRule>
  </conditionalFormatting>
  <conditionalFormatting sqref="C56:P56">
    <cfRule type="expression" dxfId="2082" priority="25">
      <formula>AND($B$56="x")</formula>
    </cfRule>
  </conditionalFormatting>
  <conditionalFormatting sqref="P56">
    <cfRule type="expression" dxfId="2081" priority="26">
      <formula>AND(AND($B$56="x",$P$56&gt;0))</formula>
    </cfRule>
  </conditionalFormatting>
  <conditionalFormatting sqref="P52">
    <cfRule type="expression" dxfId="2080" priority="22">
      <formula>AND(AND($B$52:$B$53="x",$P$52&lt;&gt;""))</formula>
    </cfRule>
  </conditionalFormatting>
  <conditionalFormatting sqref="P60:P61">
    <cfRule type="expression" dxfId="2079" priority="16">
      <formula>AND($B$60="x",$P$60="Met")</formula>
    </cfRule>
  </conditionalFormatting>
  <conditionalFormatting sqref="P64:P65">
    <cfRule type="expression" dxfId="2078" priority="34">
      <formula>AND($P$64="Met",$B$64="x")</formula>
    </cfRule>
  </conditionalFormatting>
  <conditionalFormatting sqref="P16">
    <cfRule type="expression" dxfId="2077" priority="8">
      <formula>AND($P$16&lt;&gt;"",$P$16&lt;&gt;3,$P$16&lt;&gt;6,$P$16&lt;&gt;9)</formula>
    </cfRule>
    <cfRule type="expression" dxfId="2076" priority="9">
      <formula>AND(SUM($P$16:$P$18)&gt;9,$P$16&lt;&gt;"")</formula>
    </cfRule>
  </conditionalFormatting>
  <conditionalFormatting sqref="P17">
    <cfRule type="expression" dxfId="2075" priority="6">
      <formula>AND($P$17&lt;&gt;"",$P$17&lt;&gt;3,$P$17&lt;&gt;6,$P$17&lt;&gt;9)</formula>
    </cfRule>
    <cfRule type="expression" dxfId="2074" priority="7">
      <formula>AND($P$17&lt;&gt;"",SUM($P$16:$P$18)&gt;9)</formula>
    </cfRule>
  </conditionalFormatting>
  <conditionalFormatting sqref="P18">
    <cfRule type="expression" dxfId="2073" priority="4">
      <formula>AND($P$18&lt;&gt;"",$P$18&lt;&gt;3,$P$18&lt;&gt;6,$P$18&lt;&gt;9)</formula>
    </cfRule>
    <cfRule type="expression" dxfId="2072" priority="5">
      <formula>AND($P$18&lt;&gt;"",SUM($P$16:$P$18)&gt;9)</formula>
    </cfRule>
  </conditionalFormatting>
  <conditionalFormatting sqref="O15">
    <cfRule type="expression" dxfId="2071" priority="3">
      <formula>SUM($P$16:$P$18)&gt;9</formula>
    </cfRule>
  </conditionalFormatting>
  <conditionalFormatting sqref="J1">
    <cfRule type="expression" dxfId="2070" priority="2" stopIfTrue="1">
      <formula>levelStatement="This project has not met all the requirements for Bronze, Silver, Gold, or Emerald."</formula>
    </cfRule>
  </conditionalFormatting>
  <conditionalFormatting sqref="P100:P101">
    <cfRule type="expression" dxfId="2069" priority="1">
      <formula>AND($P$100&gt;0,$P$34&gt;4)</formula>
    </cfRule>
  </conditionalFormatting>
  <dataValidations count="43">
    <dataValidation type="whole" operator="equal" allowBlank="1" showInputMessage="1" showErrorMessage="1" errorTitle="Invalid value" error="Leave cell blank or enter the number 1." sqref="P120:P121 P164 P210 P24" xr:uid="{00000000-0002-0000-0200-000000000000}">
      <formula1>1</formula1>
    </dataValidation>
    <dataValidation type="list" allowBlank="1" showInputMessage="1" showErrorMessage="1" errorTitle="Invalid Entry" error="Leave cell blank or select a value from the dropdown list provided." sqref="P124" xr:uid="{00000000-0002-0000-0200-000001000000}">
      <formula1>dd603.1</formula1>
    </dataValidation>
    <dataValidation type="whole" operator="equal" allowBlank="1" showInputMessage="1" showErrorMessage="1" errorTitle="Invalid value" error="Leave cell blank or enter the number 7." sqref="P144" xr:uid="{00000000-0002-0000-0200-000002000000}">
      <formula1>7</formula1>
    </dataValidation>
    <dataValidation type="whole" operator="equal" allowBlank="1" showInputMessage="1" showErrorMessage="1" errorTitle="Invalid value" error="Leave cell blank or enter the number 3." sqref="P156 P87:P88 P199:P205 P150 P162:P163 P207:P209 P51 P42:P43 P20:P23" xr:uid="{00000000-0002-0000-0200-000003000000}">
      <formula1>3</formula1>
    </dataValidation>
    <dataValidation type="whole" operator="equal" allowBlank="1" showInputMessage="1" showErrorMessage="1" errorTitle="Invalid value" error="Leave cell blank or enter the number 6." sqref="P151 P143 P59" xr:uid="{00000000-0002-0000-0200-000004000000}">
      <formula1>6</formula1>
    </dataValidation>
    <dataValidation type="whole" operator="equal" allowBlank="1" showInputMessage="1" showErrorMessage="1" errorTitle="Invalid value" error="Leave cell blank or enter the number 4." sqref="P157 P134 P117 P100:P101 P80 P66 P56 P44:P45 P28:P30 P25" xr:uid="{00000000-0002-0000-0200-000005000000}">
      <formula1>4</formula1>
    </dataValidation>
    <dataValidation type="list" allowBlank="1" showInputMessage="1" showErrorMessage="1" errorTitle="Invalid Entry" error="Leave cell blank or select a value from the dropdown list provided." sqref="P152" xr:uid="{00000000-0002-0000-0200-000006000000}">
      <formula1>dd606.1_3</formula1>
    </dataValidation>
    <dataValidation type="whole" operator="equal" allowBlank="1" showInputMessage="1" showErrorMessage="1" errorTitle="Invalid value" error="Leave cell blank or enter the number 2." sqref="P91:P93 P111:P112 P81 P77" xr:uid="{00000000-0002-0000-0200-000007000000}">
      <formula1>2</formula1>
    </dataValidation>
    <dataValidation type="whole" operator="equal" allowBlank="1" showInputMessage="1" showErrorMessage="1" errorTitle="Invalid value" error="Leave blank or enter the number 2." sqref="P86" xr:uid="{00000000-0002-0000-0200-000008000000}">
      <formula1>2</formula1>
    </dataValidation>
    <dataValidation type="list" operator="equal" allowBlank="1" showInputMessage="1" showErrorMessage="1" errorTitle="Invalid value" error="Leave cell blank or select a value from the dropdown list." sqref="P89:P90" xr:uid="{00000000-0002-0000-0200-000009000000}">
      <formula1>dd602.1.9_5</formula1>
    </dataValidation>
    <dataValidation type="list" allowBlank="1" showInputMessage="1" showErrorMessage="1" errorTitle="Invalid value" error="Leave cell blank or select a value from the dropdown list." sqref="P95" xr:uid="{00000000-0002-0000-0200-00000A000000}">
      <formula1>dd602.1.10</formula1>
    </dataValidation>
    <dataValidation type="list" allowBlank="1" showInputMessage="1" showErrorMessage="1" errorTitle="Invalid value" error="Select a value from the dropdown list." sqref="P99" xr:uid="{00000000-0002-0000-0200-00000B000000}">
      <formula1>dd602.1.11</formula1>
    </dataValidation>
    <dataValidation type="list" allowBlank="1" showInputMessage="1" showErrorMessage="1" errorTitle="Invalid value" error="Select an option from the dropdown list provided." sqref="P109" xr:uid="{00000000-0002-0000-0200-00000C000000}">
      <formula1>dd602.1.14</formula1>
    </dataValidation>
    <dataValidation type="list" operator="equal" allowBlank="1" showInputMessage="1" showErrorMessage="1" errorTitle="Invalid value" error="Select an option from the dropdown list provided." sqref="P113" xr:uid="{00000000-0002-0000-0200-00000D000000}">
      <formula1>dd602.1.15_3</formula1>
    </dataValidation>
    <dataValidation type="list" operator="equal" allowBlank="1" showInputMessage="1" showErrorMessage="1" errorTitle="Invalid value" error="Leave cell blank or select an option from the dropdown list provided." sqref="P115" xr:uid="{00000000-0002-0000-0200-00000E000000}">
      <formula1>dd602.2</formula1>
    </dataValidation>
    <dataValidation type="list" allowBlank="1" showInputMessage="1" showErrorMessage="1" errorTitle="Invalid entry" error="Select option from dropdown list provided." sqref="P119" xr:uid="{00000000-0002-0000-0200-00000F000000}">
      <formula1>dd602.4.1</formula1>
    </dataValidation>
    <dataValidation type="list" operator="equal" allowBlank="1" showInputMessage="1" showErrorMessage="1" errorTitle="Invalid value" error="Leave cell blank or select an option from the dropdown list provided." sqref="P132" xr:uid="{00000000-0002-0000-0200-000010000000}">
      <formula1>dd603.2</formula1>
    </dataValidation>
    <dataValidation type="list" allowBlank="1" showInputMessage="1" showErrorMessage="1" errorTitle="Invalid value" error="Leave cell blank or select an option from the dropdown list provided." sqref="P137" xr:uid="{00000000-0002-0000-0200-000011000000}">
      <formula1>dd604.1.1</formula1>
    </dataValidation>
    <dataValidation type="list" allowBlank="1" showInputMessage="1" showErrorMessage="1" errorTitle="Invalid value" error="Leave cell blank or select an option from the dropdown list provided." sqref="P139" xr:uid="{00000000-0002-0000-0200-000012000000}">
      <formula1>dd604.1.2</formula1>
    </dataValidation>
    <dataValidation type="list" allowBlank="1" showInputMessage="1" showErrorMessage="1" errorTitle="Invalid value" error="Leave cell blank or select an option from the dropdown list provided." sqref="P145" xr:uid="{00000000-0002-0000-0200-000013000000}">
      <formula1>dd605.3</formula1>
    </dataValidation>
    <dataValidation type="list" allowBlank="1" showInputMessage="1" showErrorMessage="1" errorTitle="Invalid value" error="Leave cell blank or select an option from the dropdown list provided." sqref="P158" xr:uid="{00000000-0002-0000-0200-000014000000}">
      <formula1>dd606.3</formula1>
    </dataValidation>
    <dataValidation type="list" allowBlank="1" showInputMessage="1" showErrorMessage="1" errorTitle="Invalid value" error="Leave cell blank or select an option from the dropdown list provided." sqref="P166" xr:uid="{00000000-0002-0000-0200-000015000000}">
      <formula1>dd608.1</formula1>
    </dataValidation>
    <dataValidation type="list" allowBlank="1" showInputMessage="1" showErrorMessage="1" errorTitle="Invalid value" error="Leave cell blank or select an option from the dropdown list provided." sqref="P169" xr:uid="{00000000-0002-0000-0200-000016000000}">
      <formula1>dd609.1</formula1>
    </dataValidation>
    <dataValidation type="whole" operator="equal" allowBlank="1" showInputMessage="1" showErrorMessage="1" errorTitle="Invalid value" error="Leave cell blank or enter the number 15." sqref="P173" xr:uid="{00000000-0002-0000-0200-000017000000}">
      <formula1>15</formula1>
    </dataValidation>
    <dataValidation type="list" allowBlank="1" showInputMessage="1" showErrorMessage="1" errorTitle="Invalid value" error="Leave cell blank or select an option from the dropdown list provided." sqref="P196" xr:uid="{00000000-0002-0000-0200-000018000000}">
      <formula1>dd611.1</formula1>
    </dataValidation>
    <dataValidation type="list" allowBlank="1" showInputMessage="1" showErrorMessage="1" sqref="P183:P194" xr:uid="{00000000-0002-0000-0200-000019000000}">
      <formula1>dd610.1.2_2</formula1>
    </dataValidation>
    <dataValidation type="whole" operator="equal" allowBlank="1" showInputMessage="1" showErrorMessage="1" errorTitle="Invalid value" error="Leave cell blank or enter the number 13." sqref="P31:P32" xr:uid="{00000000-0002-0000-0200-00001A000000}">
      <formula1>13</formula1>
    </dataValidation>
    <dataValidation type="whole" operator="greaterThan" allowBlank="1" showInputMessage="1" showErrorMessage="1" errorTitle="Invalid value" error="Leave cell blank or enter a whole number between 1 and 4." sqref="P40" xr:uid="{00000000-0002-0000-0200-00001B000000}">
      <formula1>0</formula1>
    </dataValidation>
    <dataValidation type="list" allowBlank="1" showInputMessage="1" showErrorMessage="1" sqref="P33" xr:uid="{00000000-0002-0000-0200-00001C000000}">
      <formula1>dd601.6</formula1>
    </dataValidation>
    <dataValidation type="list" allowBlank="1" showInputMessage="1" showErrorMessage="1" errorTitle="Invalid Entry" error="Select an option from the dropdown list provided." sqref="P50" xr:uid="{00000000-0002-0000-0200-00001D000000}">
      <formula1>dd602.1.1.1</formula1>
    </dataValidation>
    <dataValidation type="list" allowBlank="1" showInputMessage="1" showErrorMessage="1" errorTitle="Invalid Entry" error="Select an option from the dropdown list provided." sqref="P55" xr:uid="{00000000-0002-0000-0200-00001E000000}">
      <formula1>dd602.1.3.1</formula1>
    </dataValidation>
    <dataValidation type="whole" operator="equal" allowBlank="1" showInputMessage="1" showErrorMessage="1" errorTitle="Invalid value" error="Leave cell blank or enter the number 8." sqref="P63" xr:uid="{00000000-0002-0000-0200-00001F000000}">
      <formula1>8</formula1>
    </dataValidation>
    <dataValidation type="list" allowBlank="1" showInputMessage="1" showErrorMessage="1" errorTitle="Invalid Entry" error="Select an option from the dropdown list provided." sqref="P60" xr:uid="{00000000-0002-0000-0200-000020000000}">
      <formula1>dd602.1.4.1_2</formula1>
    </dataValidation>
    <dataValidation type="list" allowBlank="1" showInputMessage="1" showErrorMessage="1" errorTitle="Invalid Entry" error="Select an option from the dropdown list provided." sqref="P64" xr:uid="{00000000-0002-0000-0200-000021000000}">
      <formula1>dd602.1.4.2_2</formula1>
    </dataValidation>
    <dataValidation type="list" operator="equal" allowBlank="1" showInputMessage="1" showErrorMessage="1" errorTitle="Invalid value" error="Leave cell blank or select a value from the dropdown list" sqref="P71:P72" xr:uid="{00000000-0002-0000-0200-000022000000}">
      <formula1>dd602.1.6</formula1>
    </dataValidation>
    <dataValidation type="list" allowBlank="1" showInputMessage="1" showErrorMessage="1" errorTitle="Invalid Entry" error="Select an option from the dropdown list provided." sqref="P78" xr:uid="{00000000-0002-0000-0200-000023000000}">
      <formula1>dd602.1.7.1_2</formula1>
    </dataValidation>
    <dataValidation type="list" allowBlank="1" showInputMessage="1" showErrorMessage="1" errorTitle="Invalid Entry" error="Select an option from the dropdown list provided." sqref="P82" xr:uid="{00000000-0002-0000-0200-000024000000}">
      <formula1>dd602.1.8</formula1>
    </dataValidation>
    <dataValidation type="list" allowBlank="1" showInputMessage="1" showErrorMessage="1" errorTitle="Invalid value" error="Select a value from the dropdown list." sqref="P85" xr:uid="{00000000-0002-0000-0200-000025000000}">
      <formula1>dd602.1.9_1</formula1>
    </dataValidation>
    <dataValidation type="whole" operator="greaterThan" allowBlank="1" showInputMessage="1" showErrorMessage="1" errorTitle="Invalid value" error="Leave cell blank or enter a whole number." sqref="P38:P39" xr:uid="{00000000-0002-0000-0200-000026000000}">
      <formula1>0</formula1>
    </dataValidation>
    <dataValidation type="list" allowBlank="1" showInputMessage="1" showErrorMessage="1" errorTitle="Invalid entry" error="Leave cell blank or select an option from the dropdown list provided." sqref="P52" xr:uid="{00000000-0002-0000-0200-000027000000}">
      <formula1>dd602.1.2</formula1>
    </dataValidation>
    <dataValidation type="whole" allowBlank="1" showInputMessage="1" showErrorMessage="1" errorTitle="Invalid value" error="Leave cell blank or enter the 3,6, or 9." sqref="P16" xr:uid="{00000000-0002-0000-0200-000028000000}">
      <formula1>3</formula1>
      <formula2>9</formula2>
    </dataValidation>
    <dataValidation type="whole" allowBlank="1" showInputMessage="1" showErrorMessage="1" errorTitle="Invalid value" error="Leave cell blank or enter 3, 6, or 9." sqref="P17" xr:uid="{00000000-0002-0000-0200-000029000000}">
      <formula1>3</formula1>
      <formula2>9</formula2>
    </dataValidation>
    <dataValidation type="whole" allowBlank="1" showInputMessage="1" showErrorMessage="1" errorTitle="Invalid value" error="Leave cell blank or enter 3,6, or 9." sqref="P18" xr:uid="{00000000-0002-0000-0200-00002A000000}">
      <formula1>3</formula1>
      <formula2>9</formula2>
    </dataValidation>
  </dataValidations>
  <hyperlinks>
    <hyperlink ref="P212:T212" location="'Ch7'!A1" display="Proceed to Chapter 7 &gt;&gt;" xr:uid="{00000000-0004-0000-0200-000000000000}"/>
    <hyperlink ref="F67" location="figure6_3" display="See Figure 6(3)." xr:uid="{00000000-0004-0000-0200-000001000000}"/>
    <hyperlink ref="F67:N67" location="figure6_3" display="See Figure 6(3)." xr:uid="{00000000-0004-0000-0200-000002000000}"/>
    <hyperlink ref="F70" location="figure6_3" display="See Figure 6(3)." xr:uid="{00000000-0004-0000-0200-000003000000}"/>
    <hyperlink ref="F101:N101" location="figure6_2" display="See Figure 6(2)" xr:uid="{00000000-0004-0000-0200-000004000000}"/>
  </hyperlinks>
  <pageMargins left="0.7" right="0.7" top="0.75" bottom="0.75" header="0.3" footer="0.3"/>
  <pageSetup scale="50" fitToHeight="5" orientation="portrait" r:id="rId1"/>
  <headerFooter>
    <oddFooter>&amp;C&amp;8© 2013 Home Innovation Research Labs.  Practices of ICC700-2012 © 2013 National Association of Home Builders- used by permission.   Home Innovation authorizes use by those persons participating in the Home Innovation’s Green Building Certification.</oddFooter>
  </headerFooter>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S324"/>
  <sheetViews>
    <sheetView topLeftCell="C1" zoomScaleNormal="100" zoomScaleSheetLayoutView="84" workbookViewId="0">
      <pane ySplit="7" topLeftCell="A8" activePane="bottomLeft" state="frozen"/>
      <selection activeCell="A3" sqref="A1:K3"/>
      <selection pane="bottomLeft" activeCell="P10" sqref="P10:P12"/>
    </sheetView>
  </sheetViews>
  <sheetFormatPr baseColWidth="10" defaultColWidth="9.1640625" defaultRowHeight="15"/>
  <cols>
    <col min="1" max="1" width="5.1640625" style="1008" hidden="1" customWidth="1"/>
    <col min="2" max="2" width="4.6640625" style="170" hidden="1" customWidth="1"/>
    <col min="3" max="3" width="6.6640625" style="71" customWidth="1"/>
    <col min="4" max="4" width="4.33203125" style="19" customWidth="1"/>
    <col min="5" max="5" width="3.6640625" style="71" customWidth="1"/>
    <col min="6" max="13" width="8.6640625" style="113" customWidth="1"/>
    <col min="14" max="14" width="10.6640625" style="113" bestFit="1" customWidth="1"/>
    <col min="15" max="15" width="15.6640625" style="170" customWidth="1"/>
    <col min="16" max="16" width="15.6640625" style="168" customWidth="1"/>
    <col min="17" max="18" width="11.6640625" style="113" customWidth="1"/>
    <col min="19" max="19" width="11.6640625" style="25" customWidth="1"/>
    <col min="20" max="20" width="11.6640625" style="113" customWidth="1"/>
    <col min="21" max="21" width="9.1640625" style="113"/>
    <col min="22" max="27" width="9.1640625" style="1008"/>
    <col min="28" max="28" width="9.1640625" style="113" customWidth="1"/>
    <col min="29" max="29" width="9.1640625" style="113"/>
    <col min="30" max="30" width="9.1640625" style="1008"/>
    <col min="31" max="44" width="9.1640625" style="8"/>
    <col min="45" max="16384" width="9.1640625" style="113"/>
  </cols>
  <sheetData>
    <row r="1" spans="1:45" s="1222" customFormat="1" ht="15" customHeight="1">
      <c r="A1" s="4034"/>
      <c r="B1" s="4034"/>
      <c r="C1" s="4034"/>
      <c r="D1" s="4034"/>
      <c r="E1" s="4034"/>
      <c r="F1" s="4034"/>
      <c r="G1" s="4034"/>
      <c r="H1" s="4034"/>
      <c r="I1" s="4034"/>
      <c r="J1" s="4031" t="str">
        <f>levelStatement</f>
        <v>This project has not met all the requirements for Bronze, Silver, Gold, or Emerald.</v>
      </c>
      <c r="K1" s="3495"/>
      <c r="L1" s="3495"/>
      <c r="M1" s="3499"/>
      <c r="N1" s="2877">
        <v>2012</v>
      </c>
      <c r="O1" s="4023" t="s">
        <v>0</v>
      </c>
      <c r="P1" s="4023"/>
      <c r="Q1" s="4023" t="s">
        <v>1</v>
      </c>
      <c r="R1" s="4023"/>
      <c r="S1" s="4023"/>
      <c r="T1" s="4023"/>
      <c r="AB1" s="1223"/>
      <c r="AC1" s="1223"/>
      <c r="AD1" s="1223"/>
    </row>
    <row r="2" spans="1:45" s="1222" customFormat="1" ht="15" customHeight="1">
      <c r="A2" s="4034"/>
      <c r="B2" s="4034"/>
      <c r="C2" s="4034"/>
      <c r="D2" s="4034"/>
      <c r="E2" s="4034"/>
      <c r="F2" s="4034"/>
      <c r="G2" s="4034"/>
      <c r="H2" s="4034"/>
      <c r="I2" s="4034"/>
      <c r="J2" s="3495"/>
      <c r="K2" s="3495"/>
      <c r="L2" s="3495"/>
      <c r="M2" s="3499"/>
      <c r="N2" s="2878"/>
      <c r="O2" s="1224" t="s">
        <v>2</v>
      </c>
      <c r="P2" s="1224" t="s">
        <v>3</v>
      </c>
      <c r="Q2" s="1225" t="s">
        <v>4</v>
      </c>
      <c r="R2" s="1226" t="s">
        <v>5</v>
      </c>
      <c r="S2" s="1227" t="s">
        <v>6</v>
      </c>
      <c r="T2" s="1228" t="s">
        <v>7</v>
      </c>
      <c r="AB2" s="1223"/>
      <c r="AC2" s="1223"/>
      <c r="AD2" s="1223"/>
      <c r="AS2" s="1223"/>
    </row>
    <row r="3" spans="1:45" s="1222" customFormat="1" ht="15" customHeight="1">
      <c r="A3" s="4034"/>
      <c r="B3" s="4034"/>
      <c r="C3" s="4034"/>
      <c r="D3" s="4034"/>
      <c r="E3" s="4034"/>
      <c r="F3" s="4034"/>
      <c r="G3" s="4034"/>
      <c r="H3" s="4034"/>
      <c r="I3" s="4034"/>
      <c r="J3" s="3495"/>
      <c r="K3" s="3495"/>
      <c r="L3" s="3495"/>
      <c r="M3" s="3499"/>
      <c r="N3" s="1229" t="s">
        <v>8</v>
      </c>
      <c r="O3" s="1230">
        <f>SUM(P13:P318)-SUM(choice702.2.2,P294:P296,enterRecessedLights,ch7blowerdoor,ch7ACH50,enter705.5)</f>
        <v>0</v>
      </c>
      <c r="P3" s="1231" t="str">
        <f>IF(OR(AND(SUM(ch7Mandatory)=15,SUM(O260,claim702.2.2)&gt;=30),claim701.1=30),"Met","Not Met")</f>
        <v>Not Met</v>
      </c>
      <c r="Q3" s="1232">
        <v>30</v>
      </c>
      <c r="R3" s="1232">
        <v>60</v>
      </c>
      <c r="S3" s="1232">
        <v>80</v>
      </c>
      <c r="T3" s="1232">
        <v>100</v>
      </c>
      <c r="AB3" s="1223"/>
      <c r="AC3" s="1223"/>
      <c r="AD3" s="1223"/>
      <c r="AS3" s="1223"/>
    </row>
    <row r="4" spans="1:45" s="1222" customFormat="1" ht="15" customHeight="1">
      <c r="A4" s="4034"/>
      <c r="B4" s="4034"/>
      <c r="C4" s="4034"/>
      <c r="D4" s="4034"/>
      <c r="E4" s="4034"/>
      <c r="F4" s="4034"/>
      <c r="G4" s="4034"/>
      <c r="H4" s="4034"/>
      <c r="I4" s="4034"/>
      <c r="J4" s="4032" t="str">
        <f>CONCATENATE("Revised ",TEXT(startRevisionDate,"mmmm dd, yyyy"))</f>
        <v>Revised August 21, 2020</v>
      </c>
      <c r="K4" s="4032"/>
      <c r="L4" s="4032"/>
      <c r="M4" s="4033"/>
      <c r="N4" s="1233" t="s">
        <v>10</v>
      </c>
      <c r="O4" s="1321">
        <f>projectTotal</f>
        <v>0</v>
      </c>
      <c r="P4" s="1234" t="str">
        <f>IF(SUM(projectMandatoryCount)=4,"Met","Not Met")</f>
        <v>Not Met</v>
      </c>
      <c r="Q4" s="1235">
        <f>SUM(bronzeMinimum)</f>
        <v>231</v>
      </c>
      <c r="R4" s="1235">
        <f>SUM(silverMinimum)</f>
        <v>349</v>
      </c>
      <c r="S4" s="1235">
        <f>SUM(goldMinimum)</f>
        <v>509</v>
      </c>
      <c r="T4" s="1235">
        <f>SUM(emeraldMinimum)</f>
        <v>641</v>
      </c>
      <c r="AB4" s="1223"/>
      <c r="AC4" s="1223"/>
      <c r="AD4" s="1223"/>
      <c r="AS4" s="1223"/>
    </row>
    <row r="5" spans="1:45" s="1222" customFormat="1" ht="15" customHeight="1">
      <c r="B5" s="1745"/>
      <c r="C5" s="4035" t="s">
        <v>2980</v>
      </c>
      <c r="D5" s="4035"/>
      <c r="E5" s="4035"/>
      <c r="F5" s="4035"/>
      <c r="G5" s="4035"/>
      <c r="H5" s="4035"/>
      <c r="I5" s="4035"/>
      <c r="J5" s="2286"/>
      <c r="K5" s="2286"/>
      <c r="L5" s="2286"/>
      <c r="M5" s="2286"/>
      <c r="N5" s="4024" t="s">
        <v>327</v>
      </c>
      <c r="O5" s="4025"/>
      <c r="P5" s="4026" t="str">
        <f>IF(choice701.1="","You must choose an Energy Path in 701.1", choice701.1)</f>
        <v>You must choose an Energy Path in 701.1</v>
      </c>
      <c r="Q5" s="4026"/>
      <c r="R5" s="4026"/>
      <c r="S5" s="4026"/>
      <c r="T5" s="4027"/>
      <c r="AB5" s="1223"/>
      <c r="AC5" s="1223"/>
      <c r="AD5" s="1223"/>
      <c r="AS5" s="1223"/>
    </row>
    <row r="6" spans="1:45" s="1236" customFormat="1" ht="27" customHeight="1" thickBot="1">
      <c r="B6" s="1746"/>
      <c r="C6" s="4036"/>
      <c r="D6" s="4036"/>
      <c r="E6" s="4036"/>
      <c r="F6" s="4036"/>
      <c r="G6" s="4036"/>
      <c r="H6" s="4036"/>
      <c r="I6" s="4036"/>
      <c r="J6" s="4037" t="str">
        <f>CONCATENATE(copyright," All rights reserved.  See full notice at bottom of this sheet")</f>
        <v>© 2020 Home Innovation Research Labs, Inc. All rights reserved.  See full notice at bottom of this sheet</v>
      </c>
      <c r="K6" s="4037"/>
      <c r="L6" s="4037"/>
      <c r="M6" s="4037"/>
      <c r="N6" s="4037"/>
      <c r="O6" s="4037"/>
      <c r="P6" s="4037"/>
      <c r="Q6" s="2705"/>
      <c r="R6" s="2706" t="s">
        <v>3037</v>
      </c>
      <c r="S6" s="4038" t="str">
        <f>IF(startClimateZone="","Enter Zone on Start Here tab",CONCATENATE(TEXT(startClimateZone,0)," ",startClimateType))</f>
        <v>Enter Zone on Start Here tab</v>
      </c>
      <c r="T6" s="4038"/>
    </row>
    <row r="7" spans="1:45" s="1152" customFormat="1" ht="16.5" customHeight="1" thickBot="1">
      <c r="C7" s="4019" t="s">
        <v>11</v>
      </c>
      <c r="D7" s="4020"/>
      <c r="E7" s="4020"/>
      <c r="F7" s="4020" t="s">
        <v>328</v>
      </c>
      <c r="G7" s="4020"/>
      <c r="H7" s="4020"/>
      <c r="I7" s="4020"/>
      <c r="J7" s="4020"/>
      <c r="K7" s="4020"/>
      <c r="L7" s="4020"/>
      <c r="M7" s="4020"/>
      <c r="N7" s="4020"/>
      <c r="O7" s="2662" t="s">
        <v>13</v>
      </c>
      <c r="P7" s="2662" t="s">
        <v>232</v>
      </c>
      <c r="Q7" s="4028" t="s">
        <v>16</v>
      </c>
      <c r="R7" s="4029"/>
      <c r="S7" s="4030"/>
      <c r="T7" s="2661" t="s">
        <v>2983</v>
      </c>
      <c r="AB7" s="1237"/>
      <c r="AC7" s="1237"/>
      <c r="AD7" s="1237"/>
      <c r="AS7" s="1237"/>
    </row>
    <row r="8" spans="1:45" ht="17.25" customHeight="1">
      <c r="C8" s="3011" t="s">
        <v>329</v>
      </c>
      <c r="D8" s="3011"/>
      <c r="E8" s="3011"/>
      <c r="F8" s="3011"/>
      <c r="G8" s="3011"/>
      <c r="H8" s="3011"/>
      <c r="I8" s="3011"/>
      <c r="J8" s="3011"/>
      <c r="K8" s="3011"/>
      <c r="L8" s="3011"/>
      <c r="M8" s="3011"/>
      <c r="N8" s="3011"/>
      <c r="O8" s="3011"/>
      <c r="P8" s="3011"/>
      <c r="Q8" s="3011"/>
      <c r="R8" s="3011"/>
      <c r="S8" s="3011"/>
      <c r="T8" s="3011"/>
      <c r="U8" s="154"/>
      <c r="V8" s="154"/>
      <c r="W8" s="154"/>
      <c r="X8" s="154"/>
      <c r="Y8" s="154"/>
      <c r="Z8" s="154"/>
      <c r="AA8" s="154"/>
      <c r="AB8" s="155"/>
      <c r="AC8" s="155"/>
      <c r="AD8" s="155"/>
      <c r="AS8" s="156"/>
    </row>
    <row r="9" spans="1:45" ht="45" customHeight="1">
      <c r="C9" s="1002">
        <v>701.1</v>
      </c>
      <c r="D9" s="1016"/>
      <c r="E9" s="1003"/>
      <c r="F9" s="3719" t="s">
        <v>330</v>
      </c>
      <c r="G9" s="3719"/>
      <c r="H9" s="3719"/>
      <c r="I9" s="3719"/>
      <c r="J9" s="3719"/>
      <c r="K9" s="3719"/>
      <c r="L9" s="3719"/>
      <c r="M9" s="3719"/>
      <c r="N9" s="3719"/>
      <c r="O9" s="4021" t="str">
        <f>IF(choice701.1="","You must choose an Energy Path BEFORE you can score the rest of Chapter 7!","")</f>
        <v>You must choose an Energy Path BEFORE you can score the rest of Chapter 7!</v>
      </c>
      <c r="P9" s="4021"/>
      <c r="Q9" s="4021"/>
      <c r="R9" s="4021"/>
      <c r="S9" s="4022"/>
      <c r="T9" s="1043"/>
      <c r="AC9" s="156"/>
      <c r="AD9" s="156"/>
      <c r="AS9" s="156"/>
    </row>
    <row r="10" spans="1:45" ht="45" customHeight="1">
      <c r="C10" s="162" t="s">
        <v>331</v>
      </c>
      <c r="D10" s="883"/>
      <c r="E10" s="998"/>
      <c r="F10" s="3742" t="s">
        <v>2601</v>
      </c>
      <c r="G10" s="3742"/>
      <c r="H10" s="3742"/>
      <c r="I10" s="3742"/>
      <c r="J10" s="3742"/>
      <c r="K10" s="3742"/>
      <c r="L10" s="3742"/>
      <c r="M10" s="3742"/>
      <c r="N10" s="3742"/>
      <c r="O10" s="1044"/>
      <c r="P10" s="3999"/>
      <c r="Q10" s="3668"/>
      <c r="R10" s="3669"/>
      <c r="S10" s="3670"/>
      <c r="T10" s="3321" t="s">
        <v>20</v>
      </c>
      <c r="AC10" s="156"/>
      <c r="AD10" s="156"/>
      <c r="AS10" s="156"/>
    </row>
    <row r="11" spans="1:45" s="157" customFormat="1" ht="45" customHeight="1">
      <c r="B11" s="1747"/>
      <c r="C11" s="1046" t="s">
        <v>332</v>
      </c>
      <c r="D11" s="1047"/>
      <c r="E11" s="1048"/>
      <c r="F11" s="4002" t="s">
        <v>1580</v>
      </c>
      <c r="G11" s="4002"/>
      <c r="H11" s="4002"/>
      <c r="I11" s="4002"/>
      <c r="J11" s="4002"/>
      <c r="K11" s="4002"/>
      <c r="L11" s="4002"/>
      <c r="M11" s="4002"/>
      <c r="N11" s="4002"/>
      <c r="O11" s="1404"/>
      <c r="P11" s="4000"/>
      <c r="Q11" s="3671"/>
      <c r="R11" s="3672"/>
      <c r="S11" s="3673"/>
      <c r="T11" s="3321"/>
      <c r="AC11" s="158"/>
      <c r="AD11" s="158"/>
      <c r="AS11" s="158"/>
    </row>
    <row r="12" spans="1:45" s="157" customFormat="1" ht="213.75" customHeight="1">
      <c r="B12" s="1747"/>
      <c r="C12" s="3576" t="s">
        <v>333</v>
      </c>
      <c r="D12" s="3577"/>
      <c r="E12" s="4003"/>
      <c r="F12" s="4005" t="s">
        <v>1982</v>
      </c>
      <c r="G12" s="4005"/>
      <c r="H12" s="4005"/>
      <c r="I12" s="4005"/>
      <c r="J12" s="4005"/>
      <c r="K12" s="4005"/>
      <c r="L12" s="4005"/>
      <c r="M12" s="4005"/>
      <c r="N12" s="4005"/>
      <c r="O12" s="1049" t="s">
        <v>2096</v>
      </c>
      <c r="P12" s="4001"/>
      <c r="Q12" s="4011"/>
      <c r="R12" s="4011"/>
      <c r="S12" s="4011"/>
      <c r="T12" s="3321"/>
      <c r="AC12" s="158"/>
      <c r="AD12" s="158"/>
      <c r="AS12" s="158"/>
    </row>
    <row r="13" spans="1:45" s="157" customFormat="1" ht="36" customHeight="1" thickBot="1">
      <c r="B13" s="1747"/>
      <c r="C13" s="4014"/>
      <c r="D13" s="4015"/>
      <c r="E13" s="4004"/>
      <c r="F13" s="4016" t="str">
        <f>IF(choice701.1="","You must select an Energy Path before you may score the rest of Chapter 7!","")</f>
        <v>You must select an Energy Path before you may score the rest of Chapter 7!</v>
      </c>
      <c r="G13" s="4017"/>
      <c r="H13" s="4017"/>
      <c r="I13" s="4017"/>
      <c r="J13" s="4017"/>
      <c r="K13" s="4017"/>
      <c r="L13" s="4017"/>
      <c r="M13" s="4017"/>
      <c r="N13" s="4018"/>
      <c r="O13" s="1050"/>
      <c r="P13" s="962">
        <f>IF(choice701.1="Alternative Bronze", 30, 0)</f>
        <v>0</v>
      </c>
      <c r="Q13" s="3709"/>
      <c r="R13" s="3709"/>
      <c r="S13" s="3709"/>
      <c r="T13" s="3667"/>
      <c r="AB13" s="158"/>
      <c r="AC13" s="158"/>
      <c r="AD13" s="158"/>
      <c r="AS13" s="158"/>
    </row>
    <row r="14" spans="1:45" s="157" customFormat="1" ht="15" customHeight="1" thickTop="1" thickBot="1">
      <c r="B14" s="1747"/>
      <c r="C14" s="1051">
        <v>701.2</v>
      </c>
      <c r="D14" s="1052"/>
      <c r="E14" s="1053"/>
      <c r="F14" s="4012" t="s">
        <v>334</v>
      </c>
      <c r="G14" s="4012"/>
      <c r="H14" s="4012"/>
      <c r="I14" s="4012"/>
      <c r="J14" s="4012"/>
      <c r="K14" s="4012"/>
      <c r="L14" s="4012"/>
      <c r="M14" s="4012"/>
      <c r="N14" s="4012"/>
      <c r="O14" s="1054"/>
      <c r="P14" s="1055"/>
      <c r="Q14" s="4012"/>
      <c r="R14" s="4012"/>
      <c r="S14" s="4013"/>
      <c r="T14" s="1056"/>
      <c r="AB14" s="158"/>
      <c r="AC14" s="158"/>
      <c r="AD14" s="158"/>
      <c r="AS14" s="158"/>
    </row>
    <row r="15" spans="1:45" s="157" customFormat="1" ht="15" customHeight="1" thickTop="1">
      <c r="B15" s="1747"/>
      <c r="C15" s="4007" t="str">
        <f>IF(P10="Alternative Bronze", "*You selected the Alternative Bronze Path. SKIP ALL MANDATORY ITEMS IN SECTION 701.*", "")</f>
        <v/>
      </c>
      <c r="D15" s="4008"/>
      <c r="E15" s="4008"/>
      <c r="F15" s="4008"/>
      <c r="G15" s="4008"/>
      <c r="H15" s="4008"/>
      <c r="I15" s="4008"/>
      <c r="J15" s="4008"/>
      <c r="K15" s="4008"/>
      <c r="L15" s="4008"/>
      <c r="M15" s="4008"/>
      <c r="N15" s="4008"/>
      <c r="O15" s="4008"/>
      <c r="P15" s="4008"/>
      <c r="Q15" s="4008"/>
      <c r="R15" s="4008"/>
      <c r="S15" s="4008"/>
      <c r="T15" s="1022"/>
      <c r="AB15" s="158"/>
      <c r="AC15" s="158"/>
      <c r="AD15" s="158"/>
      <c r="AS15" s="158"/>
    </row>
    <row r="16" spans="1:45" ht="30" customHeight="1">
      <c r="C16" s="3982">
        <v>701.3</v>
      </c>
      <c r="D16" s="3984"/>
      <c r="E16" s="3101"/>
      <c r="F16" s="3719" t="s">
        <v>335</v>
      </c>
      <c r="G16" s="3719"/>
      <c r="H16" s="3719"/>
      <c r="I16" s="3719"/>
      <c r="J16" s="3719"/>
      <c r="K16" s="3719"/>
      <c r="L16" s="3719"/>
      <c r="M16" s="3719"/>
      <c r="N16" s="3719"/>
      <c r="O16" s="4009" t="s">
        <v>3</v>
      </c>
      <c r="P16" s="3465"/>
      <c r="Q16" s="3633"/>
      <c r="R16" s="3486"/>
      <c r="S16" s="3486"/>
      <c r="T16" s="3977" t="s">
        <v>20</v>
      </c>
      <c r="AB16" s="156"/>
      <c r="AC16" s="156"/>
      <c r="AD16" s="156"/>
      <c r="AS16" s="156"/>
    </row>
    <row r="17" spans="1:44" ht="16" thickBot="1">
      <c r="C17" s="3983"/>
      <c r="D17" s="3985"/>
      <c r="E17" s="3981"/>
      <c r="F17" s="3632" t="s">
        <v>1581</v>
      </c>
      <c r="G17" s="3632"/>
      <c r="H17" s="3632"/>
      <c r="I17" s="3632"/>
      <c r="J17" s="3632"/>
      <c r="K17" s="3632"/>
      <c r="L17" s="3632"/>
      <c r="M17" s="3632"/>
      <c r="N17" s="3632"/>
      <c r="O17" s="4010"/>
      <c r="P17" s="3465"/>
      <c r="Q17" s="3979"/>
      <c r="R17" s="3980"/>
      <c r="S17" s="3980"/>
      <c r="T17" s="3978"/>
      <c r="U17"/>
      <c r="V17" s="1809"/>
      <c r="W17" s="1809"/>
      <c r="X17" s="1809"/>
      <c r="Y17" s="1809"/>
      <c r="Z17" s="1809"/>
      <c r="AA17" s="1809"/>
      <c r="AB17"/>
    </row>
    <row r="18" spans="1:44" ht="15" customHeight="1" thickTop="1">
      <c r="C18" s="1057">
        <v>701.4</v>
      </c>
      <c r="D18" s="1058"/>
      <c r="E18" s="1059"/>
      <c r="F18" s="4006" t="s">
        <v>336</v>
      </c>
      <c r="G18" s="4006"/>
      <c r="H18" s="4006"/>
      <c r="I18" s="4006"/>
      <c r="J18" s="4006"/>
      <c r="K18" s="4006"/>
      <c r="L18" s="4006"/>
      <c r="M18" s="4006"/>
      <c r="N18" s="4006"/>
      <c r="O18" s="1060"/>
      <c r="P18" s="1030"/>
      <c r="Q18" s="3713"/>
      <c r="R18" s="3713"/>
      <c r="S18" s="3714"/>
      <c r="T18" s="929"/>
    </row>
    <row r="19" spans="1:44" s="26" customFormat="1" ht="15" customHeight="1">
      <c r="B19" s="1748"/>
      <c r="C19" s="1061" t="s">
        <v>337</v>
      </c>
      <c r="D19" s="1062"/>
      <c r="E19" s="1063"/>
      <c r="F19" s="3987" t="s">
        <v>338</v>
      </c>
      <c r="G19" s="3988"/>
      <c r="H19" s="3988"/>
      <c r="I19" s="3988"/>
      <c r="J19" s="3988"/>
      <c r="K19" s="3988"/>
      <c r="L19" s="3988"/>
      <c r="M19" s="3988"/>
      <c r="N19" s="3988"/>
      <c r="O19" s="515"/>
      <c r="P19" s="695"/>
      <c r="Q19" s="3993"/>
      <c r="R19" s="3993"/>
      <c r="S19" s="3994"/>
      <c r="T19" s="1022"/>
    </row>
    <row r="20" spans="1:44" ht="45" customHeight="1">
      <c r="C20" s="3989" t="s">
        <v>1582</v>
      </c>
      <c r="D20" s="3990"/>
      <c r="E20" s="1064"/>
      <c r="F20" s="3786" t="s">
        <v>1584</v>
      </c>
      <c r="G20" s="3786"/>
      <c r="H20" s="3786"/>
      <c r="I20" s="3786"/>
      <c r="J20" s="3786"/>
      <c r="K20" s="3786"/>
      <c r="L20" s="3786"/>
      <c r="M20" s="3786"/>
      <c r="N20" s="3786"/>
      <c r="O20" s="1005" t="s">
        <v>3</v>
      </c>
      <c r="P20" s="1001"/>
      <c r="Q20" s="3634"/>
      <c r="R20" s="3635"/>
      <c r="S20" s="3635"/>
      <c r="T20" s="997" t="s">
        <v>20</v>
      </c>
    </row>
    <row r="21" spans="1:44" ht="60" customHeight="1">
      <c r="A21" s="1008" t="str">
        <f>IF(startRadiant_Hydronic="Yes","x","")</f>
        <v/>
      </c>
      <c r="B21" s="170" t="str">
        <f>IF(startRadiant_Hydronic="No","x","")</f>
        <v/>
      </c>
      <c r="C21" s="3991" t="s">
        <v>1583</v>
      </c>
      <c r="D21" s="3992"/>
      <c r="E21" s="163"/>
      <c r="F21" s="3687" t="s">
        <v>1655</v>
      </c>
      <c r="G21" s="3687"/>
      <c r="H21" s="3687"/>
      <c r="I21" s="3687"/>
      <c r="J21" s="3687"/>
      <c r="K21" s="3687"/>
      <c r="L21" s="3687"/>
      <c r="M21" s="3687"/>
      <c r="N21" s="3687"/>
      <c r="O21" s="211" t="s">
        <v>339</v>
      </c>
      <c r="P21" s="1869"/>
      <c r="Q21" s="3819"/>
      <c r="R21" s="3820"/>
      <c r="S21" s="3820"/>
      <c r="T21" s="1007" t="s">
        <v>20</v>
      </c>
    </row>
    <row r="22" spans="1:44">
      <c r="C22" s="162" t="s">
        <v>340</v>
      </c>
      <c r="D22" s="883"/>
      <c r="E22" s="998"/>
      <c r="F22" s="3986" t="s">
        <v>341</v>
      </c>
      <c r="G22" s="3986"/>
      <c r="H22" s="3986"/>
      <c r="I22" s="3986"/>
      <c r="J22" s="3986"/>
      <c r="K22" s="3986"/>
      <c r="L22" s="3986"/>
      <c r="M22" s="3986"/>
      <c r="N22" s="3986"/>
      <c r="O22" s="1066"/>
      <c r="P22" s="161"/>
      <c r="Q22" s="3997"/>
      <c r="R22" s="3997"/>
      <c r="S22" s="3998"/>
      <c r="T22" s="727"/>
    </row>
    <row r="23" spans="1:44" ht="45" customHeight="1">
      <c r="C23" s="3995" t="s">
        <v>342</v>
      </c>
      <c r="D23" s="3996"/>
      <c r="E23" s="1064"/>
      <c r="F23" s="3786" t="s">
        <v>1654</v>
      </c>
      <c r="G23" s="3786"/>
      <c r="H23" s="3786"/>
      <c r="I23" s="3786"/>
      <c r="J23" s="3786"/>
      <c r="K23" s="3786"/>
      <c r="L23" s="3786"/>
      <c r="M23" s="3786"/>
      <c r="N23" s="3786"/>
      <c r="O23" s="1005" t="s">
        <v>343</v>
      </c>
      <c r="P23" s="1213"/>
      <c r="Q23" s="3634"/>
      <c r="R23" s="3635"/>
      <c r="S23" s="3635"/>
      <c r="T23" s="996" t="s">
        <v>20</v>
      </c>
    </row>
    <row r="24" spans="1:44" ht="30" customHeight="1">
      <c r="B24" s="170" t="str">
        <f>IF(startDuctless="yes","x","")</f>
        <v/>
      </c>
      <c r="C24" s="3817" t="s">
        <v>344</v>
      </c>
      <c r="D24" s="3818"/>
      <c r="E24" s="998"/>
      <c r="F24" s="3805" t="s">
        <v>1586</v>
      </c>
      <c r="G24" s="3805"/>
      <c r="H24" s="3805"/>
      <c r="I24" s="3805"/>
      <c r="J24" s="3805"/>
      <c r="K24" s="3805"/>
      <c r="L24" s="3805"/>
      <c r="M24" s="3805"/>
      <c r="N24" s="3805"/>
      <c r="O24" s="166" t="s">
        <v>3</v>
      </c>
      <c r="P24" s="1810"/>
      <c r="Q24" s="3819"/>
      <c r="R24" s="3820"/>
      <c r="S24" s="3820"/>
      <c r="T24" s="986" t="s">
        <v>20</v>
      </c>
    </row>
    <row r="25" spans="1:44" s="891" customFormat="1" ht="30" customHeight="1">
      <c r="A25" s="1008"/>
      <c r="B25" s="170" t="str">
        <f>IF(startDuctless="Yes","x","")</f>
        <v/>
      </c>
      <c r="C25" s="3817" t="s">
        <v>1587</v>
      </c>
      <c r="D25" s="3818"/>
      <c r="E25" s="998"/>
      <c r="F25" s="3805" t="s">
        <v>1588</v>
      </c>
      <c r="G25" s="3805"/>
      <c r="H25" s="3805"/>
      <c r="I25" s="3805"/>
      <c r="J25" s="3805"/>
      <c r="K25" s="3805"/>
      <c r="L25" s="3805"/>
      <c r="M25" s="3805"/>
      <c r="N25" s="3805"/>
      <c r="O25" s="166" t="s">
        <v>3</v>
      </c>
      <c r="P25" s="1810"/>
      <c r="Q25" s="3819"/>
      <c r="R25" s="3820"/>
      <c r="S25" s="3820"/>
      <c r="T25" s="986" t="s">
        <v>20</v>
      </c>
      <c r="V25" s="1008"/>
      <c r="W25" s="1008"/>
      <c r="X25" s="1008"/>
      <c r="Y25" s="1008"/>
      <c r="Z25" s="1008"/>
      <c r="AA25" s="1008"/>
      <c r="AD25" s="1008"/>
      <c r="AE25" s="8"/>
      <c r="AF25" s="8"/>
      <c r="AG25" s="8"/>
      <c r="AH25" s="8"/>
      <c r="AI25" s="8"/>
      <c r="AJ25" s="8"/>
      <c r="AK25" s="8"/>
      <c r="AL25" s="8"/>
      <c r="AM25" s="8"/>
      <c r="AN25" s="8"/>
      <c r="AO25" s="8"/>
      <c r="AP25" s="8"/>
      <c r="AQ25" s="8"/>
      <c r="AR25" s="8"/>
    </row>
    <row r="26" spans="1:44">
      <c r="C26" s="162" t="s">
        <v>345</v>
      </c>
      <c r="D26" s="883"/>
      <c r="E26" s="998"/>
      <c r="F26" s="3824" t="s">
        <v>346</v>
      </c>
      <c r="G26" s="3824"/>
      <c r="H26" s="3824"/>
      <c r="I26" s="3824"/>
      <c r="J26" s="3824"/>
      <c r="K26" s="3824"/>
      <c r="L26" s="3824"/>
      <c r="M26" s="3824"/>
      <c r="N26" s="3824"/>
      <c r="O26" s="1011"/>
      <c r="P26" s="161"/>
      <c r="Q26" s="3825"/>
      <c r="R26" s="3825"/>
      <c r="S26" s="3826"/>
      <c r="T26" s="727"/>
    </row>
    <row r="27" spans="1:44" ht="60" customHeight="1">
      <c r="C27" s="3801" t="s">
        <v>347</v>
      </c>
      <c r="D27" s="3802"/>
      <c r="E27" s="163"/>
      <c r="F27" s="3693" t="s">
        <v>1608</v>
      </c>
      <c r="G27" s="3693"/>
      <c r="H27" s="3693"/>
      <c r="I27" s="3693"/>
      <c r="J27" s="3693"/>
      <c r="K27" s="3693"/>
      <c r="L27" s="3693"/>
      <c r="M27" s="3693"/>
      <c r="N27" s="3693"/>
      <c r="O27" s="3822" t="s">
        <v>3</v>
      </c>
      <c r="P27" s="3465"/>
      <c r="Q27" s="3486"/>
      <c r="R27" s="3486"/>
      <c r="S27" s="3486"/>
      <c r="T27" s="3799" t="s">
        <v>20</v>
      </c>
    </row>
    <row r="28" spans="1:44" ht="15" customHeight="1">
      <c r="C28" s="3801"/>
      <c r="D28" s="3802"/>
      <c r="E28" s="165" t="s">
        <v>390</v>
      </c>
      <c r="F28" s="3821" t="s">
        <v>1589</v>
      </c>
      <c r="G28" s="3821"/>
      <c r="H28" s="3821"/>
      <c r="I28" s="3821"/>
      <c r="J28" s="3821"/>
      <c r="K28" s="3821"/>
      <c r="L28" s="3821"/>
      <c r="M28" s="3821"/>
      <c r="N28" s="3821"/>
      <c r="O28" s="3822"/>
      <c r="P28" s="3465"/>
      <c r="Q28" s="3486"/>
      <c r="R28" s="3486"/>
      <c r="S28" s="3486"/>
      <c r="T28" s="3799"/>
    </row>
    <row r="29" spans="1:44" s="891" customFormat="1" ht="15" customHeight="1">
      <c r="A29" s="1008"/>
      <c r="B29" s="170"/>
      <c r="C29" s="3801"/>
      <c r="D29" s="3802"/>
      <c r="E29" s="165" t="s">
        <v>391</v>
      </c>
      <c r="F29" s="3821" t="s">
        <v>1590</v>
      </c>
      <c r="G29" s="3821"/>
      <c r="H29" s="3821"/>
      <c r="I29" s="3821"/>
      <c r="J29" s="3821"/>
      <c r="K29" s="3821"/>
      <c r="L29" s="3821"/>
      <c r="M29" s="3821"/>
      <c r="N29" s="3821"/>
      <c r="O29" s="3822"/>
      <c r="P29" s="3465"/>
      <c r="Q29" s="3486"/>
      <c r="R29" s="3486"/>
      <c r="S29" s="3486"/>
      <c r="T29" s="3799"/>
      <c r="V29" s="1008"/>
      <c r="W29" s="1008"/>
      <c r="X29" s="1008"/>
      <c r="Y29" s="1008"/>
      <c r="Z29" s="1008"/>
      <c r="AA29" s="1008"/>
      <c r="AD29" s="1008"/>
      <c r="AE29" s="8"/>
      <c r="AF29" s="8"/>
      <c r="AG29" s="8"/>
      <c r="AH29" s="8"/>
      <c r="AI29" s="8"/>
      <c r="AJ29" s="8"/>
      <c r="AK29" s="8"/>
      <c r="AL29" s="8"/>
      <c r="AM29" s="8"/>
      <c r="AN29" s="8"/>
      <c r="AO29" s="8"/>
      <c r="AP29" s="8"/>
      <c r="AQ29" s="8"/>
      <c r="AR29" s="8"/>
    </row>
    <row r="30" spans="1:44" s="891" customFormat="1" ht="15" customHeight="1">
      <c r="A30" s="1008"/>
      <c r="B30" s="170"/>
      <c r="C30" s="3801"/>
      <c r="D30" s="3802"/>
      <c r="E30" s="165" t="s">
        <v>392</v>
      </c>
      <c r="F30" s="3821" t="s">
        <v>1591</v>
      </c>
      <c r="G30" s="3821"/>
      <c r="H30" s="3821"/>
      <c r="I30" s="3821"/>
      <c r="J30" s="3821"/>
      <c r="K30" s="3821"/>
      <c r="L30" s="3821"/>
      <c r="M30" s="3821"/>
      <c r="N30" s="3821"/>
      <c r="O30" s="3822"/>
      <c r="P30" s="3465"/>
      <c r="Q30" s="3486"/>
      <c r="R30" s="3486"/>
      <c r="S30" s="3486"/>
      <c r="T30" s="3799"/>
      <c r="V30" s="1008"/>
      <c r="W30" s="1008"/>
      <c r="X30" s="1008"/>
      <c r="Y30" s="1008"/>
      <c r="Z30" s="1008"/>
      <c r="AA30" s="1008"/>
      <c r="AD30" s="1008"/>
      <c r="AE30" s="8"/>
      <c r="AF30" s="8"/>
      <c r="AG30" s="8"/>
      <c r="AH30" s="8"/>
      <c r="AI30" s="8"/>
      <c r="AJ30" s="8"/>
      <c r="AK30" s="8"/>
      <c r="AL30" s="8"/>
      <c r="AM30" s="8"/>
      <c r="AN30" s="8"/>
      <c r="AO30" s="8"/>
      <c r="AP30" s="8"/>
      <c r="AQ30" s="8"/>
      <c r="AR30" s="8"/>
    </row>
    <row r="31" spans="1:44" s="891" customFormat="1" ht="15" customHeight="1">
      <c r="A31" s="1008"/>
      <c r="B31" s="170"/>
      <c r="C31" s="3801"/>
      <c r="D31" s="3802"/>
      <c r="E31" s="165" t="s">
        <v>393</v>
      </c>
      <c r="F31" s="3821" t="s">
        <v>1592</v>
      </c>
      <c r="G31" s="3821"/>
      <c r="H31" s="3821"/>
      <c r="I31" s="3821"/>
      <c r="J31" s="3821"/>
      <c r="K31" s="3821"/>
      <c r="L31" s="3821"/>
      <c r="M31" s="3821"/>
      <c r="N31" s="3821"/>
      <c r="O31" s="3822"/>
      <c r="P31" s="3465"/>
      <c r="Q31" s="3486"/>
      <c r="R31" s="3486"/>
      <c r="S31" s="3486"/>
      <c r="T31" s="3799"/>
      <c r="V31" s="1008"/>
      <c r="W31" s="1008"/>
      <c r="X31" s="1008"/>
      <c r="Y31" s="1008"/>
      <c r="Z31" s="1008"/>
      <c r="AA31" s="1008"/>
      <c r="AD31" s="1008"/>
      <c r="AE31" s="8"/>
      <c r="AF31" s="8"/>
      <c r="AG31" s="8"/>
      <c r="AH31" s="8"/>
      <c r="AI31" s="8"/>
      <c r="AJ31" s="8"/>
      <c r="AK31" s="8"/>
      <c r="AL31" s="8"/>
      <c r="AM31" s="8"/>
      <c r="AN31" s="8"/>
      <c r="AO31" s="8"/>
      <c r="AP31" s="8"/>
      <c r="AQ31" s="8"/>
      <c r="AR31" s="8"/>
    </row>
    <row r="32" spans="1:44" s="891" customFormat="1" ht="15" customHeight="1">
      <c r="A32" s="1008"/>
      <c r="B32" s="170"/>
      <c r="C32" s="3801"/>
      <c r="D32" s="3802"/>
      <c r="E32" s="165" t="s">
        <v>394</v>
      </c>
      <c r="F32" s="3821" t="s">
        <v>1596</v>
      </c>
      <c r="G32" s="3821"/>
      <c r="H32" s="3821"/>
      <c r="I32" s="3821"/>
      <c r="J32" s="3821"/>
      <c r="K32" s="3821"/>
      <c r="L32" s="3821"/>
      <c r="M32" s="3821"/>
      <c r="N32" s="3821"/>
      <c r="O32" s="3822"/>
      <c r="P32" s="3465"/>
      <c r="Q32" s="3486"/>
      <c r="R32" s="3486"/>
      <c r="S32" s="3486"/>
      <c r="T32" s="3799"/>
      <c r="V32" s="1008"/>
      <c r="W32" s="1008"/>
      <c r="X32" s="1008"/>
      <c r="Y32" s="1008"/>
      <c r="Z32" s="1008"/>
      <c r="AA32" s="1008"/>
      <c r="AD32" s="1008"/>
      <c r="AE32" s="8"/>
      <c r="AF32" s="8"/>
      <c r="AG32" s="8"/>
      <c r="AH32" s="8"/>
      <c r="AI32" s="8"/>
      <c r="AJ32" s="8"/>
      <c r="AK32" s="8"/>
      <c r="AL32" s="8"/>
      <c r="AM32" s="8"/>
      <c r="AN32" s="8"/>
      <c r="AO32" s="8"/>
      <c r="AP32" s="8"/>
      <c r="AQ32" s="8"/>
      <c r="AR32" s="8"/>
    </row>
    <row r="33" spans="1:44" s="891" customFormat="1" ht="15" customHeight="1">
      <c r="A33" s="1008"/>
      <c r="B33" s="170"/>
      <c r="C33" s="3801"/>
      <c r="D33" s="3802"/>
      <c r="E33" s="165" t="s">
        <v>1593</v>
      </c>
      <c r="F33" s="3821" t="s">
        <v>1597</v>
      </c>
      <c r="G33" s="3821"/>
      <c r="H33" s="3821"/>
      <c r="I33" s="3821"/>
      <c r="J33" s="3821"/>
      <c r="K33" s="3821"/>
      <c r="L33" s="3821"/>
      <c r="M33" s="3821"/>
      <c r="N33" s="3821"/>
      <c r="O33" s="3822"/>
      <c r="P33" s="3465"/>
      <c r="Q33" s="3486"/>
      <c r="R33" s="3486"/>
      <c r="S33" s="3486"/>
      <c r="T33" s="3799"/>
      <c r="V33" s="1008"/>
      <c r="W33" s="1008"/>
      <c r="X33" s="1008"/>
      <c r="Y33" s="1008"/>
      <c r="Z33" s="1008"/>
      <c r="AA33" s="1008"/>
      <c r="AD33" s="1008"/>
      <c r="AE33" s="8"/>
      <c r="AF33" s="8"/>
      <c r="AG33" s="8"/>
      <c r="AH33" s="8"/>
      <c r="AI33" s="8"/>
      <c r="AJ33" s="8"/>
      <c r="AK33" s="8"/>
      <c r="AL33" s="8"/>
      <c r="AM33" s="8"/>
      <c r="AN33" s="8"/>
      <c r="AO33" s="8"/>
      <c r="AP33" s="8"/>
      <c r="AQ33" s="8"/>
      <c r="AR33" s="8"/>
    </row>
    <row r="34" spans="1:44" s="891" customFormat="1" ht="15" customHeight="1">
      <c r="A34" s="1008"/>
      <c r="B34" s="170"/>
      <c r="C34" s="3801"/>
      <c r="D34" s="3802"/>
      <c r="E34" s="165" t="s">
        <v>1594</v>
      </c>
      <c r="F34" s="3821" t="s">
        <v>1598</v>
      </c>
      <c r="G34" s="3821"/>
      <c r="H34" s="3821"/>
      <c r="I34" s="3821"/>
      <c r="J34" s="3821"/>
      <c r="K34" s="3821"/>
      <c r="L34" s="3821"/>
      <c r="M34" s="3821"/>
      <c r="N34" s="3821"/>
      <c r="O34" s="3822"/>
      <c r="P34" s="3465"/>
      <c r="Q34" s="3486"/>
      <c r="R34" s="3486"/>
      <c r="S34" s="3486"/>
      <c r="T34" s="3799"/>
      <c r="V34" s="1008"/>
      <c r="W34" s="1008"/>
      <c r="X34" s="1008"/>
      <c r="Y34" s="1008"/>
      <c r="Z34" s="1008"/>
      <c r="AA34" s="1008"/>
      <c r="AD34" s="1008"/>
      <c r="AE34" s="8"/>
      <c r="AF34" s="8"/>
      <c r="AG34" s="8"/>
      <c r="AH34" s="8"/>
      <c r="AI34" s="8"/>
      <c r="AJ34" s="8"/>
      <c r="AK34" s="8"/>
      <c r="AL34" s="8"/>
      <c r="AM34" s="8"/>
      <c r="AN34" s="8"/>
      <c r="AO34" s="8"/>
      <c r="AP34" s="8"/>
      <c r="AQ34" s="8"/>
      <c r="AR34" s="8"/>
    </row>
    <row r="35" spans="1:44" s="891" customFormat="1" ht="15" customHeight="1">
      <c r="A35" s="1008"/>
      <c r="B35" s="170"/>
      <c r="C35" s="3801"/>
      <c r="D35" s="3802"/>
      <c r="E35" s="165" t="s">
        <v>1595</v>
      </c>
      <c r="F35" s="3821" t="s">
        <v>1599</v>
      </c>
      <c r="G35" s="3821"/>
      <c r="H35" s="3821"/>
      <c r="I35" s="3821"/>
      <c r="J35" s="3821"/>
      <c r="K35" s="3821"/>
      <c r="L35" s="3821"/>
      <c r="M35" s="3821"/>
      <c r="N35" s="3821"/>
      <c r="O35" s="3822"/>
      <c r="P35" s="3465"/>
      <c r="Q35" s="3486"/>
      <c r="R35" s="3486"/>
      <c r="S35" s="3486"/>
      <c r="T35" s="3799"/>
      <c r="V35" s="1008"/>
      <c r="W35" s="1008"/>
      <c r="X35" s="1008"/>
      <c r="Y35" s="1008"/>
      <c r="Z35" s="1008"/>
      <c r="AA35" s="1008"/>
      <c r="AD35" s="1008"/>
      <c r="AE35" s="8"/>
      <c r="AF35" s="8"/>
      <c r="AG35" s="8"/>
      <c r="AH35" s="8"/>
      <c r="AI35" s="8"/>
      <c r="AJ35" s="8"/>
      <c r="AK35" s="8"/>
      <c r="AL35" s="8"/>
      <c r="AM35" s="8"/>
      <c r="AN35" s="8"/>
      <c r="AO35" s="8"/>
      <c r="AP35" s="8"/>
      <c r="AQ35" s="8"/>
      <c r="AR35" s="8"/>
    </row>
    <row r="36" spans="1:44" s="891" customFormat="1" ht="15" customHeight="1">
      <c r="A36" s="1008"/>
      <c r="B36" s="170"/>
      <c r="C36" s="3801"/>
      <c r="D36" s="3802"/>
      <c r="E36" s="165" t="s">
        <v>1600</v>
      </c>
      <c r="F36" s="3821" t="s">
        <v>1604</v>
      </c>
      <c r="G36" s="3821"/>
      <c r="H36" s="3821"/>
      <c r="I36" s="3821"/>
      <c r="J36" s="3821"/>
      <c r="K36" s="3821"/>
      <c r="L36" s="3821"/>
      <c r="M36" s="3821"/>
      <c r="N36" s="3821"/>
      <c r="O36" s="3822"/>
      <c r="P36" s="3465"/>
      <c r="Q36" s="3486"/>
      <c r="R36" s="3486"/>
      <c r="S36" s="3486"/>
      <c r="T36" s="3799"/>
      <c r="V36" s="1008"/>
      <c r="W36" s="1008"/>
      <c r="X36" s="1008"/>
      <c r="Y36" s="1008"/>
      <c r="Z36" s="1008"/>
      <c r="AA36" s="1008"/>
      <c r="AD36" s="1008"/>
      <c r="AE36" s="8"/>
      <c r="AF36" s="8"/>
      <c r="AG36" s="8"/>
      <c r="AH36" s="8"/>
      <c r="AI36" s="8"/>
      <c r="AJ36" s="8"/>
      <c r="AK36" s="8"/>
      <c r="AL36" s="8"/>
      <c r="AM36" s="8"/>
      <c r="AN36" s="8"/>
      <c r="AO36" s="8"/>
      <c r="AP36" s="8"/>
      <c r="AQ36" s="8"/>
      <c r="AR36" s="8"/>
    </row>
    <row r="37" spans="1:44" s="891" customFormat="1" ht="15" customHeight="1">
      <c r="A37" s="1008"/>
      <c r="B37" s="170"/>
      <c r="C37" s="3801"/>
      <c r="D37" s="3802"/>
      <c r="E37" s="165" t="s">
        <v>1601</v>
      </c>
      <c r="F37" s="3821" t="s">
        <v>1605</v>
      </c>
      <c r="G37" s="3821"/>
      <c r="H37" s="3821"/>
      <c r="I37" s="3821"/>
      <c r="J37" s="3821"/>
      <c r="K37" s="3821"/>
      <c r="L37" s="3821"/>
      <c r="M37" s="3821"/>
      <c r="N37" s="3821"/>
      <c r="O37" s="3822"/>
      <c r="P37" s="3465"/>
      <c r="Q37" s="3486"/>
      <c r="R37" s="3486"/>
      <c r="S37" s="3486"/>
      <c r="T37" s="3799"/>
      <c r="V37" s="1008"/>
      <c r="W37" s="1008"/>
      <c r="X37" s="1008"/>
      <c r="Y37" s="1008"/>
      <c r="Z37" s="1008"/>
      <c r="AA37" s="1008"/>
      <c r="AD37" s="1008"/>
      <c r="AE37" s="8"/>
      <c r="AF37" s="8"/>
      <c r="AG37" s="8"/>
      <c r="AH37" s="8"/>
      <c r="AI37" s="8"/>
      <c r="AJ37" s="8"/>
      <c r="AK37" s="8"/>
      <c r="AL37" s="8"/>
      <c r="AM37" s="8"/>
      <c r="AN37" s="8"/>
      <c r="AO37" s="8"/>
      <c r="AP37" s="8"/>
      <c r="AQ37" s="8"/>
      <c r="AR37" s="8"/>
    </row>
    <row r="38" spans="1:44" s="891" customFormat="1" ht="15" customHeight="1">
      <c r="A38" s="1008"/>
      <c r="B38" s="170"/>
      <c r="C38" s="3801"/>
      <c r="D38" s="3802"/>
      <c r="E38" s="165" t="s">
        <v>1602</v>
      </c>
      <c r="F38" s="3821" t="s">
        <v>1606</v>
      </c>
      <c r="G38" s="3821"/>
      <c r="H38" s="3821"/>
      <c r="I38" s="3821"/>
      <c r="J38" s="3821"/>
      <c r="K38" s="3821"/>
      <c r="L38" s="3821"/>
      <c r="M38" s="3821"/>
      <c r="N38" s="3821"/>
      <c r="O38" s="3822"/>
      <c r="P38" s="3465"/>
      <c r="Q38" s="3486"/>
      <c r="R38" s="3486"/>
      <c r="S38" s="3486"/>
      <c r="T38" s="3799"/>
      <c r="V38" s="1008"/>
      <c r="W38" s="1008"/>
      <c r="X38" s="1008"/>
      <c r="Y38" s="1008"/>
      <c r="Z38" s="1008"/>
      <c r="AA38" s="1008"/>
      <c r="AD38" s="1008"/>
      <c r="AE38" s="8"/>
      <c r="AF38" s="8"/>
      <c r="AG38" s="8"/>
      <c r="AH38" s="8"/>
      <c r="AI38" s="8"/>
      <c r="AJ38" s="8"/>
      <c r="AK38" s="8"/>
      <c r="AL38" s="8"/>
      <c r="AM38" s="8"/>
      <c r="AN38" s="8"/>
      <c r="AO38" s="8"/>
      <c r="AP38" s="8"/>
      <c r="AQ38" s="8"/>
      <c r="AR38" s="8"/>
    </row>
    <row r="39" spans="1:44" s="891" customFormat="1" ht="15" customHeight="1">
      <c r="A39" s="1008"/>
      <c r="B39" s="170"/>
      <c r="C39" s="3801"/>
      <c r="D39" s="3802"/>
      <c r="E39" s="164" t="s">
        <v>1603</v>
      </c>
      <c r="F39" s="3798" t="s">
        <v>1607</v>
      </c>
      <c r="G39" s="3798"/>
      <c r="H39" s="3798"/>
      <c r="I39" s="3798"/>
      <c r="J39" s="3798"/>
      <c r="K39" s="3798"/>
      <c r="L39" s="3798"/>
      <c r="M39" s="3798"/>
      <c r="N39" s="3798"/>
      <c r="O39" s="3823"/>
      <c r="P39" s="3703"/>
      <c r="Q39" s="3635"/>
      <c r="R39" s="3635"/>
      <c r="S39" s="3635"/>
      <c r="T39" s="3800"/>
      <c r="V39" s="1008"/>
      <c r="W39" s="1008"/>
      <c r="X39" s="1008"/>
      <c r="Y39" s="1008"/>
      <c r="Z39" s="1008"/>
      <c r="AA39" s="1008"/>
      <c r="AD39" s="1008"/>
      <c r="AE39" s="8"/>
      <c r="AF39" s="8"/>
      <c r="AG39" s="8"/>
      <c r="AH39" s="8"/>
      <c r="AI39" s="8"/>
      <c r="AJ39" s="8"/>
      <c r="AK39" s="8"/>
      <c r="AL39" s="8"/>
      <c r="AM39" s="8"/>
      <c r="AN39" s="8"/>
      <c r="AO39" s="8"/>
      <c r="AP39" s="8"/>
      <c r="AQ39" s="8"/>
      <c r="AR39" s="8"/>
    </row>
    <row r="40" spans="1:44" ht="45" customHeight="1">
      <c r="C40" s="3803" t="s">
        <v>348</v>
      </c>
      <c r="D40" s="3804"/>
      <c r="E40" s="1067"/>
      <c r="F40" s="3805" t="s">
        <v>1609</v>
      </c>
      <c r="G40" s="3805"/>
      <c r="H40" s="3805"/>
      <c r="I40" s="3805"/>
      <c r="J40" s="3805"/>
      <c r="K40" s="3805"/>
      <c r="L40" s="3805"/>
      <c r="M40" s="3805"/>
      <c r="N40" s="3805"/>
      <c r="O40" s="1331" t="s">
        <v>3</v>
      </c>
      <c r="P40" s="1373" t="str">
        <f>score701.4.3.2</f>
        <v>Not Met</v>
      </c>
      <c r="Q40" s="3807"/>
      <c r="R40" s="3807"/>
      <c r="S40" s="3807"/>
      <c r="T40" s="1371"/>
    </row>
    <row r="41" spans="1:44" ht="208.5" customHeight="1">
      <c r="C41" s="1069"/>
      <c r="D41" s="1026">
        <v>1</v>
      </c>
      <c r="E41" s="165"/>
      <c r="F41" s="3719" t="s">
        <v>3025</v>
      </c>
      <c r="G41" s="3719"/>
      <c r="H41" s="3719"/>
      <c r="I41" s="3719"/>
      <c r="J41" s="3719"/>
      <c r="K41" s="3719"/>
      <c r="L41" s="3719"/>
      <c r="M41" s="3719"/>
      <c r="N41" s="3719"/>
      <c r="O41" s="1324" t="s">
        <v>2063</v>
      </c>
      <c r="P41" s="652"/>
      <c r="Q41" s="3806"/>
      <c r="R41" s="3806"/>
      <c r="S41" s="3806"/>
      <c r="T41" s="1333" t="s">
        <v>20</v>
      </c>
    </row>
    <row r="42" spans="1:44" s="1008" customFormat="1" ht="30" customHeight="1">
      <c r="B42" s="170"/>
      <c r="C42" s="1069"/>
      <c r="D42" s="1026"/>
      <c r="E42" s="165"/>
      <c r="F42" s="3813" t="str">
        <f>IF(choice701.4.3.2=Formulas!I60,"Enter the expected ACH50 in the yellow cell to the right. A number greater than zero and less than 7 is required to meet the mandatory conditions of this practice.","")</f>
        <v/>
      </c>
      <c r="G42" s="3813"/>
      <c r="H42" s="3813"/>
      <c r="I42" s="3813"/>
      <c r="J42" s="3813"/>
      <c r="K42" s="3813"/>
      <c r="L42" s="3813"/>
      <c r="M42" s="3813"/>
      <c r="N42" s="3813"/>
      <c r="O42" s="3814"/>
      <c r="P42" s="1820"/>
      <c r="Q42" s="3101"/>
      <c r="R42" s="3101"/>
      <c r="S42" s="3101"/>
      <c r="T42" s="1070"/>
      <c r="AE42" s="8"/>
      <c r="AF42" s="8"/>
      <c r="AG42" s="8"/>
      <c r="AH42" s="8"/>
      <c r="AI42" s="8"/>
      <c r="AJ42" s="8"/>
      <c r="AK42" s="8"/>
      <c r="AL42" s="8"/>
      <c r="AM42" s="8"/>
      <c r="AN42" s="8"/>
      <c r="AO42" s="8"/>
      <c r="AP42" s="8"/>
      <c r="AQ42" s="8"/>
      <c r="AR42" s="8"/>
    </row>
    <row r="43" spans="1:44" ht="45" customHeight="1" thickBot="1">
      <c r="C43" s="1069"/>
      <c r="D43" s="1374">
        <v>2</v>
      </c>
      <c r="E43" s="1375"/>
      <c r="F43" s="3812" t="s">
        <v>1634</v>
      </c>
      <c r="G43" s="3812"/>
      <c r="H43" s="3812"/>
      <c r="I43" s="3812"/>
      <c r="J43" s="3812"/>
      <c r="K43" s="3812"/>
      <c r="L43" s="3812"/>
      <c r="M43" s="3812"/>
      <c r="N43" s="3812"/>
      <c r="O43" s="1376"/>
      <c r="P43" s="1377"/>
      <c r="Q43" s="3808"/>
      <c r="R43" s="3808"/>
      <c r="S43" s="3808"/>
      <c r="T43" s="1378" t="s">
        <v>20</v>
      </c>
    </row>
    <row r="44" spans="1:44" s="891" customFormat="1" ht="90" customHeight="1">
      <c r="A44" s="1008"/>
      <c r="B44" s="170"/>
      <c r="C44" s="1069"/>
      <c r="D44" s="1026"/>
      <c r="E44" s="1071"/>
      <c r="F44" s="3809" t="s">
        <v>1610</v>
      </c>
      <c r="G44" s="3810"/>
      <c r="H44" s="3810"/>
      <c r="I44" s="3810" t="s">
        <v>1611</v>
      </c>
      <c r="J44" s="3810"/>
      <c r="K44" s="3810"/>
      <c r="L44" s="3810"/>
      <c r="M44" s="3810"/>
      <c r="N44" s="3811"/>
      <c r="O44" s="1072"/>
      <c r="P44" s="695"/>
      <c r="Q44" s="3587"/>
      <c r="R44" s="3587"/>
      <c r="S44" s="3792"/>
      <c r="T44" s="1043"/>
      <c r="V44" s="1008"/>
      <c r="W44" s="1008"/>
      <c r="X44" s="1008"/>
      <c r="Y44" s="1008"/>
      <c r="Z44" s="1008"/>
      <c r="AA44" s="1008"/>
      <c r="AD44" s="1008"/>
      <c r="AE44" s="8"/>
      <c r="AF44" s="8"/>
      <c r="AG44" s="8"/>
      <c r="AH44" s="8"/>
      <c r="AI44" s="8"/>
      <c r="AJ44" s="8"/>
      <c r="AK44" s="8"/>
      <c r="AL44" s="8"/>
      <c r="AM44" s="8"/>
      <c r="AN44" s="8"/>
      <c r="AO44" s="8"/>
      <c r="AP44" s="8"/>
      <c r="AQ44" s="8"/>
      <c r="AR44" s="8"/>
    </row>
    <row r="45" spans="1:44" s="891" customFormat="1" ht="60" customHeight="1">
      <c r="A45" s="1008"/>
      <c r="B45" s="170"/>
      <c r="C45" s="1069"/>
      <c r="D45" s="1026"/>
      <c r="E45" s="1071"/>
      <c r="F45" s="3789" t="s">
        <v>1612</v>
      </c>
      <c r="G45" s="3790"/>
      <c r="H45" s="3790"/>
      <c r="I45" s="3790" t="s">
        <v>1656</v>
      </c>
      <c r="J45" s="3790"/>
      <c r="K45" s="3790"/>
      <c r="L45" s="3790"/>
      <c r="M45" s="3790"/>
      <c r="N45" s="3791"/>
      <c r="O45" s="1072"/>
      <c r="P45" s="695"/>
      <c r="Q45" s="3587"/>
      <c r="R45" s="3587"/>
      <c r="S45" s="3792"/>
      <c r="T45" s="1043"/>
      <c r="V45" s="1008"/>
      <c r="W45" s="1008"/>
      <c r="X45" s="1008"/>
      <c r="Y45" s="1008"/>
      <c r="Z45" s="1008"/>
      <c r="AA45" s="1008"/>
      <c r="AD45" s="1008"/>
      <c r="AE45" s="8"/>
      <c r="AF45" s="8"/>
      <c r="AG45" s="8"/>
      <c r="AH45" s="8"/>
      <c r="AI45" s="8"/>
      <c r="AJ45" s="8"/>
      <c r="AK45" s="8"/>
      <c r="AL45" s="8"/>
      <c r="AM45" s="8"/>
      <c r="AN45" s="8"/>
      <c r="AO45" s="8"/>
      <c r="AP45" s="8"/>
      <c r="AQ45" s="8"/>
      <c r="AR45" s="8"/>
    </row>
    <row r="46" spans="1:44" s="891" customFormat="1" ht="30" customHeight="1">
      <c r="A46" s="1008"/>
      <c r="B46" s="170"/>
      <c r="C46" s="1069"/>
      <c r="D46" s="1026"/>
      <c r="E46" s="1071"/>
      <c r="F46" s="3789" t="s">
        <v>1657</v>
      </c>
      <c r="G46" s="3790"/>
      <c r="H46" s="3790"/>
      <c r="I46" s="3790" t="s">
        <v>1613</v>
      </c>
      <c r="J46" s="3790"/>
      <c r="K46" s="3790"/>
      <c r="L46" s="3790"/>
      <c r="M46" s="3790"/>
      <c r="N46" s="3791"/>
      <c r="O46" s="1072"/>
      <c r="P46" s="695"/>
      <c r="Q46" s="3587"/>
      <c r="R46" s="3587"/>
      <c r="S46" s="3792"/>
      <c r="T46" s="1043"/>
      <c r="V46" s="1008"/>
      <c r="W46" s="1008"/>
      <c r="X46" s="1008"/>
      <c r="Y46" s="1008"/>
      <c r="Z46" s="1008"/>
      <c r="AA46" s="1008"/>
      <c r="AD46" s="1008"/>
      <c r="AE46" s="8"/>
      <c r="AF46" s="8"/>
      <c r="AG46" s="8"/>
      <c r="AH46" s="8"/>
      <c r="AI46" s="8"/>
      <c r="AJ46" s="8"/>
      <c r="AK46" s="8"/>
      <c r="AL46" s="8"/>
      <c r="AM46" s="8"/>
      <c r="AN46" s="8"/>
      <c r="AO46" s="8"/>
      <c r="AP46" s="8"/>
      <c r="AQ46" s="8"/>
      <c r="AR46" s="8"/>
    </row>
    <row r="47" spans="1:44" s="891" customFormat="1" ht="15" customHeight="1">
      <c r="A47" s="1008"/>
      <c r="B47" s="170"/>
      <c r="C47" s="1069"/>
      <c r="D47" s="1026"/>
      <c r="E47" s="1071"/>
      <c r="F47" s="3789" t="s">
        <v>1614</v>
      </c>
      <c r="G47" s="3790"/>
      <c r="H47" s="3790"/>
      <c r="I47" s="3790" t="s">
        <v>1615</v>
      </c>
      <c r="J47" s="3790"/>
      <c r="K47" s="3790"/>
      <c r="L47" s="3790"/>
      <c r="M47" s="3790"/>
      <c r="N47" s="3791"/>
      <c r="O47" s="1072"/>
      <c r="P47" s="695"/>
      <c r="Q47" s="3587"/>
      <c r="R47" s="3587"/>
      <c r="S47" s="3792"/>
      <c r="T47" s="1043"/>
      <c r="V47" s="1008"/>
      <c r="W47" s="1008"/>
      <c r="X47" s="1008"/>
      <c r="Y47" s="1008"/>
      <c r="Z47" s="1008"/>
      <c r="AA47" s="1008"/>
      <c r="AD47" s="1008"/>
      <c r="AE47" s="8"/>
      <c r="AF47" s="8"/>
      <c r="AG47" s="8"/>
      <c r="AH47" s="8"/>
      <c r="AI47" s="8"/>
      <c r="AJ47" s="8"/>
      <c r="AK47" s="8"/>
      <c r="AL47" s="8"/>
      <c r="AM47" s="8"/>
      <c r="AN47" s="8"/>
      <c r="AO47" s="8"/>
      <c r="AP47" s="8"/>
      <c r="AQ47" s="8"/>
      <c r="AR47" s="8"/>
    </row>
    <row r="48" spans="1:44" s="891" customFormat="1" ht="15" customHeight="1">
      <c r="A48" s="1008"/>
      <c r="B48" s="170"/>
      <c r="C48" s="1069"/>
      <c r="D48" s="1026"/>
      <c r="E48" s="1071"/>
      <c r="F48" s="3789" t="s">
        <v>1616</v>
      </c>
      <c r="G48" s="3790"/>
      <c r="H48" s="3790"/>
      <c r="I48" s="3790" t="s">
        <v>1617</v>
      </c>
      <c r="J48" s="3790"/>
      <c r="K48" s="3790"/>
      <c r="L48" s="3790"/>
      <c r="M48" s="3790"/>
      <c r="N48" s="3791"/>
      <c r="O48" s="1072"/>
      <c r="P48" s="695"/>
      <c r="Q48" s="3587"/>
      <c r="R48" s="3587"/>
      <c r="S48" s="3792"/>
      <c r="T48" s="1043"/>
      <c r="V48" s="1008"/>
      <c r="W48" s="1008"/>
      <c r="X48" s="1008"/>
      <c r="Y48" s="1008"/>
      <c r="Z48" s="1008"/>
      <c r="AA48" s="1008"/>
      <c r="AD48" s="1008"/>
      <c r="AE48" s="8"/>
      <c r="AF48" s="8"/>
      <c r="AG48" s="8"/>
      <c r="AH48" s="8"/>
      <c r="AI48" s="8"/>
      <c r="AJ48" s="8"/>
      <c r="AK48" s="8"/>
      <c r="AL48" s="8"/>
      <c r="AM48" s="8"/>
      <c r="AN48" s="8"/>
      <c r="AO48" s="8"/>
      <c r="AP48" s="8"/>
      <c r="AQ48" s="8"/>
      <c r="AR48" s="8"/>
    </row>
    <row r="49" spans="1:44" s="891" customFormat="1" ht="45" customHeight="1">
      <c r="A49" s="1008"/>
      <c r="B49" s="170"/>
      <c r="C49" s="1069"/>
      <c r="D49" s="1026"/>
      <c r="E49" s="1071"/>
      <c r="F49" s="3789" t="s">
        <v>1618</v>
      </c>
      <c r="G49" s="3790"/>
      <c r="H49" s="3790"/>
      <c r="I49" s="3790" t="s">
        <v>1619</v>
      </c>
      <c r="J49" s="3790"/>
      <c r="K49" s="3790"/>
      <c r="L49" s="3790"/>
      <c r="M49" s="3790"/>
      <c r="N49" s="3791"/>
      <c r="O49" s="1072"/>
      <c r="P49" s="695"/>
      <c r="Q49" s="3587"/>
      <c r="R49" s="3587"/>
      <c r="S49" s="3792"/>
      <c r="T49" s="1043"/>
      <c r="V49" s="1008"/>
      <c r="W49" s="1008"/>
      <c r="X49" s="1008"/>
      <c r="Y49" s="1008"/>
      <c r="Z49" s="1008"/>
      <c r="AA49" s="1008"/>
      <c r="AD49" s="1008"/>
      <c r="AE49" s="8"/>
      <c r="AF49" s="8"/>
      <c r="AG49" s="8"/>
      <c r="AH49" s="8"/>
      <c r="AI49" s="8"/>
      <c r="AJ49" s="8"/>
      <c r="AK49" s="8"/>
      <c r="AL49" s="8"/>
      <c r="AM49" s="8"/>
      <c r="AN49" s="8"/>
      <c r="AO49" s="8"/>
      <c r="AP49" s="8"/>
      <c r="AQ49" s="8"/>
      <c r="AR49" s="8"/>
    </row>
    <row r="50" spans="1:44" s="891" customFormat="1" ht="45" customHeight="1">
      <c r="A50" s="1008"/>
      <c r="B50" s="170"/>
      <c r="C50" s="1069"/>
      <c r="D50" s="1026"/>
      <c r="E50" s="1071"/>
      <c r="F50" s="3789" t="s">
        <v>1620</v>
      </c>
      <c r="G50" s="3790"/>
      <c r="H50" s="3790"/>
      <c r="I50" s="3790" t="s">
        <v>1658</v>
      </c>
      <c r="J50" s="3790"/>
      <c r="K50" s="3790"/>
      <c r="L50" s="3790"/>
      <c r="M50" s="3790"/>
      <c r="N50" s="3791"/>
      <c r="O50" s="1072"/>
      <c r="P50" s="695"/>
      <c r="Q50" s="3587"/>
      <c r="R50" s="3587"/>
      <c r="S50" s="3792"/>
      <c r="T50" s="1043"/>
      <c r="V50" s="1008"/>
      <c r="W50" s="1008"/>
      <c r="X50" s="1008"/>
      <c r="Y50" s="1008"/>
      <c r="Z50" s="1008"/>
      <c r="AA50" s="1008"/>
      <c r="AD50" s="1008"/>
      <c r="AE50" s="8"/>
      <c r="AF50" s="8"/>
      <c r="AG50" s="8"/>
      <c r="AH50" s="8"/>
      <c r="AI50" s="8"/>
      <c r="AJ50" s="8"/>
      <c r="AK50" s="8"/>
      <c r="AL50" s="8"/>
      <c r="AM50" s="8"/>
      <c r="AN50" s="8"/>
      <c r="AO50" s="8"/>
      <c r="AP50" s="8"/>
      <c r="AQ50" s="8"/>
      <c r="AR50" s="8"/>
    </row>
    <row r="51" spans="1:44" s="891" customFormat="1" ht="30" customHeight="1">
      <c r="A51" s="1008"/>
      <c r="B51" s="170"/>
      <c r="C51" s="1069"/>
      <c r="D51" s="1026"/>
      <c r="E51" s="1071"/>
      <c r="F51" s="3789" t="s">
        <v>1621</v>
      </c>
      <c r="G51" s="3790"/>
      <c r="H51" s="3790"/>
      <c r="I51" s="3790" t="s">
        <v>1659</v>
      </c>
      <c r="J51" s="3790"/>
      <c r="K51" s="3790"/>
      <c r="L51" s="3790"/>
      <c r="M51" s="3790"/>
      <c r="N51" s="3791"/>
      <c r="O51" s="1072"/>
      <c r="P51" s="695"/>
      <c r="Q51" s="3587"/>
      <c r="R51" s="3587"/>
      <c r="S51" s="3792"/>
      <c r="T51" s="1043"/>
      <c r="V51" s="1008"/>
      <c r="W51" s="1008"/>
      <c r="X51" s="1008"/>
      <c r="Y51" s="1008"/>
      <c r="Z51" s="1008"/>
      <c r="AA51" s="1008"/>
      <c r="AD51" s="1008"/>
      <c r="AE51" s="8"/>
      <c r="AF51" s="8"/>
      <c r="AG51" s="8"/>
      <c r="AH51" s="8"/>
      <c r="AI51" s="8"/>
      <c r="AJ51" s="8"/>
      <c r="AK51" s="8"/>
      <c r="AL51" s="8"/>
      <c r="AM51" s="8"/>
      <c r="AN51" s="8"/>
      <c r="AO51" s="8"/>
      <c r="AP51" s="8"/>
      <c r="AQ51" s="8"/>
      <c r="AR51" s="8"/>
    </row>
    <row r="52" spans="1:44" s="891" customFormat="1" ht="30" customHeight="1">
      <c r="A52" s="1008"/>
      <c r="B52" s="170"/>
      <c r="C52" s="1069"/>
      <c r="D52" s="1026"/>
      <c r="E52" s="1071"/>
      <c r="F52" s="3789" t="s">
        <v>1622</v>
      </c>
      <c r="G52" s="3790"/>
      <c r="H52" s="3790"/>
      <c r="I52" s="3790" t="s">
        <v>1623</v>
      </c>
      <c r="J52" s="3790"/>
      <c r="K52" s="3790"/>
      <c r="L52" s="3790"/>
      <c r="M52" s="3790"/>
      <c r="N52" s="3791"/>
      <c r="O52" s="1072"/>
      <c r="P52" s="695"/>
      <c r="Q52" s="3587"/>
      <c r="R52" s="3587"/>
      <c r="S52" s="3792"/>
      <c r="T52" s="1043"/>
      <c r="V52" s="1008"/>
      <c r="W52" s="1008"/>
      <c r="X52" s="1008"/>
      <c r="Y52" s="1008"/>
      <c r="Z52" s="1008"/>
      <c r="AA52" s="1008"/>
      <c r="AD52" s="1008"/>
      <c r="AE52" s="8"/>
      <c r="AF52" s="8"/>
      <c r="AG52" s="8"/>
      <c r="AH52" s="8"/>
      <c r="AI52" s="8"/>
      <c r="AJ52" s="8"/>
      <c r="AK52" s="8"/>
      <c r="AL52" s="8"/>
      <c r="AM52" s="8"/>
      <c r="AN52" s="8"/>
      <c r="AO52" s="8"/>
      <c r="AP52" s="8"/>
      <c r="AQ52" s="8"/>
      <c r="AR52" s="8"/>
    </row>
    <row r="53" spans="1:44" s="891" customFormat="1" ht="16.5" customHeight="1">
      <c r="A53" s="1008"/>
      <c r="B53" s="170"/>
      <c r="C53" s="1069"/>
      <c r="D53" s="1026"/>
      <c r="E53" s="1071"/>
      <c r="F53" s="3789" t="s">
        <v>1624</v>
      </c>
      <c r="G53" s="3790"/>
      <c r="H53" s="3790"/>
      <c r="I53" s="3790" t="s">
        <v>1625</v>
      </c>
      <c r="J53" s="3790"/>
      <c r="K53" s="3790"/>
      <c r="L53" s="3790"/>
      <c r="M53" s="3790"/>
      <c r="N53" s="3791"/>
      <c r="O53" s="1072"/>
      <c r="P53" s="695"/>
      <c r="Q53" s="3587"/>
      <c r="R53" s="3587"/>
      <c r="S53" s="3792"/>
      <c r="T53" s="1043"/>
      <c r="V53" s="1008"/>
      <c r="W53" s="1008"/>
      <c r="X53" s="1008"/>
      <c r="Y53" s="1008"/>
      <c r="Z53" s="1008"/>
      <c r="AA53" s="1008"/>
      <c r="AD53" s="1008"/>
      <c r="AE53" s="8"/>
      <c r="AF53" s="8"/>
      <c r="AG53" s="8"/>
      <c r="AH53" s="8"/>
      <c r="AI53" s="8"/>
      <c r="AJ53" s="8"/>
      <c r="AK53" s="8"/>
      <c r="AL53" s="8"/>
      <c r="AM53" s="8"/>
      <c r="AN53" s="8"/>
      <c r="AO53" s="8"/>
      <c r="AP53" s="8"/>
      <c r="AQ53" s="8"/>
      <c r="AR53" s="8"/>
    </row>
    <row r="54" spans="1:44" s="891" customFormat="1" ht="30" customHeight="1">
      <c r="A54" s="1008"/>
      <c r="B54" s="170"/>
      <c r="C54" s="1069"/>
      <c r="D54" s="1026"/>
      <c r="E54" s="1071"/>
      <c r="F54" s="3789" t="s">
        <v>1626</v>
      </c>
      <c r="G54" s="3790"/>
      <c r="H54" s="3790"/>
      <c r="I54" s="3790" t="s">
        <v>1660</v>
      </c>
      <c r="J54" s="3790"/>
      <c r="K54" s="3790"/>
      <c r="L54" s="3790"/>
      <c r="M54" s="3790"/>
      <c r="N54" s="3791"/>
      <c r="O54" s="1072"/>
      <c r="P54" s="695"/>
      <c r="Q54" s="3587"/>
      <c r="R54" s="3587"/>
      <c r="S54" s="3792"/>
      <c r="T54" s="1043"/>
      <c r="V54" s="1008"/>
      <c r="W54" s="1008"/>
      <c r="X54" s="1008"/>
      <c r="Y54" s="1008"/>
      <c r="Z54" s="1008"/>
      <c r="AA54" s="1008"/>
      <c r="AD54" s="1008"/>
      <c r="AE54" s="8"/>
      <c r="AF54" s="8"/>
      <c r="AG54" s="8"/>
      <c r="AH54" s="8"/>
      <c r="AI54" s="8"/>
      <c r="AJ54" s="8"/>
      <c r="AK54" s="8"/>
      <c r="AL54" s="8"/>
      <c r="AM54" s="8"/>
      <c r="AN54" s="8"/>
      <c r="AO54" s="8"/>
      <c r="AP54" s="8"/>
      <c r="AQ54" s="8"/>
      <c r="AR54" s="8"/>
    </row>
    <row r="55" spans="1:44" s="891" customFormat="1" ht="45" customHeight="1">
      <c r="A55" s="1008"/>
      <c r="B55" s="170"/>
      <c r="C55" s="1069"/>
      <c r="D55" s="1026"/>
      <c r="E55" s="1071"/>
      <c r="F55" s="3789" t="s">
        <v>1627</v>
      </c>
      <c r="G55" s="3790"/>
      <c r="H55" s="3790"/>
      <c r="I55" s="3790" t="s">
        <v>1661</v>
      </c>
      <c r="J55" s="3790"/>
      <c r="K55" s="3790"/>
      <c r="L55" s="3790"/>
      <c r="M55" s="3790"/>
      <c r="N55" s="3791"/>
      <c r="O55" s="1072"/>
      <c r="P55" s="695"/>
      <c r="Q55" s="3587"/>
      <c r="R55" s="3587"/>
      <c r="S55" s="3792"/>
      <c r="T55" s="1043"/>
      <c r="V55" s="1008"/>
      <c r="W55" s="1008"/>
      <c r="X55" s="1008"/>
      <c r="Y55" s="1008"/>
      <c r="Z55" s="1008"/>
      <c r="AA55" s="1008"/>
      <c r="AD55" s="1008"/>
      <c r="AE55" s="8"/>
      <c r="AF55" s="8"/>
      <c r="AG55" s="8"/>
      <c r="AH55" s="8"/>
      <c r="AI55" s="8"/>
      <c r="AJ55" s="8"/>
      <c r="AK55" s="8"/>
      <c r="AL55" s="8"/>
      <c r="AM55" s="8"/>
      <c r="AN55" s="8"/>
      <c r="AO55" s="8"/>
      <c r="AP55" s="8"/>
      <c r="AQ55" s="8"/>
      <c r="AR55" s="8"/>
    </row>
    <row r="56" spans="1:44" s="891" customFormat="1" ht="30" customHeight="1">
      <c r="A56" s="1008"/>
      <c r="B56" s="170"/>
      <c r="C56" s="1069"/>
      <c r="D56" s="1026"/>
      <c r="E56" s="1071"/>
      <c r="F56" s="3789" t="s">
        <v>1662</v>
      </c>
      <c r="G56" s="3790"/>
      <c r="H56" s="3790"/>
      <c r="I56" s="3790" t="s">
        <v>1663</v>
      </c>
      <c r="J56" s="3790"/>
      <c r="K56" s="3790"/>
      <c r="L56" s="3790"/>
      <c r="M56" s="3790"/>
      <c r="N56" s="3791"/>
      <c r="O56" s="1072"/>
      <c r="P56" s="695"/>
      <c r="Q56" s="3587"/>
      <c r="R56" s="3587"/>
      <c r="S56" s="3792"/>
      <c r="T56" s="1043"/>
      <c r="V56" s="1008"/>
      <c r="W56" s="1008"/>
      <c r="X56" s="1008"/>
      <c r="Y56" s="1008"/>
      <c r="Z56" s="1008"/>
      <c r="AA56" s="1008"/>
      <c r="AD56" s="1008"/>
      <c r="AE56" s="8"/>
      <c r="AF56" s="8"/>
      <c r="AG56" s="8"/>
      <c r="AH56" s="8"/>
      <c r="AI56" s="8"/>
      <c r="AJ56" s="8"/>
      <c r="AK56" s="8"/>
      <c r="AL56" s="8"/>
      <c r="AM56" s="8"/>
      <c r="AN56" s="8"/>
      <c r="AO56" s="8"/>
      <c r="AP56" s="8"/>
      <c r="AQ56" s="8"/>
      <c r="AR56" s="8"/>
    </row>
    <row r="57" spans="1:44" s="891" customFormat="1" ht="30" customHeight="1">
      <c r="A57" s="1008"/>
      <c r="B57" s="170"/>
      <c r="C57" s="1069"/>
      <c r="D57" s="1026"/>
      <c r="E57" s="1071"/>
      <c r="F57" s="3789" t="s">
        <v>1664</v>
      </c>
      <c r="G57" s="3790"/>
      <c r="H57" s="3790"/>
      <c r="I57" s="3790" t="s">
        <v>1628</v>
      </c>
      <c r="J57" s="3790"/>
      <c r="K57" s="3790"/>
      <c r="L57" s="3790"/>
      <c r="M57" s="3790"/>
      <c r="N57" s="3791"/>
      <c r="O57" s="1072"/>
      <c r="P57" s="695"/>
      <c r="Q57" s="3587"/>
      <c r="R57" s="3587"/>
      <c r="S57" s="3792"/>
      <c r="T57" s="1043"/>
      <c r="V57" s="1008"/>
      <c r="W57" s="1008"/>
      <c r="X57" s="1008"/>
      <c r="Y57" s="1008"/>
      <c r="Z57" s="1008"/>
      <c r="AA57" s="1008"/>
      <c r="AD57" s="1008"/>
      <c r="AE57" s="8"/>
      <c r="AF57" s="8"/>
      <c r="AG57" s="8"/>
      <c r="AH57" s="8"/>
      <c r="AI57" s="8"/>
      <c r="AJ57" s="8"/>
      <c r="AK57" s="8"/>
      <c r="AL57" s="8"/>
      <c r="AM57" s="8"/>
      <c r="AN57" s="8"/>
      <c r="AO57" s="8"/>
      <c r="AP57" s="8"/>
      <c r="AQ57" s="8"/>
      <c r="AR57" s="8"/>
    </row>
    <row r="58" spans="1:44" s="891" customFormat="1" ht="30" customHeight="1">
      <c r="A58" s="1008"/>
      <c r="B58" s="170"/>
      <c r="C58" s="1069"/>
      <c r="D58" s="1026"/>
      <c r="E58" s="1071"/>
      <c r="F58" s="3789" t="s">
        <v>1629</v>
      </c>
      <c r="G58" s="3790"/>
      <c r="H58" s="3790"/>
      <c r="I58" s="3790" t="s">
        <v>1665</v>
      </c>
      <c r="J58" s="3790"/>
      <c r="K58" s="3790"/>
      <c r="L58" s="3790"/>
      <c r="M58" s="3790"/>
      <c r="N58" s="3791"/>
      <c r="O58" s="1072"/>
      <c r="P58" s="695"/>
      <c r="Q58" s="3587"/>
      <c r="R58" s="3587"/>
      <c r="S58" s="3792"/>
      <c r="T58" s="1043"/>
      <c r="V58" s="1008"/>
      <c r="W58" s="1008"/>
      <c r="X58" s="1008"/>
      <c r="Y58" s="1008"/>
      <c r="Z58" s="1008"/>
      <c r="AA58" s="1008"/>
      <c r="AD58" s="1008"/>
      <c r="AE58" s="8"/>
      <c r="AF58" s="8"/>
      <c r="AG58" s="8"/>
      <c r="AH58" s="8"/>
      <c r="AI58" s="8"/>
      <c r="AJ58" s="8"/>
      <c r="AK58" s="8"/>
      <c r="AL58" s="8"/>
      <c r="AM58" s="8"/>
      <c r="AN58" s="8"/>
      <c r="AO58" s="8"/>
      <c r="AP58" s="8"/>
      <c r="AQ58" s="8"/>
      <c r="AR58" s="8"/>
    </row>
    <row r="59" spans="1:44" s="891" customFormat="1" ht="30" customHeight="1">
      <c r="A59" s="1008"/>
      <c r="B59" s="170"/>
      <c r="C59" s="1069"/>
      <c r="D59" s="1026"/>
      <c r="E59" s="1071"/>
      <c r="F59" s="3789" t="s">
        <v>1630</v>
      </c>
      <c r="G59" s="3790"/>
      <c r="H59" s="3790"/>
      <c r="I59" s="3790" t="s">
        <v>1631</v>
      </c>
      <c r="J59" s="3790"/>
      <c r="K59" s="3790"/>
      <c r="L59" s="3790"/>
      <c r="M59" s="3790"/>
      <c r="N59" s="3791"/>
      <c r="O59" s="1072"/>
      <c r="P59" s="695"/>
      <c r="Q59" s="3587"/>
      <c r="R59" s="3587"/>
      <c r="S59" s="3792"/>
      <c r="T59" s="1043"/>
      <c r="V59" s="1008"/>
      <c r="W59" s="1008"/>
      <c r="X59" s="1008"/>
      <c r="Y59" s="1008"/>
      <c r="Z59" s="1008"/>
      <c r="AA59" s="1008"/>
      <c r="AD59" s="1008"/>
      <c r="AE59" s="8"/>
      <c r="AF59" s="8"/>
      <c r="AG59" s="8"/>
      <c r="AH59" s="8"/>
      <c r="AI59" s="8"/>
      <c r="AJ59" s="8"/>
      <c r="AK59" s="8"/>
      <c r="AL59" s="8"/>
      <c r="AM59" s="8"/>
      <c r="AN59" s="8"/>
      <c r="AO59" s="8"/>
      <c r="AP59" s="8"/>
      <c r="AQ59" s="8"/>
      <c r="AR59" s="8"/>
    </row>
    <row r="60" spans="1:44" s="891" customFormat="1" ht="30" customHeight="1" thickBot="1">
      <c r="A60" s="1008"/>
      <c r="B60" s="170"/>
      <c r="C60" s="1069"/>
      <c r="D60" s="1023"/>
      <c r="E60" s="1073"/>
      <c r="F60" s="3793" t="s">
        <v>1632</v>
      </c>
      <c r="G60" s="3794"/>
      <c r="H60" s="3794"/>
      <c r="I60" s="3794" t="s">
        <v>1633</v>
      </c>
      <c r="J60" s="3794"/>
      <c r="K60" s="3794"/>
      <c r="L60" s="3794"/>
      <c r="M60" s="3794"/>
      <c r="N60" s="3795"/>
      <c r="O60" s="1074"/>
      <c r="P60" s="525"/>
      <c r="Q60" s="3796"/>
      <c r="R60" s="3796"/>
      <c r="S60" s="3797"/>
      <c r="T60" s="1043"/>
      <c r="V60" s="1008"/>
      <c r="W60" s="1008"/>
      <c r="X60" s="1008"/>
      <c r="Y60" s="1008"/>
      <c r="Z60" s="1008"/>
      <c r="AA60" s="1008"/>
      <c r="AD60" s="1008"/>
      <c r="AE60" s="8"/>
      <c r="AF60" s="8"/>
      <c r="AG60" s="8"/>
      <c r="AH60" s="8"/>
      <c r="AI60" s="8"/>
      <c r="AJ60" s="8"/>
      <c r="AK60" s="8"/>
      <c r="AL60" s="8"/>
      <c r="AM60" s="8"/>
      <c r="AN60" s="8"/>
      <c r="AO60" s="8"/>
      <c r="AP60" s="8"/>
      <c r="AQ60" s="8"/>
      <c r="AR60" s="8"/>
    </row>
    <row r="61" spans="1:44" ht="75" customHeight="1">
      <c r="C61" s="3763" t="s">
        <v>349</v>
      </c>
      <c r="D61" s="3764"/>
      <c r="E61" s="1075"/>
      <c r="F61" s="3787" t="s">
        <v>2420</v>
      </c>
      <c r="G61" s="3788"/>
      <c r="H61" s="3788"/>
      <c r="I61" s="3788"/>
      <c r="J61" s="3788"/>
      <c r="K61" s="3788"/>
      <c r="L61" s="3788"/>
      <c r="M61" s="3788"/>
      <c r="N61" s="3788"/>
      <c r="O61" s="1076" t="s">
        <v>3</v>
      </c>
      <c r="P61" s="1015"/>
      <c r="Q61" s="3773"/>
      <c r="R61" s="3774"/>
      <c r="S61" s="3774"/>
      <c r="T61" s="1214" t="s">
        <v>20</v>
      </c>
    </row>
    <row r="62" spans="1:44" ht="90" customHeight="1">
      <c r="C62" s="3775" t="s">
        <v>350</v>
      </c>
      <c r="D62" s="3776"/>
      <c r="E62" s="164"/>
      <c r="F62" s="3786" t="s">
        <v>1666</v>
      </c>
      <c r="G62" s="3786"/>
      <c r="H62" s="3786"/>
      <c r="I62" s="3786"/>
      <c r="J62" s="3786"/>
      <c r="K62" s="3786"/>
      <c r="L62" s="3786"/>
      <c r="M62" s="3786"/>
      <c r="N62" s="3786"/>
      <c r="O62" s="1005" t="s">
        <v>3</v>
      </c>
      <c r="P62" s="925"/>
      <c r="Q62" s="3777"/>
      <c r="R62" s="3778"/>
      <c r="S62" s="3778"/>
      <c r="T62" s="996" t="s">
        <v>20</v>
      </c>
    </row>
    <row r="63" spans="1:44" ht="30" customHeight="1">
      <c r="C63" s="3779" t="s">
        <v>351</v>
      </c>
      <c r="D63" s="3776"/>
      <c r="E63" s="163"/>
      <c r="F63" s="3687" t="s">
        <v>1635</v>
      </c>
      <c r="G63" s="3687"/>
      <c r="H63" s="3687"/>
      <c r="I63" s="3687"/>
      <c r="J63" s="3687"/>
      <c r="K63" s="3687"/>
      <c r="L63" s="3687"/>
      <c r="M63" s="3687"/>
      <c r="N63" s="3687"/>
      <c r="O63" s="211" t="s">
        <v>3</v>
      </c>
      <c r="P63" s="1017"/>
      <c r="Q63" s="3668"/>
      <c r="R63" s="3669"/>
      <c r="S63" s="3669"/>
      <c r="T63" s="1215" t="s">
        <v>20</v>
      </c>
    </row>
    <row r="64" spans="1:44" s="891" customFormat="1" ht="15" customHeight="1">
      <c r="A64" s="1008"/>
      <c r="B64" s="1742" t="str">
        <f>IF(OR(startHVAC1="Boiler",startHVAC2="Boiler",startHVAC3="Boiler",startHVAC1=""),"","x")</f>
        <v/>
      </c>
      <c r="C64" s="3779" t="s">
        <v>1636</v>
      </c>
      <c r="D64" s="3776"/>
      <c r="E64" s="1078"/>
      <c r="F64" s="3681" t="s">
        <v>1667</v>
      </c>
      <c r="G64" s="3681"/>
      <c r="H64" s="3681"/>
      <c r="I64" s="3681"/>
      <c r="J64" s="3681"/>
      <c r="K64" s="3681"/>
      <c r="L64" s="3681"/>
      <c r="M64" s="3681"/>
      <c r="N64" s="3681"/>
      <c r="O64" s="897" t="s">
        <v>3</v>
      </c>
      <c r="P64" s="1012"/>
      <c r="Q64" s="3683"/>
      <c r="R64" s="3684"/>
      <c r="S64" s="3684"/>
      <c r="T64" s="1216" t="s">
        <v>20</v>
      </c>
      <c r="V64" s="1008"/>
      <c r="W64" s="1008"/>
      <c r="X64" s="1008"/>
      <c r="Y64" s="1008"/>
      <c r="Z64" s="1008"/>
      <c r="AA64" s="1008"/>
      <c r="AD64" s="1008"/>
      <c r="AE64" s="8"/>
      <c r="AF64" s="8"/>
      <c r="AG64" s="8"/>
      <c r="AH64" s="8"/>
      <c r="AI64" s="8"/>
      <c r="AJ64" s="8"/>
      <c r="AK64" s="8"/>
      <c r="AL64" s="8"/>
      <c r="AM64" s="8"/>
      <c r="AN64" s="8"/>
      <c r="AO64" s="8"/>
      <c r="AP64" s="8"/>
      <c r="AQ64" s="8"/>
      <c r="AR64" s="8"/>
    </row>
    <row r="65" spans="1:44">
      <c r="C65" s="3011" t="s">
        <v>354</v>
      </c>
      <c r="D65" s="3011"/>
      <c r="E65" s="3011"/>
      <c r="F65" s="3011"/>
      <c r="G65" s="3011"/>
      <c r="H65" s="3011"/>
      <c r="I65" s="3011"/>
      <c r="J65" s="3011"/>
      <c r="K65" s="3011"/>
      <c r="L65" s="3011"/>
      <c r="M65" s="3011"/>
      <c r="N65" s="3011"/>
      <c r="O65" s="3011"/>
      <c r="P65" s="3011"/>
      <c r="Q65" s="3011"/>
      <c r="R65" s="3011"/>
      <c r="S65" s="3011"/>
      <c r="T65" s="3011"/>
    </row>
    <row r="66" spans="1:44" ht="15" customHeight="1">
      <c r="C66" s="3765" t="str">
        <f>IF(choice701.1&lt;&gt;"Performance Path", "**You did not select the Performance Path in 701.1. DO NOT claim points for Section 702**", "Be sure to claim at least 30 points in Section 702 &amp; at least 2 practices in Section 704.")</f>
        <v>**You did not select the Performance Path in 701.1. DO NOT claim points for Section 702**</v>
      </c>
      <c r="D66" s="3766"/>
      <c r="E66" s="3766"/>
      <c r="F66" s="3766"/>
      <c r="G66" s="3766"/>
      <c r="H66" s="3766"/>
      <c r="I66" s="3766"/>
      <c r="J66" s="3766"/>
      <c r="K66" s="3766"/>
      <c r="L66" s="3766"/>
      <c r="M66" s="3766"/>
      <c r="N66" s="3766"/>
      <c r="O66" s="3766"/>
      <c r="P66" s="3766"/>
      <c r="Q66" s="3766"/>
      <c r="R66" s="3766"/>
      <c r="S66" s="3766"/>
      <c r="T66" s="1022"/>
    </row>
    <row r="67" spans="1:44" ht="15" customHeight="1" thickBot="1">
      <c r="C67" s="1079">
        <v>702.1</v>
      </c>
      <c r="D67" s="905"/>
      <c r="E67" s="1080"/>
      <c r="F67" s="3780" t="s">
        <v>355</v>
      </c>
      <c r="G67" s="3780"/>
      <c r="H67" s="3780"/>
      <c r="I67" s="3780"/>
      <c r="J67" s="3780"/>
      <c r="K67" s="3780"/>
      <c r="L67" s="3780"/>
      <c r="M67" s="3780"/>
      <c r="N67" s="3780"/>
      <c r="O67" s="1081"/>
      <c r="P67" s="1081"/>
      <c r="Q67" s="3780"/>
      <c r="R67" s="3780"/>
      <c r="S67" s="3781"/>
      <c r="T67" s="1082"/>
    </row>
    <row r="68" spans="1:44" s="891" customFormat="1" ht="15" customHeight="1" thickTop="1">
      <c r="A68" s="1008"/>
      <c r="B68" s="170"/>
      <c r="C68" s="1002">
        <v>702.2</v>
      </c>
      <c r="D68" s="1016"/>
      <c r="E68" s="1003"/>
      <c r="F68" s="3783" t="s">
        <v>1639</v>
      </c>
      <c r="G68" s="3783"/>
      <c r="H68" s="3783"/>
      <c r="I68" s="3783"/>
      <c r="J68" s="3783"/>
      <c r="K68" s="3783"/>
      <c r="L68" s="3783"/>
      <c r="M68" s="3783"/>
      <c r="N68" s="3783"/>
      <c r="O68" s="1083"/>
      <c r="P68" s="1083"/>
      <c r="Q68" s="3784"/>
      <c r="R68" s="3784"/>
      <c r="S68" s="3785"/>
      <c r="T68" s="1043"/>
      <c r="V68" s="1008"/>
      <c r="W68" s="1008"/>
      <c r="X68" s="1008"/>
      <c r="Y68" s="1008"/>
      <c r="Z68" s="1008"/>
      <c r="AA68" s="1008"/>
      <c r="AD68" s="1008"/>
      <c r="AE68" s="8"/>
      <c r="AF68" s="8"/>
      <c r="AG68" s="8"/>
      <c r="AH68" s="8"/>
      <c r="AI68" s="8"/>
      <c r="AJ68" s="8"/>
      <c r="AK68" s="8"/>
      <c r="AL68" s="8"/>
      <c r="AM68" s="8"/>
      <c r="AN68" s="8"/>
      <c r="AO68" s="8"/>
      <c r="AP68" s="8"/>
      <c r="AQ68" s="8"/>
      <c r="AR68" s="8"/>
    </row>
    <row r="69" spans="1:44" s="891" customFormat="1" ht="75" customHeight="1">
      <c r="A69" s="1008"/>
      <c r="B69" s="170"/>
      <c r="C69" s="1002" t="s">
        <v>1637</v>
      </c>
      <c r="D69" s="1016"/>
      <c r="E69" s="1003"/>
      <c r="F69" s="3719" t="s">
        <v>1668</v>
      </c>
      <c r="G69" s="3719"/>
      <c r="H69" s="3719"/>
      <c r="I69" s="3719"/>
      <c r="J69" s="3719"/>
      <c r="K69" s="3719"/>
      <c r="L69" s="3719"/>
      <c r="M69" s="3719"/>
      <c r="N69" s="3719"/>
      <c r="O69" s="211" t="s">
        <v>3</v>
      </c>
      <c r="P69" s="1814"/>
      <c r="Q69" s="3634"/>
      <c r="R69" s="3635"/>
      <c r="S69" s="3782"/>
      <c r="T69" s="995" t="s">
        <v>20</v>
      </c>
      <c r="V69" s="1008"/>
      <c r="W69" s="1008"/>
      <c r="X69" s="1008"/>
      <c r="Y69" s="1008"/>
      <c r="Z69" s="1008"/>
      <c r="AA69" s="1008"/>
      <c r="AD69" s="1008"/>
      <c r="AE69" s="8"/>
      <c r="AF69" s="8"/>
      <c r="AG69" s="8"/>
      <c r="AH69" s="8"/>
      <c r="AI69" s="8"/>
      <c r="AJ69" s="8"/>
      <c r="AK69" s="8"/>
      <c r="AL69" s="8"/>
      <c r="AM69" s="8"/>
      <c r="AN69" s="8"/>
      <c r="AO69" s="8"/>
      <c r="AP69" s="8"/>
      <c r="AQ69" s="8"/>
      <c r="AR69" s="8"/>
    </row>
    <row r="70" spans="1:44" ht="60" customHeight="1">
      <c r="C70" s="655" t="s">
        <v>1638</v>
      </c>
      <c r="D70" s="1020"/>
      <c r="E70" s="1084"/>
      <c r="F70" s="3682" t="s">
        <v>3031</v>
      </c>
      <c r="G70" s="3682"/>
      <c r="H70" s="3682"/>
      <c r="I70" s="3682"/>
      <c r="J70" s="3682"/>
      <c r="K70" s="3682"/>
      <c r="L70" s="3682"/>
      <c r="M70" s="3682"/>
      <c r="N70" s="3682"/>
      <c r="O70" s="1085" t="s">
        <v>3030</v>
      </c>
      <c r="P70" s="2690"/>
      <c r="Q70" s="3668"/>
      <c r="R70" s="3669"/>
      <c r="S70" s="3670"/>
      <c r="T70" s="995" t="s">
        <v>20</v>
      </c>
    </row>
    <row r="71" spans="1:44" ht="171" customHeight="1">
      <c r="C71" s="1086"/>
      <c r="D71" s="1016"/>
      <c r="E71" s="163"/>
      <c r="F71" s="3768" t="s">
        <v>3032</v>
      </c>
      <c r="G71" s="3768"/>
      <c r="H71" s="3768"/>
      <c r="I71" s="3768"/>
      <c r="J71" s="3768"/>
      <c r="K71" s="3768"/>
      <c r="L71" s="3768"/>
      <c r="M71" s="3768"/>
      <c r="N71" s="3768"/>
      <c r="O71" s="1087"/>
      <c r="P71" s="1704">
        <f>score702.2.2</f>
        <v>0</v>
      </c>
      <c r="Q71" s="3769"/>
      <c r="R71" s="3770"/>
      <c r="S71" s="3771"/>
      <c r="T71" s="1088"/>
      <c r="U71"/>
      <c r="V71" s="1809"/>
      <c r="W71" s="1809"/>
      <c r="X71" s="1809"/>
      <c r="Y71" s="1809"/>
      <c r="Z71" s="1809"/>
      <c r="AA71" s="1809"/>
      <c r="AB71"/>
    </row>
    <row r="72" spans="1:44">
      <c r="C72" s="3011" t="s">
        <v>356</v>
      </c>
      <c r="D72" s="3011"/>
      <c r="E72" s="3011"/>
      <c r="F72" s="3011"/>
      <c r="G72" s="3011"/>
      <c r="H72" s="3011"/>
      <c r="I72" s="3011"/>
      <c r="J72" s="3011"/>
      <c r="K72" s="3011"/>
      <c r="L72" s="3011"/>
      <c r="M72" s="3011"/>
      <c r="N72" s="3011"/>
      <c r="O72" s="3011"/>
      <c r="P72" s="3011"/>
      <c r="Q72" s="3011"/>
      <c r="R72" s="3011"/>
      <c r="S72" s="3011"/>
      <c r="T72" s="3011"/>
      <c r="U72" s="169"/>
      <c r="V72" s="169"/>
      <c r="W72" s="169"/>
      <c r="X72" s="169"/>
      <c r="Y72" s="169"/>
      <c r="Z72" s="169"/>
      <c r="AA72" s="169"/>
      <c r="AB72" s="169"/>
      <c r="AC72" s="169"/>
      <c r="AD72" s="169"/>
    </row>
    <row r="73" spans="1:44" ht="15" customHeight="1">
      <c r="C73" s="3765" t="str">
        <f>IF(choice701.1&lt;&gt;"Prescriptive Path", "**You did not select the Prescriptive Path in 701.1. DO NOT claim points for Section 703**", "Be sure to claim at least 30 points in Section 703 &amp; at least 2 practices in Section 704.")</f>
        <v>**You did not select the Prescriptive Path in 701.1. DO NOT claim points for Section 703**</v>
      </c>
      <c r="D73" s="3766"/>
      <c r="E73" s="3766"/>
      <c r="F73" s="3766"/>
      <c r="G73" s="3766"/>
      <c r="H73" s="3766"/>
      <c r="I73" s="3766"/>
      <c r="J73" s="3766"/>
      <c r="K73" s="3766"/>
      <c r="L73" s="3766"/>
      <c r="M73" s="3766"/>
      <c r="N73" s="3766"/>
      <c r="O73" s="3766"/>
      <c r="P73" s="3766"/>
      <c r="Q73" s="3766"/>
      <c r="R73" s="3766"/>
      <c r="S73" s="3766"/>
      <c r="T73" s="1022"/>
      <c r="U73" s="169"/>
      <c r="V73" s="169"/>
      <c r="W73" s="169"/>
      <c r="X73" s="169"/>
      <c r="Y73" s="169"/>
      <c r="Z73" s="169"/>
      <c r="AA73" s="169"/>
      <c r="AB73" s="169"/>
      <c r="AC73" s="169"/>
      <c r="AD73" s="169"/>
    </row>
    <row r="74" spans="1:44">
      <c r="C74" s="1061">
        <v>703.1</v>
      </c>
      <c r="D74" s="1062"/>
      <c r="E74" s="1063"/>
      <c r="F74" s="3767" t="s">
        <v>357</v>
      </c>
      <c r="G74" s="3767"/>
      <c r="H74" s="3767"/>
      <c r="I74" s="3767"/>
      <c r="J74" s="3767"/>
      <c r="K74" s="3767"/>
      <c r="L74" s="3767"/>
      <c r="M74" s="3767"/>
      <c r="N74" s="3767"/>
      <c r="O74" s="1089"/>
      <c r="P74" s="1090"/>
      <c r="Q74" s="3767"/>
      <c r="R74" s="3767"/>
      <c r="S74" s="3772"/>
      <c r="T74" s="1022"/>
    </row>
    <row r="75" spans="1:44" ht="75" customHeight="1">
      <c r="C75" s="1091" t="s">
        <v>358</v>
      </c>
      <c r="D75" s="1016"/>
      <c r="E75" s="163"/>
      <c r="F75" s="3687" t="s">
        <v>1669</v>
      </c>
      <c r="G75" s="3687"/>
      <c r="H75" s="3687"/>
      <c r="I75" s="3687"/>
      <c r="J75" s="3687"/>
      <c r="K75" s="3687"/>
      <c r="L75" s="3687"/>
      <c r="M75" s="3687"/>
      <c r="N75" s="3719"/>
      <c r="O75" s="1049" t="s">
        <v>1653</v>
      </c>
      <c r="P75" s="1755"/>
      <c r="Q75" s="3486"/>
      <c r="R75" s="3486"/>
      <c r="S75" s="3486"/>
      <c r="T75" s="3055" t="s">
        <v>20</v>
      </c>
    </row>
    <row r="76" spans="1:44" s="891" customFormat="1">
      <c r="A76" s="1008"/>
      <c r="B76" s="170"/>
      <c r="C76" s="1091"/>
      <c r="D76" s="1016"/>
      <c r="E76" s="163"/>
      <c r="F76" s="3760" t="s">
        <v>1671</v>
      </c>
      <c r="G76" s="3761"/>
      <c r="H76" s="3761"/>
      <c r="I76" s="3761"/>
      <c r="J76" s="3761"/>
      <c r="K76" s="3761"/>
      <c r="L76" s="3761"/>
      <c r="M76" s="3761"/>
      <c r="N76" s="3762"/>
      <c r="O76" s="1049"/>
      <c r="P76" s="3317">
        <f>IF(startClimateZone=1, score703.1.1Zone1,IF(startClimateZone=2, score703.1.1Zone2,IF(startClimateZone=3,score703.1.1Zone3,IF(startClimateZone=4,score703.1.1Zone4,IF(startClimateZone=5,score703.1.1Zone5,IF(startClimateZone=6,score703.1.1Zone6,IF(startClimateZone=7,score703.1.1Zone7,IF(startClimateZone=8,score703.1.1Zone8,0))))))))</f>
        <v>0</v>
      </c>
      <c r="Q76" s="3486"/>
      <c r="R76" s="3486"/>
      <c r="S76" s="3486"/>
      <c r="T76" s="3055"/>
      <c r="V76" s="1008"/>
      <c r="W76" s="1008"/>
      <c r="X76" s="1008"/>
      <c r="Y76" s="1008"/>
      <c r="Z76" s="1008"/>
      <c r="AA76" s="1008"/>
      <c r="AD76" s="1008"/>
      <c r="AE76" s="8"/>
      <c r="AF76" s="8"/>
      <c r="AG76" s="8"/>
      <c r="AH76" s="8"/>
      <c r="AI76" s="8"/>
      <c r="AJ76" s="8"/>
      <c r="AK76" s="8"/>
      <c r="AL76" s="8"/>
      <c r="AM76" s="8"/>
      <c r="AN76" s="8"/>
      <c r="AO76" s="8"/>
      <c r="AP76" s="8"/>
      <c r="AQ76" s="8"/>
      <c r="AR76" s="8"/>
    </row>
    <row r="77" spans="1:44" ht="39.75" customHeight="1">
      <c r="C77" s="1091"/>
      <c r="D77" s="1016"/>
      <c r="E77" s="163"/>
      <c r="F77" s="1092" t="s">
        <v>214</v>
      </c>
      <c r="G77" s="1092" t="s">
        <v>1640</v>
      </c>
      <c r="H77" s="1092" t="s">
        <v>1641</v>
      </c>
      <c r="I77" s="1092" t="s">
        <v>1642</v>
      </c>
      <c r="J77" s="1092" t="s">
        <v>1643</v>
      </c>
      <c r="K77" s="1092" t="s">
        <v>1672</v>
      </c>
      <c r="L77" s="1092" t="s">
        <v>1644</v>
      </c>
      <c r="M77" s="1092" t="s">
        <v>1645</v>
      </c>
      <c r="N77" s="1092" t="s">
        <v>1673</v>
      </c>
      <c r="O77" s="695"/>
      <c r="P77" s="3317"/>
      <c r="Q77" s="3486"/>
      <c r="R77" s="3486"/>
      <c r="S77" s="3486"/>
      <c r="T77" s="3055"/>
    </row>
    <row r="78" spans="1:44" ht="30" customHeight="1">
      <c r="C78" s="1091"/>
      <c r="D78" s="1016"/>
      <c r="E78" s="163"/>
      <c r="F78" s="1093" t="str">
        <f>IF(startClimateZone="Four", "4 except Marine", IF(startClimateZone="", "None selected", startClimateZone))</f>
        <v>None selected</v>
      </c>
      <c r="G78" s="1093" t="str">
        <f>IF(startClimateZone=1, 1.2, IF(startClimateZone=2, 0.65, IF(startClimateZone=3,0.5,IF(startClimateZone=4,0.35,IF(startClimateZone=5,0.35,IF(startClimateZone=6, 0.35, IF(startClimateZone=7, 0.35, IF(startClimateZone=7, 0.35, "N/A"))))))))</f>
        <v>N/A</v>
      </c>
      <c r="H78" s="1093" t="str">
        <f>IF(startClimateZone=1, 0.75, IF(startClimateZone=2, 0.75, IF(startClimateZone=3,0.65,IF(startClimateZone=4,0.6,IF(startClimateZone=5,0.6,IF(startClimateZone=6, 0.6, IF(startClimateZone=6, 0.6, IF(startClimateZone=6, 0.6, "N/A"))))))))</f>
        <v>N/A</v>
      </c>
      <c r="I78" s="1093" t="str">
        <f>IF(startClimateZone=1, 0.035, IF(startClimateZone=2, 0.035, IF(startClimateZone=3,0.035,IF(startClimateZone=4,0.03,IF(startClimateZone=5,0.03,IF(startClimateZone=6, 0.026, IF(startClimateZone=7, 0.026, IF(startClimateZone=8, 0.026, "N/A"))))))))</f>
        <v>N/A</v>
      </c>
      <c r="J78" s="1093" t="str">
        <f>IF(startClimateZone=1,0.082,IF(startClimateZone=2,0.082,IF(startClimateZone=3,0.082,IF(AND(startClimateZone=4,startClimateType="Marine"),0.057,IF(AND(startClimateZone=4,startClimateType&lt;&gt;"Marine"),0.082,IF(startClimateZone=5,0.057,IF(startClimateZone=6,0.057,IF(startClimateZone=7,0.057,IF(startClimateZone=8,0.057,"N/A")))))))))</f>
        <v>N/A</v>
      </c>
      <c r="K78" s="1093" t="str">
        <f>IF(startClimateZone=1,0.197,IF(startClimateZone=2,0.165,IF(startClimateZone=3,0.141,IF(AND(startClimateZone=4,startClimateType="Marine"),0.082,IF(AND(startClimateZone=4,startClimateType&lt;&gt;"Marine"),0.141,IF(startClimateZone=5,0.082,IF(startClimateZone=6,0.06,IF(startClimateZone=7,0.057,IF(startClimateZone=8,0.057,"N/A")))))))))</f>
        <v>N/A</v>
      </c>
      <c r="L78" s="1093" t="str">
        <f>IF(startClimateZone=1,0.064,IF(startClimateZone=2,0.064,IF(startClimateZone=3,0.047,IF(AND(startClimateZone=4,startClimateType="Marine"),0.33,IF(AND(startClimateZone=4,startClimateType&lt;&gt;"Marine"),0.047,IF(startClimateZone=5,0.033,IF(startClimateZone=6,0.033,IF(startClimateZone=7,0.028,IF(startClimateZone=8,0.028,"N/A")))))))))</f>
        <v>N/A</v>
      </c>
      <c r="M78" s="1093" t="str">
        <f>IF(startClimateZone=1, 0.36, IF(startClimateZone=2, 0.36, IF(startClimateZone=3,0.91,IF(startClimateZone=4,0.059,IF(startClimateZone=5,0.059,IF(startClimateZone=6, 0.05, IF(startClimateZone=7, 0.05, IF(startClimateZone=8, 0.05, "N/A"))))))))</f>
        <v>N/A</v>
      </c>
      <c r="N78" s="1093" t="str">
        <f>IF(startClimateZone=1, 0.477, IF(startClimateZone=2, 0.477, IF(startClimateZone=3,0.136,IF(startClimateZone=4,0.065,IF(startClimateZone=5,0.065,IF(startClimateZone=6, 0.065, IF(startClimateZone=7, 0.065, IF(startClimateZone=8, 0.065, "N/A"))))))))</f>
        <v>N/A</v>
      </c>
      <c r="O78" s="695"/>
      <c r="P78" s="695"/>
      <c r="Q78" s="3521"/>
      <c r="R78" s="3521"/>
      <c r="S78" s="3733"/>
      <c r="T78" s="1022"/>
    </row>
    <row r="79" spans="1:44" s="1008" customFormat="1">
      <c r="B79" s="170"/>
      <c r="C79" s="1091"/>
      <c r="D79" s="1419"/>
      <c r="E79" s="1417"/>
      <c r="F79" s="1474" t="str">
        <f>IF(startClimateZone="Four","4 Marine","")</f>
        <v/>
      </c>
      <c r="G79" s="1474" t="str">
        <f>IF(startClimateZone="Four","0.35","")</f>
        <v/>
      </c>
      <c r="H79" s="1474" t="str">
        <f>IF(startClimateZone="Four","0.6","")</f>
        <v/>
      </c>
      <c r="I79" s="1474" t="str">
        <f>IF(startClimateZone="Four","0.03","")</f>
        <v/>
      </c>
      <c r="J79" s="1474" t="str">
        <f>IF(startClimateZone="Four","0.057","")</f>
        <v/>
      </c>
      <c r="K79" s="1474" t="str">
        <f>IF(startClimateZone="Four","0.082","")</f>
        <v/>
      </c>
      <c r="L79" s="1474" t="str">
        <f>IF(startClimateZone="Four","0.033","")</f>
        <v/>
      </c>
      <c r="M79" s="1474" t="str">
        <f>IF(startClimateZone="Four","0.059","")</f>
        <v/>
      </c>
      <c r="N79" s="1474" t="str">
        <f>IF(startClimateZone="Four","0.065","")</f>
        <v/>
      </c>
      <c r="O79" s="1415"/>
      <c r="P79" s="1415"/>
      <c r="Q79" s="1415"/>
      <c r="R79" s="1415"/>
      <c r="S79" s="1416"/>
      <c r="T79" s="1418"/>
      <c r="AE79" s="8"/>
      <c r="AF79" s="8"/>
      <c r="AG79" s="8"/>
      <c r="AH79" s="8"/>
      <c r="AI79" s="8"/>
      <c r="AJ79" s="8"/>
      <c r="AK79" s="8"/>
      <c r="AL79" s="8"/>
      <c r="AM79" s="8"/>
      <c r="AN79" s="8"/>
      <c r="AO79" s="8"/>
      <c r="AP79" s="8"/>
      <c r="AQ79" s="8"/>
      <c r="AR79" s="8"/>
    </row>
    <row r="80" spans="1:44" ht="66" customHeight="1">
      <c r="C80" s="1091"/>
      <c r="D80" s="1016"/>
      <c r="E80" s="163"/>
      <c r="F80" s="3967" t="s">
        <v>1674</v>
      </c>
      <c r="G80" s="3967"/>
      <c r="H80" s="3967"/>
      <c r="I80" s="3967"/>
      <c r="J80" s="3967"/>
      <c r="K80" s="3967"/>
      <c r="L80" s="3967"/>
      <c r="M80" s="3967"/>
      <c r="N80" s="3967"/>
      <c r="O80" s="695"/>
      <c r="P80" s="695"/>
      <c r="Q80" s="3521"/>
      <c r="R80" s="3521"/>
      <c r="S80" s="3733"/>
      <c r="T80" s="1022"/>
    </row>
    <row r="81" spans="1:44" s="891" customFormat="1" ht="15" customHeight="1">
      <c r="A81" s="1008"/>
      <c r="B81" s="170"/>
      <c r="C81" s="1091"/>
      <c r="D81" s="1016"/>
      <c r="E81" s="163"/>
      <c r="F81" s="3968" t="s">
        <v>1670</v>
      </c>
      <c r="G81" s="3870"/>
      <c r="H81" s="3870"/>
      <c r="I81" s="3870"/>
      <c r="J81" s="3870"/>
      <c r="K81" s="3870"/>
      <c r="L81" s="3870"/>
      <c r="M81" s="3871"/>
      <c r="N81" s="1014"/>
      <c r="O81" s="695"/>
      <c r="P81" s="1094"/>
      <c r="Q81" s="3521"/>
      <c r="R81" s="3521"/>
      <c r="S81" s="3733"/>
      <c r="T81" s="1022"/>
      <c r="V81" s="1008"/>
      <c r="W81" s="1008"/>
      <c r="X81" s="1008"/>
      <c r="Y81" s="1008"/>
      <c r="Z81" s="1008"/>
      <c r="AA81" s="1008"/>
      <c r="AD81" s="1008"/>
      <c r="AE81" s="8"/>
      <c r="AF81" s="8"/>
      <c r="AG81" s="8"/>
      <c r="AH81" s="8"/>
      <c r="AI81" s="8"/>
      <c r="AJ81" s="8"/>
      <c r="AK81" s="8"/>
      <c r="AL81" s="8"/>
      <c r="AM81" s="8"/>
      <c r="AN81" s="8"/>
      <c r="AO81" s="8"/>
      <c r="AP81" s="8"/>
      <c r="AQ81" s="8"/>
      <c r="AR81" s="8"/>
    </row>
    <row r="82" spans="1:44" s="968" customFormat="1" ht="15" customHeight="1">
      <c r="A82" s="1008"/>
      <c r="B82" s="170"/>
      <c r="C82" s="1091"/>
      <c r="D82" s="1016"/>
      <c r="E82" s="163"/>
      <c r="F82" s="3968" t="s">
        <v>1675</v>
      </c>
      <c r="G82" s="3870"/>
      <c r="H82" s="3870"/>
      <c r="I82" s="3870"/>
      <c r="J82" s="3870"/>
      <c r="K82" s="3870"/>
      <c r="L82" s="3870"/>
      <c r="M82" s="3871"/>
      <c r="N82" s="1014"/>
      <c r="O82" s="695"/>
      <c r="P82" s="1094"/>
      <c r="Q82" s="3521"/>
      <c r="R82" s="3521"/>
      <c r="S82" s="3733"/>
      <c r="T82" s="1022"/>
      <c r="V82" s="1008"/>
      <c r="W82" s="1008"/>
      <c r="X82" s="1008"/>
      <c r="Y82" s="1008"/>
      <c r="Z82" s="1008"/>
      <c r="AA82" s="1008"/>
      <c r="AD82" s="1008"/>
      <c r="AE82" s="8"/>
      <c r="AF82" s="8"/>
      <c r="AG82" s="8"/>
      <c r="AH82" s="8"/>
      <c r="AI82" s="8"/>
      <c r="AJ82" s="8"/>
      <c r="AK82" s="8"/>
      <c r="AL82" s="8"/>
      <c r="AM82" s="8"/>
      <c r="AN82" s="8"/>
      <c r="AO82" s="8"/>
      <c r="AP82" s="8"/>
      <c r="AQ82" s="8"/>
      <c r="AR82" s="8"/>
    </row>
    <row r="83" spans="1:44">
      <c r="C83" s="1091"/>
      <c r="D83" s="1016"/>
      <c r="E83" s="163"/>
      <c r="F83" s="3971" t="s">
        <v>1646</v>
      </c>
      <c r="G83" s="3971"/>
      <c r="H83" s="3971" t="s">
        <v>1648</v>
      </c>
      <c r="I83" s="3971"/>
      <c r="J83" s="3971" t="s">
        <v>1647</v>
      </c>
      <c r="K83" s="3971"/>
      <c r="L83" s="3971" t="s">
        <v>1649</v>
      </c>
      <c r="M83" s="3971"/>
      <c r="N83" s="1014"/>
      <c r="O83" s="695"/>
      <c r="P83" s="1095"/>
      <c r="Q83" s="3521"/>
      <c r="R83" s="3521"/>
      <c r="S83" s="3733"/>
      <c r="T83" s="1022"/>
    </row>
    <row r="84" spans="1:44">
      <c r="C84" s="1091"/>
      <c r="D84" s="1016"/>
      <c r="E84" s="163"/>
      <c r="F84" s="3971" t="str">
        <f>CONCATENATE(IF(startClimateZone=1,0,IF(startClimateZone=2,2,IF(startClimateZone=3,3,IF(startClimateZone=4,4,IF(startClimateZone=5,7,IF(startClimateZone=6,5,IF(startClimateZone=7,3,IF(startClimateZone=8,4,0))))))))," points")</f>
        <v>0 points</v>
      </c>
      <c r="G84" s="3971"/>
      <c r="H84" s="3971" t="str">
        <f>CONCATENATE(IF(startClimateZone=1,0,IF(startClimateZone=2,6,IF(startClimateZone=3,8,IF(startClimateZone=4,8,IF(startClimateZone=5,11,IF(startClimateZone=6,12,IF(startClimateZone=7,9,IF(startClimateZone=8,10,0))))))))," points")</f>
        <v>0 points</v>
      </c>
      <c r="I84" s="3971"/>
      <c r="J84" s="3971" t="str">
        <f>CONCATENATE(IF(startClimateZone=1,0,IF(startClimateZone=2,10,IF(startClimateZone=3,12,IF(startClimateZone=4,13,IF(startClimateZone=5,16,IF(startClimateZone=6,14,IF(startClimateZone=7,11,IF(startClimateZone=8,12,0))))))))," points")</f>
        <v>0 points</v>
      </c>
      <c r="K84" s="3971"/>
      <c r="L84" s="3971" t="str">
        <f>CONCATENATE(IF(startClimateZone=1,2,IF(startClimateZone=2,14,IF(startClimateZone=3,17,IF(startClimateZone=4,18,IF(startClimateZone=5,18,IF(startClimateZone=6,17,IF(startClimateZone=7,14,IF(startClimateZone=8,16,0))))))))," points")</f>
        <v>0 points</v>
      </c>
      <c r="M84" s="3971"/>
      <c r="N84" s="1014"/>
      <c r="O84" s="695"/>
      <c r="P84" s="1095"/>
      <c r="Q84" s="3521"/>
      <c r="R84" s="3521"/>
      <c r="S84" s="3733"/>
      <c r="T84" s="1022"/>
    </row>
    <row r="85" spans="1:44" ht="15" customHeight="1">
      <c r="C85" s="1091"/>
      <c r="D85" s="1016"/>
      <c r="E85" s="163"/>
      <c r="F85" s="3976" t="s">
        <v>359</v>
      </c>
      <c r="G85" s="3976"/>
      <c r="H85" s="3976"/>
      <c r="I85" s="3976"/>
      <c r="J85" s="3976"/>
      <c r="K85" s="3976"/>
      <c r="L85" s="3976"/>
      <c r="M85" s="3976"/>
      <c r="N85" s="3976"/>
      <c r="O85" s="1049"/>
      <c r="P85" s="1095"/>
      <c r="Q85" s="3834"/>
      <c r="R85" s="3834"/>
      <c r="S85" s="3972"/>
      <c r="T85" s="1022"/>
    </row>
    <row r="86" spans="1:44">
      <c r="C86" s="189"/>
      <c r="D86" s="1016"/>
      <c r="E86" s="695"/>
      <c r="F86" s="3548" t="s">
        <v>360</v>
      </c>
      <c r="G86" s="3548"/>
      <c r="H86" s="3548"/>
      <c r="I86" s="3548"/>
      <c r="J86" s="3548"/>
      <c r="K86" s="3548"/>
      <c r="L86" s="3548"/>
      <c r="M86" s="3548"/>
      <c r="N86" s="3548"/>
      <c r="O86" s="695"/>
      <c r="P86" s="695"/>
      <c r="Q86" s="3521"/>
      <c r="R86" s="3521"/>
      <c r="S86" s="3733"/>
      <c r="T86" s="1022"/>
    </row>
    <row r="87" spans="1:44">
      <c r="C87" s="189"/>
      <c r="D87" s="1016"/>
      <c r="E87" s="695"/>
      <c r="F87" s="3974" t="str">
        <f>IF(startClimateZone="", "No zone chosen for this project. See the Start Here! worksheet.", CONCATENATE("Climate zone ",startClimateZone," ",startClimateType," chosen for this project. See the Start Here! worksheet."))</f>
        <v>No zone chosen for this project. See the Start Here! worksheet.</v>
      </c>
      <c r="G87" s="3974"/>
      <c r="H87" s="3974"/>
      <c r="I87" s="3974"/>
      <c r="J87" s="3974"/>
      <c r="K87" s="3974"/>
      <c r="L87" s="3974"/>
      <c r="M87" s="3974"/>
      <c r="N87" s="3974"/>
      <c r="O87" s="695"/>
      <c r="P87" s="695"/>
      <c r="Q87" s="3969"/>
      <c r="R87" s="3969"/>
      <c r="S87" s="3970"/>
      <c r="T87" s="1096"/>
    </row>
    <row r="88" spans="1:44" ht="43.5" customHeight="1">
      <c r="C88" s="162" t="s">
        <v>361</v>
      </c>
      <c r="D88" s="883"/>
      <c r="E88" s="998"/>
      <c r="F88" s="3805" t="s">
        <v>2820</v>
      </c>
      <c r="G88" s="3805"/>
      <c r="H88" s="3805"/>
      <c r="I88" s="3805"/>
      <c r="J88" s="3805"/>
      <c r="K88" s="3805"/>
      <c r="L88" s="3805"/>
      <c r="M88" s="3805"/>
      <c r="N88" s="3805"/>
      <c r="O88" s="1097" t="s">
        <v>1676</v>
      </c>
      <c r="P88" s="1754"/>
      <c r="Q88" s="3669"/>
      <c r="R88" s="3669"/>
      <c r="S88" s="3669"/>
      <c r="T88" s="995" t="s">
        <v>20</v>
      </c>
    </row>
    <row r="89" spans="1:44" ht="21.75" customHeight="1">
      <c r="C89" s="1091"/>
      <c r="D89" s="1016"/>
      <c r="E89" s="163"/>
      <c r="F89" s="3975" t="s">
        <v>1961</v>
      </c>
      <c r="G89" s="3975"/>
      <c r="H89" s="3975"/>
      <c r="I89" s="3975"/>
      <c r="J89" s="3975"/>
      <c r="K89" s="3975"/>
      <c r="L89" s="3975"/>
      <c r="M89" s="3975"/>
      <c r="N89" s="3975"/>
      <c r="O89" s="2688" t="str">
        <f>IF(claim703.1.2=4,"Only Bronze Level Available for Grade 2","")</f>
        <v/>
      </c>
      <c r="P89" s="874">
        <f>score703.1.2</f>
        <v>0</v>
      </c>
      <c r="Q89" s="3486"/>
      <c r="R89" s="3486"/>
      <c r="S89" s="3486"/>
      <c r="T89" s="1022"/>
    </row>
    <row r="90" spans="1:44" ht="30" customHeight="1">
      <c r="C90" s="189"/>
      <c r="D90" s="1016"/>
      <c r="E90" s="695"/>
      <c r="F90" s="3632" t="s">
        <v>2099</v>
      </c>
      <c r="G90" s="3632"/>
      <c r="H90" s="3632"/>
      <c r="I90" s="3632"/>
      <c r="J90" s="3632"/>
      <c r="K90" s="3632"/>
      <c r="L90" s="3632"/>
      <c r="M90" s="3632"/>
      <c r="N90" s="3632"/>
      <c r="O90" s="695"/>
      <c r="P90" s="695"/>
      <c r="Q90" s="3969"/>
      <c r="R90" s="3969"/>
      <c r="S90" s="3970"/>
      <c r="T90" s="1088"/>
    </row>
    <row r="91" spans="1:44" ht="30" customHeight="1" thickBot="1">
      <c r="C91" s="162" t="s">
        <v>362</v>
      </c>
      <c r="D91" s="883"/>
      <c r="E91" s="998"/>
      <c r="F91" s="3805" t="s">
        <v>1706</v>
      </c>
      <c r="G91" s="3805"/>
      <c r="H91" s="3805"/>
      <c r="I91" s="3805"/>
      <c r="J91" s="3805"/>
      <c r="K91" s="3805"/>
      <c r="L91" s="3805"/>
      <c r="M91" s="3805"/>
      <c r="N91" s="3805"/>
      <c r="O91" s="1097" t="s">
        <v>363</v>
      </c>
      <c r="P91" s="1756"/>
      <c r="Q91" s="3668"/>
      <c r="R91" s="3669"/>
      <c r="S91" s="3669"/>
      <c r="T91" s="995" t="s">
        <v>20</v>
      </c>
    </row>
    <row r="92" spans="1:44">
      <c r="C92" s="1091"/>
      <c r="D92" s="1016"/>
      <c r="E92" s="163"/>
      <c r="F92" s="3973" t="s">
        <v>1705</v>
      </c>
      <c r="G92" s="3737"/>
      <c r="H92" s="3737"/>
      <c r="I92" s="3737"/>
      <c r="J92" s="3738"/>
      <c r="K92" s="1238"/>
      <c r="L92" s="1238"/>
      <c r="M92" s="1238"/>
      <c r="N92" s="1238"/>
      <c r="O92" s="1098"/>
      <c r="P92" s="874">
        <f>IF(startClimateZone=1, score703.1.3Zone1_4,IF(startClimateZone=2, score703.1.3Zone1_4,IF(startClimateZone=3,score703.1.3Zone1_4,IF(startClimateZone=4,score703.1.3Zone1_4,IF(startClimateZone=5,score703.1.3Zone5,IF(startClimateZone=6,score703.1.3Zone6,0))))))</f>
        <v>0</v>
      </c>
      <c r="Q92" s="3958"/>
      <c r="R92" s="3958"/>
      <c r="S92" s="3959"/>
      <c r="T92" s="4063"/>
    </row>
    <row r="93" spans="1:44">
      <c r="C93" s="1091"/>
      <c r="D93" s="1016"/>
      <c r="E93" s="163"/>
      <c r="F93" s="3908" t="s">
        <v>1702</v>
      </c>
      <c r="G93" s="3909"/>
      <c r="H93" s="3909" t="str">
        <f>IF(startClimateZone="","No Climate Zone Chosen",CONCATENATE("Points for Climate Zone ",startClimateZone))</f>
        <v>No Climate Zone Chosen</v>
      </c>
      <c r="I93" s="3909"/>
      <c r="J93" s="3910"/>
      <c r="K93" s="1238"/>
      <c r="L93" s="1238"/>
      <c r="M93" s="1238"/>
      <c r="N93" s="1238"/>
      <c r="O93" s="1098"/>
      <c r="P93" s="1098"/>
      <c r="Q93" s="3958"/>
      <c r="R93" s="3958"/>
      <c r="S93" s="3959"/>
      <c r="T93" s="4063"/>
    </row>
    <row r="94" spans="1:44" ht="20" customHeight="1">
      <c r="C94" s="1091"/>
      <c r="D94" s="1016"/>
      <c r="E94" s="163"/>
      <c r="F94" s="3908" t="s">
        <v>1703</v>
      </c>
      <c r="G94" s="3909"/>
      <c r="H94" s="3962" t="str">
        <f>IF(startClimateZone=1, "5", IF(startClimateZone=2,"5",IF(startClimateZone=3, "5", IF(startClimateZone=4, "5", IF(startClimateZone=5, "4", IF(startClimateZone=6, "3", "0"))))))</f>
        <v>0</v>
      </c>
      <c r="I94" s="3962"/>
      <c r="J94" s="3963"/>
      <c r="K94" s="1238"/>
      <c r="L94" s="1238"/>
      <c r="M94" s="1238"/>
      <c r="N94" s="1238"/>
      <c r="O94" s="1098"/>
      <c r="P94" s="1098"/>
      <c r="Q94" s="3958"/>
      <c r="R94" s="3958"/>
      <c r="S94" s="3959"/>
      <c r="T94" s="4063"/>
    </row>
    <row r="95" spans="1:44" ht="15" customHeight="1" thickBot="1">
      <c r="C95" s="189"/>
      <c r="D95" s="695"/>
      <c r="E95" s="695"/>
      <c r="F95" s="3960" t="s">
        <v>1704</v>
      </c>
      <c r="G95" s="3961"/>
      <c r="H95" s="3965" t="str">
        <f>IF(startClimateZone=1, "3", IF(startClimateZone=2,"3",IF(startClimateZone=3, "3", IF(startClimateZone=4, "3", IF(startClimateZone=5, "2", IF(startClimateZone=6, "2", "0 points"))))))</f>
        <v>0 points</v>
      </c>
      <c r="I95" s="3965"/>
      <c r="J95" s="3966"/>
      <c r="K95" s="1099"/>
      <c r="L95" s="1099"/>
      <c r="M95" s="1099"/>
      <c r="N95" s="1099"/>
      <c r="O95" s="1098"/>
      <c r="P95" s="1098"/>
      <c r="Q95" s="3958"/>
      <c r="R95" s="3958"/>
      <c r="S95" s="3959"/>
      <c r="T95" s="4063"/>
    </row>
    <row r="96" spans="1:44" ht="15" customHeight="1">
      <c r="C96" s="189"/>
      <c r="D96" s="1016"/>
      <c r="E96" s="695"/>
      <c r="F96" s="3953" t="str">
        <f>IF(startClimateZone="", "No zone chosen for this project. See the Start Here! worksheet.", CONCATENATE("Climate zone ",startClimateZone," chosen for this project. See the Start Here! worksheet."))</f>
        <v>No zone chosen for this project. See the Start Here! worksheet.</v>
      </c>
      <c r="G96" s="3953"/>
      <c r="H96" s="3953"/>
      <c r="I96" s="3953"/>
      <c r="J96" s="3953"/>
      <c r="K96" s="3759"/>
      <c r="L96" s="3759"/>
      <c r="M96" s="3759"/>
      <c r="N96" s="3759"/>
      <c r="O96" s="695"/>
      <c r="P96" s="695"/>
      <c r="Q96" s="3521"/>
      <c r="R96" s="3521"/>
      <c r="S96" s="3733"/>
      <c r="T96" s="4063"/>
    </row>
    <row r="97" spans="1:44" s="968" customFormat="1" ht="45" customHeight="1">
      <c r="A97" s="1008"/>
      <c r="B97" s="170"/>
      <c r="C97" s="1100" t="s">
        <v>1707</v>
      </c>
      <c r="D97" s="1020"/>
      <c r="E97" s="1078"/>
      <c r="F97" s="3681" t="s">
        <v>1708</v>
      </c>
      <c r="G97" s="3681"/>
      <c r="H97" s="3681"/>
      <c r="I97" s="3681"/>
      <c r="J97" s="3681"/>
      <c r="K97" s="3681"/>
      <c r="L97" s="3681"/>
      <c r="M97" s="3681"/>
      <c r="N97" s="3681"/>
      <c r="O97" s="1101">
        <f>IF(startClimateZone=1,2,IF(startClimateZone=2,3, IF(startClimateZone=3,3,IF(startClimateZone=4,1,0))))</f>
        <v>0</v>
      </c>
      <c r="P97" s="1217"/>
      <c r="Q97" s="3683"/>
      <c r="R97" s="3684"/>
      <c r="S97" s="3684"/>
      <c r="T97" s="999" t="s">
        <v>20</v>
      </c>
      <c r="V97" s="1008"/>
      <c r="W97" s="1008"/>
      <c r="X97" s="1008"/>
      <c r="Y97" s="1008"/>
      <c r="Z97" s="1008"/>
      <c r="AA97" s="1008"/>
      <c r="AD97" s="1008"/>
      <c r="AE97" s="8"/>
      <c r="AF97" s="8"/>
      <c r="AG97" s="8"/>
      <c r="AH97" s="8"/>
      <c r="AI97" s="8"/>
      <c r="AJ97" s="8"/>
      <c r="AK97" s="8"/>
      <c r="AL97" s="8"/>
      <c r="AM97" s="8"/>
      <c r="AN97" s="8"/>
      <c r="AO97" s="8"/>
      <c r="AP97" s="8"/>
      <c r="AQ97" s="8"/>
      <c r="AR97" s="8"/>
    </row>
    <row r="98" spans="1:44" s="968" customFormat="1" ht="15" customHeight="1">
      <c r="A98" s="1008"/>
      <c r="B98" s="170"/>
      <c r="C98" s="189"/>
      <c r="D98" s="1016"/>
      <c r="E98" s="695"/>
      <c r="F98" s="3954" t="str">
        <f>IF(startClimateZone="", "No zone chosen for this project. See the Start Here! worksheet.", CONCATENATE("Climate zone ",startClimateZone," chosen for this project. See the Start Here! worksheet."))</f>
        <v>No zone chosen for this project. See the Start Here! worksheet.</v>
      </c>
      <c r="G98" s="3954"/>
      <c r="H98" s="3954"/>
      <c r="I98" s="3954"/>
      <c r="J98" s="3954"/>
      <c r="K98" s="3954"/>
      <c r="L98" s="3954"/>
      <c r="M98" s="3954"/>
      <c r="N98" s="3954"/>
      <c r="O98" s="695"/>
      <c r="P98" s="695"/>
      <c r="Q98" s="3521"/>
      <c r="R98" s="3521"/>
      <c r="S98" s="3733"/>
      <c r="T98" s="1022"/>
      <c r="V98" s="1008"/>
      <c r="W98" s="1008"/>
      <c r="X98" s="1008"/>
      <c r="Y98" s="1008"/>
      <c r="Z98" s="1008"/>
      <c r="AA98" s="1008"/>
      <c r="AD98" s="1008"/>
      <c r="AE98" s="8"/>
      <c r="AF98" s="8"/>
      <c r="AG98" s="8"/>
      <c r="AH98" s="8"/>
      <c r="AI98" s="8"/>
      <c r="AJ98" s="8"/>
      <c r="AK98" s="8"/>
      <c r="AL98" s="8"/>
      <c r="AM98" s="8"/>
      <c r="AN98" s="8"/>
      <c r="AO98" s="8"/>
      <c r="AP98" s="8"/>
      <c r="AQ98" s="8"/>
      <c r="AR98" s="8"/>
    </row>
    <row r="99" spans="1:44" s="968" customFormat="1" ht="51" customHeight="1" thickBot="1">
      <c r="A99" s="1008"/>
      <c r="B99" s="170"/>
      <c r="C99" s="1100" t="s">
        <v>1709</v>
      </c>
      <c r="D99" s="1020"/>
      <c r="E99" s="1078"/>
      <c r="F99" s="3681" t="s">
        <v>1710</v>
      </c>
      <c r="G99" s="3681"/>
      <c r="H99" s="3681"/>
      <c r="I99" s="3681"/>
      <c r="J99" s="3681"/>
      <c r="K99" s="3681"/>
      <c r="L99" s="3681"/>
      <c r="M99" s="3681"/>
      <c r="N99" s="3681"/>
      <c r="O99" s="1101" t="s">
        <v>1711</v>
      </c>
      <c r="P99" s="1757"/>
      <c r="Q99" s="3683"/>
      <c r="R99" s="3684"/>
      <c r="S99" s="3684"/>
      <c r="T99" s="999" t="s">
        <v>20</v>
      </c>
      <c r="V99" s="1008"/>
      <c r="W99" s="1008"/>
      <c r="X99" s="1008"/>
      <c r="Y99" s="1008"/>
      <c r="Z99" s="1008"/>
      <c r="AA99" s="1008"/>
      <c r="AD99" s="1008"/>
      <c r="AE99" s="8"/>
      <c r="AF99" s="8"/>
      <c r="AG99" s="8"/>
      <c r="AH99" s="8"/>
      <c r="AI99" s="8"/>
      <c r="AJ99" s="8"/>
      <c r="AK99" s="8"/>
      <c r="AL99" s="8"/>
      <c r="AM99" s="8"/>
      <c r="AN99" s="8"/>
      <c r="AO99" s="8"/>
      <c r="AP99" s="8"/>
      <c r="AQ99" s="8"/>
      <c r="AR99" s="8"/>
    </row>
    <row r="100" spans="1:44" s="968" customFormat="1" ht="15" customHeight="1">
      <c r="A100" s="1008"/>
      <c r="B100" s="170"/>
      <c r="C100" s="1091"/>
      <c r="D100" s="1016"/>
      <c r="E100" s="163"/>
      <c r="F100" s="3696" t="s">
        <v>1712</v>
      </c>
      <c r="G100" s="3697"/>
      <c r="H100" s="3697"/>
      <c r="I100" s="3697"/>
      <c r="J100" s="3697"/>
      <c r="K100" s="3698"/>
      <c r="L100" s="695"/>
      <c r="M100" s="695"/>
      <c r="N100" s="695"/>
      <c r="O100" s="1049"/>
      <c r="P100" s="3317">
        <f>IF(startClimateZone=1, score703.1.5Zone1,IF(startClimateZone=2, score703.1.5Zone2,IF(startClimateZone=3,score703.1.5Zone3,IF(startClimateZone=4,score703.1.5Zone4,IF(startClimateZone=5,score703.1.5Zone5,IF(startClimateZone=6,score703.1.5Zone6,IF(startClimateZone=7,score703.1.5Zone7,IF(startClimateZone=8,score703.1.5Zone8,0))))))))</f>
        <v>0</v>
      </c>
      <c r="Q100" s="3964"/>
      <c r="R100" s="3101"/>
      <c r="S100" s="3101"/>
      <c r="T100" s="1065"/>
      <c r="V100" s="1008"/>
      <c r="W100" s="1008"/>
      <c r="X100" s="1008"/>
      <c r="Y100" s="1008"/>
      <c r="Z100" s="1008"/>
      <c r="AA100" s="1008"/>
      <c r="AD100" s="1008"/>
      <c r="AE100" s="8"/>
      <c r="AF100" s="8"/>
      <c r="AG100" s="8"/>
      <c r="AH100" s="8"/>
      <c r="AI100" s="8"/>
      <c r="AJ100" s="8"/>
      <c r="AK100" s="8"/>
      <c r="AL100" s="8"/>
      <c r="AM100" s="8"/>
      <c r="AN100" s="8"/>
      <c r="AO100" s="8"/>
      <c r="AP100" s="8"/>
      <c r="AQ100" s="8"/>
      <c r="AR100" s="8"/>
    </row>
    <row r="101" spans="1:44" s="968" customFormat="1" ht="15" customHeight="1">
      <c r="A101" s="1008"/>
      <c r="B101" s="170"/>
      <c r="C101" s="1091"/>
      <c r="D101" s="1016"/>
      <c r="E101" s="163"/>
      <c r="F101" s="4039" t="s">
        <v>214</v>
      </c>
      <c r="G101" s="4040" t="s">
        <v>1713</v>
      </c>
      <c r="H101" s="4040"/>
      <c r="I101" s="4040"/>
      <c r="J101" s="4040"/>
      <c r="K101" s="4041"/>
      <c r="L101" s="695"/>
      <c r="M101" s="695"/>
      <c r="N101" s="695"/>
      <c r="O101" s="695"/>
      <c r="P101" s="3317"/>
      <c r="Q101" s="4065"/>
      <c r="R101" s="3521"/>
      <c r="S101" s="3733"/>
      <c r="T101" s="1022"/>
      <c r="V101" s="1008"/>
      <c r="W101" s="1008"/>
      <c r="X101" s="1008"/>
      <c r="Y101" s="1008"/>
      <c r="Z101" s="1008"/>
      <c r="AA101" s="1008"/>
      <c r="AD101" s="1008"/>
      <c r="AE101" s="8"/>
      <c r="AF101" s="8"/>
      <c r="AG101" s="8"/>
      <c r="AH101" s="8"/>
      <c r="AI101" s="8"/>
      <c r="AJ101" s="8"/>
      <c r="AK101" s="8"/>
      <c r="AL101" s="8"/>
      <c r="AM101" s="8"/>
      <c r="AN101" s="8"/>
      <c r="AO101" s="8"/>
      <c r="AP101" s="8"/>
      <c r="AQ101" s="8"/>
      <c r="AR101" s="8"/>
    </row>
    <row r="102" spans="1:44" s="968" customFormat="1">
      <c r="A102" s="1008"/>
      <c r="B102" s="170"/>
      <c r="C102" s="1091"/>
      <c r="D102" s="1016"/>
      <c r="E102" s="163"/>
      <c r="F102" s="4039"/>
      <c r="G102" s="1092">
        <v>5</v>
      </c>
      <c r="H102" s="1092">
        <v>4</v>
      </c>
      <c r="I102" s="1092">
        <v>3</v>
      </c>
      <c r="J102" s="1092">
        <v>2</v>
      </c>
      <c r="K102" s="1102">
        <v>1</v>
      </c>
      <c r="L102" s="695"/>
      <c r="M102" s="695"/>
      <c r="N102" s="695"/>
      <c r="O102" s="695"/>
      <c r="P102" s="695"/>
      <c r="Q102" s="3521"/>
      <c r="R102" s="3521"/>
      <c r="S102" s="3733"/>
      <c r="T102" s="1022"/>
      <c r="V102" s="1008"/>
      <c r="W102" s="1008"/>
      <c r="X102" s="1008"/>
      <c r="Y102" s="1008"/>
      <c r="Z102" s="1008"/>
      <c r="AA102" s="1008"/>
      <c r="AD102" s="1008"/>
      <c r="AE102" s="8"/>
      <c r="AF102" s="8"/>
      <c r="AG102" s="8"/>
      <c r="AH102" s="8"/>
      <c r="AI102" s="8"/>
      <c r="AJ102" s="8"/>
      <c r="AK102" s="8"/>
      <c r="AL102" s="8"/>
      <c r="AM102" s="8"/>
      <c r="AN102" s="8"/>
      <c r="AO102" s="8"/>
      <c r="AP102" s="8"/>
      <c r="AQ102" s="8"/>
      <c r="AR102" s="8"/>
    </row>
    <row r="103" spans="1:44" s="968" customFormat="1">
      <c r="A103" s="1008"/>
      <c r="B103" s="170"/>
      <c r="C103" s="1091"/>
      <c r="D103" s="1016"/>
      <c r="E103" s="163"/>
      <c r="F103" s="4045" t="str">
        <f>IF(startClimateZone="","None selected",startClimateZone)</f>
        <v>None selected</v>
      </c>
      <c r="G103" s="1705">
        <f>IF(startClimateZone=1,2,IF(startClimateZone=2,3,IF(startClimateZone=3,3,IF(startClimateZone=4,4,IF(startClimateZone=5,6,IF(startClimateZone=6,7,IF(startClimateZone=7,8,IF(startClimateZone=8,9,0))))))))</f>
        <v>0</v>
      </c>
      <c r="H103" s="1705">
        <f>IF(startClimateZone=1,3,IF(startClimateZone=2,4,IF(startClimateZone=3,5,IF(startClimateZone=4,7,IF(startClimateZone=5,10,IF(startClimateZone=6,12,IF(startClimateZone=7,13,IF(startClimateZone=8,14,0))))))))</f>
        <v>0</v>
      </c>
      <c r="I103" s="1705">
        <f>IF(startClimateZone=1,3,IF(startClimateZone=2,5,IF(startClimateZone=3,6,IF(startClimateZone=4,9,IF(startClimateZone=5,13,IF(startClimateZone=6,15,IF(startClimateZone=7,17,IF(startClimateZone=8,19,0))))))))</f>
        <v>0</v>
      </c>
      <c r="J103" s="1705">
        <f>IF(startClimateZone=1,4,IF(startClimateZone=2,6,IF(startClimateZone=3,8,IF(startClimateZone=4,11,IF(startClimateZone=5,15,IF(startClimateZone=6,18,IF(startClimateZone=7,20,IF(startClimateZone=8,23,0))))))))</f>
        <v>0</v>
      </c>
      <c r="K103" s="1706">
        <f>IF(startClimateZone=1,4,IF(startClimateZone=2,5,IF(startClimateZone=3,8,IF(startClimateZone=4,12,IF(startClimateZone=5,17,IF(startClimateZone=6,19,IF(startClimateZone=7,22,IF(startClimateZone=8,24,0))))))))</f>
        <v>0</v>
      </c>
      <c r="L103" s="695"/>
      <c r="M103" s="695"/>
      <c r="N103" s="695"/>
      <c r="O103" s="695"/>
      <c r="P103" s="695"/>
      <c r="Q103" s="3521"/>
      <c r="R103" s="3521"/>
      <c r="S103" s="3733"/>
      <c r="T103" s="1022"/>
      <c r="V103" s="1008"/>
      <c r="W103" s="1008"/>
      <c r="X103" s="1008"/>
      <c r="Y103" s="1008"/>
      <c r="Z103" s="1008"/>
      <c r="AA103" s="1008"/>
      <c r="AD103" s="1008"/>
      <c r="AE103" s="8"/>
      <c r="AF103" s="8"/>
      <c r="AG103" s="8"/>
      <c r="AH103" s="8"/>
      <c r="AI103" s="8"/>
      <c r="AJ103" s="8"/>
      <c r="AK103" s="8"/>
      <c r="AL103" s="8"/>
      <c r="AM103" s="8"/>
      <c r="AN103" s="8"/>
      <c r="AO103" s="8"/>
      <c r="AP103" s="8"/>
      <c r="AQ103" s="8"/>
      <c r="AR103" s="8"/>
    </row>
    <row r="104" spans="1:44" s="1008" customFormat="1" ht="16" thickBot="1">
      <c r="B104" s="170"/>
      <c r="C104" s="1622"/>
      <c r="D104" s="1626"/>
      <c r="E104" s="1623"/>
      <c r="F104" s="4046"/>
      <c r="G104" s="1707" t="s">
        <v>2502</v>
      </c>
      <c r="H104" s="1707" t="s">
        <v>2502</v>
      </c>
      <c r="I104" s="1707" t="s">
        <v>2502</v>
      </c>
      <c r="J104" s="1707" t="s">
        <v>2502</v>
      </c>
      <c r="K104" s="1708" t="s">
        <v>2502</v>
      </c>
      <c r="L104" s="1624"/>
      <c r="M104" s="1624"/>
      <c r="N104" s="1624"/>
      <c r="O104" s="1624"/>
      <c r="P104" s="1624"/>
      <c r="Q104" s="3463"/>
      <c r="R104" s="3463"/>
      <c r="S104" s="4064"/>
      <c r="T104" s="1625"/>
      <c r="AE104" s="8"/>
      <c r="AF104" s="8"/>
      <c r="AG104" s="8"/>
      <c r="AH104" s="8"/>
      <c r="AI104" s="8"/>
      <c r="AJ104" s="8"/>
      <c r="AK104" s="8"/>
      <c r="AL104" s="8"/>
      <c r="AM104" s="8"/>
      <c r="AN104" s="8"/>
      <c r="AO104" s="8"/>
      <c r="AP104" s="8"/>
      <c r="AQ104" s="8"/>
      <c r="AR104" s="8"/>
    </row>
    <row r="105" spans="1:44" s="1008" customFormat="1" ht="15" customHeight="1">
      <c r="B105" s="170"/>
      <c r="C105" s="189"/>
      <c r="D105" s="1016"/>
      <c r="E105" s="695"/>
      <c r="F105" s="4044" t="str">
        <f>IF(startClimateZone="", "No zone chosen for this project. See the Start Here! worksheet.", CONCATENATE("Climate zone ",startClimateZone," chosen for this project. See the Start Here! worksheet."))</f>
        <v>No zone chosen for this project. See the Start Here! worksheet.</v>
      </c>
      <c r="G105" s="4044"/>
      <c r="H105" s="4044"/>
      <c r="I105" s="4044"/>
      <c r="J105" s="4044"/>
      <c r="K105" s="4044"/>
      <c r="L105" s="3954"/>
      <c r="M105" s="3954"/>
      <c r="N105" s="3954"/>
      <c r="O105" s="695"/>
      <c r="P105" s="695"/>
      <c r="Q105" s="3521"/>
      <c r="R105" s="3521"/>
      <c r="S105" s="3733"/>
      <c r="T105" s="1022"/>
      <c r="AE105" s="8"/>
      <c r="AF105" s="8"/>
      <c r="AG105" s="8"/>
      <c r="AH105" s="8"/>
      <c r="AI105" s="8"/>
      <c r="AJ105" s="8"/>
      <c r="AK105" s="8"/>
      <c r="AL105" s="8"/>
      <c r="AM105" s="8"/>
      <c r="AN105" s="8"/>
      <c r="AO105" s="8"/>
      <c r="AP105" s="8"/>
      <c r="AQ105" s="8"/>
      <c r="AR105" s="8"/>
    </row>
    <row r="106" spans="1:44" s="968" customFormat="1" ht="15" customHeight="1">
      <c r="A106" s="1008"/>
      <c r="B106" s="170"/>
      <c r="C106" s="213" t="s">
        <v>1719</v>
      </c>
      <c r="D106" s="883"/>
      <c r="E106" s="1103"/>
      <c r="F106" s="4042" t="s">
        <v>365</v>
      </c>
      <c r="G106" s="4042"/>
      <c r="H106" s="4042"/>
      <c r="I106" s="4042"/>
      <c r="J106" s="4042"/>
      <c r="K106" s="4042"/>
      <c r="L106" s="4042"/>
      <c r="M106" s="4042"/>
      <c r="N106" s="4042"/>
      <c r="O106" s="1104"/>
      <c r="P106" s="1104"/>
      <c r="Q106" s="3742"/>
      <c r="R106" s="3742"/>
      <c r="S106" s="4043"/>
      <c r="T106" s="1045"/>
      <c r="V106" s="1008"/>
      <c r="W106" s="1008"/>
      <c r="X106" s="1008"/>
      <c r="Y106" s="1008"/>
      <c r="Z106" s="1008"/>
      <c r="AA106" s="1008"/>
      <c r="AD106" s="1008"/>
      <c r="AE106" s="8"/>
      <c r="AF106" s="8"/>
      <c r="AG106" s="8"/>
      <c r="AH106" s="8"/>
      <c r="AI106" s="8"/>
      <c r="AJ106" s="8"/>
      <c r="AK106" s="8"/>
      <c r="AL106" s="8"/>
      <c r="AM106" s="8"/>
      <c r="AN106" s="8"/>
      <c r="AO106" s="8"/>
      <c r="AP106" s="8"/>
      <c r="AQ106" s="8"/>
      <c r="AR106" s="8"/>
    </row>
    <row r="107" spans="1:44" s="968" customFormat="1" ht="99.75" customHeight="1" thickBot="1">
      <c r="A107" s="1008"/>
      <c r="B107" s="170"/>
      <c r="C107" s="1002" t="s">
        <v>1720</v>
      </c>
      <c r="D107" s="1016"/>
      <c r="E107" s="1003"/>
      <c r="F107" s="3687" t="s">
        <v>1721</v>
      </c>
      <c r="G107" s="3687"/>
      <c r="H107" s="3687"/>
      <c r="I107" s="3687"/>
      <c r="J107" s="3687"/>
      <c r="K107" s="3687"/>
      <c r="L107" s="3687"/>
      <c r="M107" s="3687"/>
      <c r="N107" s="3687"/>
      <c r="O107" s="211" t="s">
        <v>3</v>
      </c>
      <c r="P107" s="1621"/>
      <c r="Q107" s="3633"/>
      <c r="R107" s="3486"/>
      <c r="S107" s="3934"/>
      <c r="T107" s="990" t="s">
        <v>20</v>
      </c>
      <c r="V107" s="1008"/>
      <c r="W107" s="1008"/>
      <c r="X107" s="1008"/>
      <c r="Y107" s="1008"/>
      <c r="Z107" s="1008"/>
      <c r="AA107" s="1008"/>
      <c r="AD107" s="1008"/>
      <c r="AE107" s="8"/>
      <c r="AF107" s="8"/>
      <c r="AG107" s="8"/>
      <c r="AH107" s="8"/>
      <c r="AI107" s="8"/>
      <c r="AJ107" s="8"/>
      <c r="AK107" s="8"/>
      <c r="AL107" s="8"/>
      <c r="AM107" s="8"/>
      <c r="AN107" s="8"/>
      <c r="AO107" s="8"/>
      <c r="AP107" s="8"/>
      <c r="AQ107" s="8"/>
      <c r="AR107" s="8"/>
    </row>
    <row r="108" spans="1:44" s="968" customFormat="1">
      <c r="A108" s="1008"/>
      <c r="B108" s="170"/>
      <c r="C108" s="1002"/>
      <c r="D108" s="1016"/>
      <c r="E108" s="1003"/>
      <c r="F108" s="3886" t="s">
        <v>1724</v>
      </c>
      <c r="G108" s="3914"/>
      <c r="H108" s="3914"/>
      <c r="I108" s="3914"/>
      <c r="J108" s="3914"/>
      <c r="K108" s="3914"/>
      <c r="L108" s="3914"/>
      <c r="M108" s="3914"/>
      <c r="N108" s="3915"/>
      <c r="O108" s="211"/>
      <c r="P108" s="695"/>
      <c r="Q108" s="1106"/>
      <c r="R108" s="1107"/>
      <c r="S108" s="1107"/>
      <c r="T108" s="1105"/>
      <c r="V108" s="1008"/>
      <c r="W108" s="1008"/>
      <c r="X108" s="1008"/>
      <c r="Y108" s="1008"/>
      <c r="Z108" s="1008"/>
      <c r="AA108" s="1008"/>
      <c r="AD108" s="1008"/>
      <c r="AE108" s="8"/>
      <c r="AF108" s="8"/>
      <c r="AG108" s="8"/>
      <c r="AH108" s="8"/>
      <c r="AI108" s="8"/>
      <c r="AJ108" s="8"/>
      <c r="AK108" s="8"/>
      <c r="AL108" s="8"/>
      <c r="AM108" s="8"/>
      <c r="AN108" s="8"/>
      <c r="AO108" s="8"/>
      <c r="AP108" s="8"/>
      <c r="AQ108" s="8"/>
      <c r="AR108" s="8"/>
    </row>
    <row r="109" spans="1:44" s="968" customFormat="1" ht="30.75" customHeight="1">
      <c r="A109" s="1008"/>
      <c r="B109" s="170"/>
      <c r="C109" s="1002"/>
      <c r="D109" s="1016"/>
      <c r="E109" s="1003"/>
      <c r="F109" s="4048" t="s">
        <v>214</v>
      </c>
      <c r="G109" s="3755" t="s">
        <v>1722</v>
      </c>
      <c r="H109" s="3755"/>
      <c r="I109" s="3755"/>
      <c r="J109" s="3755"/>
      <c r="K109" s="3892" t="s">
        <v>1723</v>
      </c>
      <c r="L109" s="3892"/>
      <c r="M109" s="3892"/>
      <c r="N109" s="4047"/>
      <c r="O109" s="211"/>
      <c r="P109" s="695"/>
      <c r="Q109" s="1106"/>
      <c r="R109" s="1107"/>
      <c r="S109" s="1107"/>
      <c r="T109" s="1108"/>
      <c r="V109" s="1008"/>
      <c r="W109" s="1008"/>
      <c r="X109" s="1008"/>
      <c r="Y109" s="1008"/>
      <c r="Z109" s="1008"/>
      <c r="AA109" s="1008"/>
      <c r="AD109" s="1008"/>
      <c r="AE109" s="8"/>
      <c r="AF109" s="8"/>
      <c r="AG109" s="8"/>
      <c r="AH109" s="8"/>
      <c r="AI109" s="8"/>
      <c r="AJ109" s="8"/>
      <c r="AK109" s="8"/>
      <c r="AL109" s="8"/>
      <c r="AM109" s="8"/>
      <c r="AN109" s="8"/>
      <c r="AO109" s="8"/>
      <c r="AP109" s="8"/>
      <c r="AQ109" s="8"/>
      <c r="AR109" s="8"/>
    </row>
    <row r="110" spans="1:44" s="968" customFormat="1">
      <c r="A110" s="1008"/>
      <c r="B110" s="170"/>
      <c r="C110" s="1002"/>
      <c r="D110" s="1016"/>
      <c r="E110" s="1003"/>
      <c r="F110" s="4048"/>
      <c r="G110" s="3892" t="s">
        <v>352</v>
      </c>
      <c r="H110" s="3892"/>
      <c r="I110" s="3892" t="s">
        <v>353</v>
      </c>
      <c r="J110" s="3892"/>
      <c r="K110" s="3892" t="s">
        <v>352</v>
      </c>
      <c r="L110" s="3892"/>
      <c r="M110" s="3892" t="s">
        <v>353</v>
      </c>
      <c r="N110" s="4047"/>
      <c r="O110" s="211"/>
      <c r="P110" s="695"/>
      <c r="Q110" s="1106"/>
      <c r="R110" s="1107"/>
      <c r="S110" s="1107"/>
      <c r="T110" s="1108"/>
      <c r="V110" s="1008"/>
      <c r="W110" s="1008"/>
      <c r="X110" s="1008"/>
      <c r="Y110" s="1008"/>
      <c r="Z110" s="1008"/>
      <c r="AA110" s="1008"/>
      <c r="AD110" s="1008"/>
      <c r="AE110" s="8"/>
      <c r="AF110" s="8"/>
      <c r="AG110" s="8"/>
      <c r="AH110" s="8"/>
      <c r="AI110" s="8"/>
      <c r="AJ110" s="8"/>
      <c r="AK110" s="8"/>
      <c r="AL110" s="8"/>
      <c r="AM110" s="8"/>
      <c r="AN110" s="8"/>
      <c r="AO110" s="8"/>
      <c r="AP110" s="8"/>
      <c r="AQ110" s="8"/>
      <c r="AR110" s="8"/>
    </row>
    <row r="111" spans="1:44" s="968" customFormat="1" ht="30" customHeight="1" thickBot="1">
      <c r="A111" s="1008"/>
      <c r="B111" s="170"/>
      <c r="C111" s="1002"/>
      <c r="D111" s="1016"/>
      <c r="E111" s="1003"/>
      <c r="F111" s="1109" t="str">
        <f>IF(startClimateZone="","None selected",startClimateZone)</f>
        <v>None selected</v>
      </c>
      <c r="G111" s="3956">
        <f>IF(startClimateZone="",0,IF(startClimateZone=1,0.65,IF(startClimateZone=2,0.65,IF(startClimateZone=3,0.4,0.35))))</f>
        <v>0</v>
      </c>
      <c r="H111" s="3957"/>
      <c r="I111" s="3956">
        <f>IF(startClimateZone="",0,IF(startClimateZone=1,0.3,IF(startClimateZone=2,0.3,IF(startClimateZone=3,0.3,"Any"))))</f>
        <v>0</v>
      </c>
      <c r="J111" s="3957"/>
      <c r="K111" s="3956">
        <f>IF(startClimateZone="",0,IF(startClimateZone=1,0.75,IF(startClimateZone=2,0.75,IF(startClimateZone=3,0.65,0.6))))</f>
        <v>0</v>
      </c>
      <c r="L111" s="3957"/>
      <c r="M111" s="3956">
        <f>IF(startClimateZone="",0,IF(startClimateZone=1,0.3,IF(startClimateZone=2,0.3,IF(startClimateZone=3,0.3,"Any"))))</f>
        <v>0</v>
      </c>
      <c r="N111" s="4049"/>
      <c r="O111" s="211"/>
      <c r="P111" s="695"/>
      <c r="Q111" s="1106"/>
      <c r="R111" s="1107"/>
      <c r="S111" s="1107"/>
      <c r="T111" s="1108"/>
      <c r="V111" s="1008"/>
      <c r="W111" s="1008"/>
      <c r="X111" s="1008"/>
      <c r="Y111" s="1008"/>
      <c r="Z111" s="1008"/>
      <c r="AA111" s="1008"/>
      <c r="AD111" s="1008"/>
      <c r="AE111" s="8"/>
      <c r="AF111" s="8"/>
      <c r="AG111" s="8"/>
      <c r="AH111" s="8"/>
      <c r="AI111" s="8"/>
      <c r="AJ111" s="8"/>
      <c r="AK111" s="8"/>
      <c r="AL111" s="8"/>
      <c r="AM111" s="8"/>
      <c r="AN111" s="8"/>
      <c r="AO111" s="8"/>
      <c r="AP111" s="8"/>
      <c r="AQ111" s="8"/>
      <c r="AR111" s="8"/>
    </row>
    <row r="112" spans="1:44" s="1008" customFormat="1" ht="15" customHeight="1">
      <c r="B112" s="170"/>
      <c r="C112" s="189"/>
      <c r="D112" s="1016"/>
      <c r="E112" s="695"/>
      <c r="F112" s="3953" t="str">
        <f>IF(startClimateZone="", "No zone chosen for this project. See the Start Here! worksheet.", CONCATENATE("Climate zone ",startClimateZone," chosen for this project. See the Start Here! worksheet."))</f>
        <v>No zone chosen for this project. See the Start Here! worksheet.</v>
      </c>
      <c r="G112" s="3953"/>
      <c r="H112" s="3953"/>
      <c r="I112" s="3953"/>
      <c r="J112" s="3953"/>
      <c r="K112" s="3759"/>
      <c r="L112" s="3759"/>
      <c r="M112" s="3759"/>
      <c r="N112" s="3759"/>
      <c r="O112" s="695"/>
      <c r="P112" s="695"/>
      <c r="Q112" s="3521"/>
      <c r="R112" s="3521"/>
      <c r="S112" s="3733"/>
      <c r="T112" s="1108"/>
      <c r="AE112" s="8"/>
      <c r="AF112" s="8"/>
      <c r="AG112" s="8"/>
      <c r="AH112" s="8"/>
      <c r="AI112" s="8"/>
      <c r="AJ112" s="8"/>
      <c r="AK112" s="8"/>
      <c r="AL112" s="8"/>
      <c r="AM112" s="8"/>
      <c r="AN112" s="8"/>
      <c r="AO112" s="8"/>
      <c r="AP112" s="8"/>
      <c r="AQ112" s="8"/>
      <c r="AR112" s="8"/>
    </row>
    <row r="113" spans="1:44" s="968" customFormat="1" ht="69" customHeight="1" thickBot="1">
      <c r="A113" s="1008"/>
      <c r="B113" s="170"/>
      <c r="C113" s="655" t="s">
        <v>1725</v>
      </c>
      <c r="D113" s="1020"/>
      <c r="E113" s="1084"/>
      <c r="F113" s="3681" t="s">
        <v>1726</v>
      </c>
      <c r="G113" s="3681"/>
      <c r="H113" s="3681"/>
      <c r="I113" s="3681"/>
      <c r="J113" s="3681"/>
      <c r="K113" s="3681"/>
      <c r="L113" s="3681"/>
      <c r="M113" s="3681"/>
      <c r="N113" s="3681"/>
      <c r="O113" s="4054" t="s">
        <v>1727</v>
      </c>
      <c r="P113" s="1757"/>
      <c r="Q113" s="3683"/>
      <c r="R113" s="3684"/>
      <c r="S113" s="3712"/>
      <c r="T113" s="991" t="s">
        <v>20</v>
      </c>
      <c r="V113" s="1008"/>
      <c r="W113" s="1008"/>
      <c r="X113" s="1008"/>
      <c r="Y113" s="1008"/>
      <c r="Z113" s="1008"/>
      <c r="AA113" s="1008"/>
      <c r="AD113" s="1008"/>
      <c r="AE113" s="8"/>
      <c r="AF113" s="8"/>
      <c r="AG113" s="8"/>
      <c r="AH113" s="8"/>
      <c r="AI113" s="8"/>
      <c r="AJ113" s="8"/>
      <c r="AK113" s="8"/>
      <c r="AL113" s="8"/>
      <c r="AM113" s="8"/>
      <c r="AN113" s="8"/>
      <c r="AO113" s="8"/>
      <c r="AP113" s="8"/>
      <c r="AQ113" s="8"/>
      <c r="AR113" s="8"/>
    </row>
    <row r="114" spans="1:44" s="968" customFormat="1" ht="20" customHeight="1">
      <c r="A114" s="1008"/>
      <c r="B114" s="170"/>
      <c r="C114" s="1002"/>
      <c r="D114" s="1016"/>
      <c r="E114" s="1003"/>
      <c r="F114" s="3886" t="s">
        <v>1728</v>
      </c>
      <c r="G114" s="3914"/>
      <c r="H114" s="3914"/>
      <c r="I114" s="3914"/>
      <c r="J114" s="3914"/>
      <c r="K114" s="3914"/>
      <c r="L114" s="3914"/>
      <c r="M114" s="3914"/>
      <c r="N114" s="3915"/>
      <c r="O114" s="4055"/>
      <c r="P114" s="874">
        <f>score703.1.6.2</f>
        <v>0</v>
      </c>
      <c r="Q114" s="4061"/>
      <c r="R114" s="3699"/>
      <c r="S114" s="4062"/>
      <c r="T114" s="1105"/>
      <c r="V114" s="1008"/>
      <c r="W114" s="1008"/>
      <c r="X114" s="1008"/>
      <c r="Y114" s="1008"/>
      <c r="Z114" s="1008"/>
      <c r="AA114" s="1008"/>
      <c r="AD114" s="1008"/>
      <c r="AE114" s="8"/>
      <c r="AF114" s="8"/>
      <c r="AG114" s="8"/>
      <c r="AH114" s="8"/>
      <c r="AI114" s="8"/>
      <c r="AJ114" s="8"/>
      <c r="AK114" s="8"/>
      <c r="AL114" s="8"/>
      <c r="AM114" s="8"/>
      <c r="AN114" s="8"/>
      <c r="AO114" s="8"/>
      <c r="AP114" s="8"/>
      <c r="AQ114" s="8"/>
      <c r="AR114" s="8"/>
    </row>
    <row r="115" spans="1:44" s="968" customFormat="1" ht="45" customHeight="1">
      <c r="A115" s="1008"/>
      <c r="B115" s="170"/>
      <c r="C115" s="1002"/>
      <c r="D115" s="1016"/>
      <c r="E115" s="1003"/>
      <c r="F115" s="1111" t="s">
        <v>214</v>
      </c>
      <c r="G115" s="3968" t="s">
        <v>1729</v>
      </c>
      <c r="H115" s="3871"/>
      <c r="I115" s="3968" t="s">
        <v>1730</v>
      </c>
      <c r="J115" s="3871"/>
      <c r="K115" s="4050" t="s">
        <v>1731</v>
      </c>
      <c r="L115" s="4051"/>
      <c r="M115" s="239" t="s">
        <v>1732</v>
      </c>
      <c r="N115" s="1112" t="s">
        <v>288</v>
      </c>
      <c r="O115" s="211"/>
      <c r="P115" s="695"/>
      <c r="Q115" s="3699"/>
      <c r="R115" s="3699"/>
      <c r="S115" s="4062"/>
      <c r="T115" s="1108"/>
      <c r="V115" s="1008"/>
      <c r="W115" s="1008"/>
      <c r="X115" s="1008"/>
      <c r="Y115" s="1008"/>
      <c r="Z115" s="1008"/>
      <c r="AA115" s="1008"/>
      <c r="AD115" s="1008"/>
      <c r="AE115" s="8"/>
      <c r="AF115" s="8"/>
      <c r="AG115" s="8"/>
      <c r="AH115" s="8"/>
      <c r="AI115" s="8"/>
      <c r="AJ115" s="8"/>
      <c r="AK115" s="8"/>
      <c r="AL115" s="8"/>
      <c r="AM115" s="8"/>
      <c r="AN115" s="8"/>
      <c r="AO115" s="8"/>
      <c r="AP115" s="8"/>
      <c r="AQ115" s="8"/>
      <c r="AR115" s="8"/>
    </row>
    <row r="116" spans="1:44" s="968" customFormat="1" ht="30" customHeight="1" thickBot="1">
      <c r="A116" s="1008"/>
      <c r="B116" s="170"/>
      <c r="C116" s="1002"/>
      <c r="D116" s="1016"/>
      <c r="E116" s="1003"/>
      <c r="F116" s="1109" t="str">
        <f>IF(startClimateZone="","None selected",startClimateZone)</f>
        <v>None selected</v>
      </c>
      <c r="G116" s="4052">
        <f>IF(startClimateZone="",0,IF(startClimateZone=1,0.6,IF(startClimateZone=2,0.6,IF(startClimateZone=3,0.35,IF(startClimateZone=4,0.32,0.3)))))</f>
        <v>0</v>
      </c>
      <c r="H116" s="4052"/>
      <c r="I116" s="4052">
        <f>IF(startClimateZone="",0,IF(startClimateZone=1,0.27,IF(startClimateZone=2,0.27,IF(startClimateZone=3,0.3,IF(startClimateZone=4,0.4,"Any")))))</f>
        <v>0</v>
      </c>
      <c r="J116" s="4052"/>
      <c r="K116" s="4052">
        <f>IF(startClimateZone="",0,IF(startClimateZone=1,0.7,IF(startClimateZone=2,0.7,IF(startClimateZone=3,0.57,IF(startClimateZone=4,0.55,0.55)))))</f>
        <v>0</v>
      </c>
      <c r="L116" s="4052"/>
      <c r="M116" s="1113">
        <f>IF(startClimateZone="",0,IF(startClimateZone=1,0.3,IF(startClimateZone=2,0.3,IF(startClimateZone=3,0.3,IF(startClimateZone=4,0.4,"Any")))))</f>
        <v>0</v>
      </c>
      <c r="N116" s="1114">
        <f>IF(startClimateZone=1,10,IF(startClimateZone=2,5,IF(startClimateZone=3,6,IF(startClimateZone=4,2,IF(startClimateZone=5,5,IF(startClimateZone=6,5,IF(startClimateZone=7,5,IF(startClimateZone=8,5,0))))))))</f>
        <v>0</v>
      </c>
      <c r="O116" s="211"/>
      <c r="P116" s="695"/>
      <c r="Q116" s="3699"/>
      <c r="R116" s="3699"/>
      <c r="S116" s="4062"/>
      <c r="T116" s="1108"/>
      <c r="V116" s="1008"/>
      <c r="W116" s="1008"/>
      <c r="X116" s="1008"/>
      <c r="Y116" s="1008"/>
      <c r="Z116" s="1008"/>
      <c r="AA116" s="1008"/>
      <c r="AD116" s="1008"/>
      <c r="AE116" s="8"/>
      <c r="AF116" s="8"/>
      <c r="AG116" s="8"/>
      <c r="AH116" s="8"/>
      <c r="AI116" s="8"/>
      <c r="AJ116" s="8"/>
      <c r="AK116" s="8"/>
      <c r="AL116" s="8"/>
      <c r="AM116" s="8"/>
      <c r="AN116" s="8"/>
      <c r="AO116" s="8"/>
      <c r="AP116" s="8"/>
      <c r="AQ116" s="8"/>
      <c r="AR116" s="8"/>
    </row>
    <row r="117" spans="1:44" s="968" customFormat="1" ht="45" customHeight="1" thickBot="1">
      <c r="A117" s="1008"/>
      <c r="B117" s="170"/>
      <c r="C117" s="1002"/>
      <c r="D117" s="1016"/>
      <c r="E117" s="1003"/>
      <c r="F117" s="4060" t="s">
        <v>1751</v>
      </c>
      <c r="G117" s="4060"/>
      <c r="H117" s="4060"/>
      <c r="I117" s="4060"/>
      <c r="J117" s="4060"/>
      <c r="K117" s="4060"/>
      <c r="L117" s="4060"/>
      <c r="M117" s="4060"/>
      <c r="N117" s="4060"/>
      <c r="O117" s="211"/>
      <c r="P117" s="695"/>
      <c r="Q117" s="3699"/>
      <c r="R117" s="3699"/>
      <c r="S117" s="4062"/>
      <c r="T117" s="1108"/>
      <c r="V117" s="1008"/>
      <c r="W117" s="1008"/>
      <c r="X117" s="1008"/>
      <c r="Y117" s="1008"/>
      <c r="Z117" s="1008"/>
      <c r="AA117" s="1008"/>
      <c r="AD117" s="1008"/>
      <c r="AE117" s="8"/>
      <c r="AF117" s="8"/>
      <c r="AG117" s="8"/>
      <c r="AH117" s="8"/>
      <c r="AI117" s="8"/>
      <c r="AJ117" s="8"/>
      <c r="AK117" s="8"/>
      <c r="AL117" s="8"/>
      <c r="AM117" s="8"/>
      <c r="AN117" s="8"/>
      <c r="AO117" s="8"/>
      <c r="AP117" s="8"/>
      <c r="AQ117" s="8"/>
      <c r="AR117" s="8"/>
    </row>
    <row r="118" spans="1:44" s="968" customFormat="1">
      <c r="A118" s="1008"/>
      <c r="B118" s="170"/>
      <c r="C118" s="1002"/>
      <c r="D118" s="1016"/>
      <c r="E118" s="1003"/>
      <c r="F118" s="3886" t="s">
        <v>1733</v>
      </c>
      <c r="G118" s="3914"/>
      <c r="H118" s="3914"/>
      <c r="I118" s="3914"/>
      <c r="J118" s="3914"/>
      <c r="K118" s="3914"/>
      <c r="L118" s="3914"/>
      <c r="M118" s="3914"/>
      <c r="N118" s="3915"/>
      <c r="O118" s="211"/>
      <c r="P118" s="695"/>
      <c r="Q118" s="3699"/>
      <c r="R118" s="3699"/>
      <c r="S118" s="4062"/>
      <c r="T118" s="1105"/>
      <c r="V118" s="1008"/>
      <c r="W118" s="1008"/>
      <c r="X118" s="1008"/>
      <c r="Y118" s="1008"/>
      <c r="Z118" s="1008"/>
      <c r="AA118" s="1008"/>
      <c r="AD118" s="1008"/>
      <c r="AE118" s="8"/>
      <c r="AF118" s="8"/>
      <c r="AG118" s="8"/>
      <c r="AH118" s="8"/>
      <c r="AI118" s="8"/>
      <c r="AJ118" s="8"/>
      <c r="AK118" s="8"/>
      <c r="AL118" s="8"/>
      <c r="AM118" s="8"/>
      <c r="AN118" s="8"/>
      <c r="AO118" s="8"/>
      <c r="AP118" s="8"/>
      <c r="AQ118" s="8"/>
      <c r="AR118" s="8"/>
    </row>
    <row r="119" spans="1:44" s="968" customFormat="1" ht="45" customHeight="1">
      <c r="A119" s="1008"/>
      <c r="B119" s="170"/>
      <c r="C119" s="1002"/>
      <c r="D119" s="1016"/>
      <c r="E119" s="1003"/>
      <c r="F119" s="1111" t="s">
        <v>214</v>
      </c>
      <c r="G119" s="3968" t="s">
        <v>1729</v>
      </c>
      <c r="H119" s="3871"/>
      <c r="I119" s="3968" t="s">
        <v>1730</v>
      </c>
      <c r="J119" s="3871"/>
      <c r="K119" s="4050" t="s">
        <v>1731</v>
      </c>
      <c r="L119" s="4051"/>
      <c r="M119" s="239" t="s">
        <v>1732</v>
      </c>
      <c r="N119" s="1112" t="s">
        <v>288</v>
      </c>
      <c r="O119" s="211"/>
      <c r="P119" s="695"/>
      <c r="Q119" s="3699"/>
      <c r="R119" s="3699"/>
      <c r="S119" s="4062"/>
      <c r="T119" s="1108"/>
      <c r="V119" s="1008"/>
      <c r="W119" s="1008"/>
      <c r="X119" s="1008"/>
      <c r="Y119" s="1008"/>
      <c r="Z119" s="1008"/>
      <c r="AA119" s="1008"/>
      <c r="AD119" s="1008"/>
      <c r="AE119" s="8"/>
      <c r="AF119" s="8"/>
      <c r="AG119" s="8"/>
      <c r="AH119" s="8"/>
      <c r="AI119" s="8"/>
      <c r="AJ119" s="8"/>
      <c r="AK119" s="8"/>
      <c r="AL119" s="8"/>
      <c r="AM119" s="8"/>
      <c r="AN119" s="8"/>
      <c r="AO119" s="8"/>
      <c r="AP119" s="8"/>
      <c r="AQ119" s="8"/>
      <c r="AR119" s="8"/>
    </row>
    <row r="120" spans="1:44" s="968" customFormat="1" ht="30" customHeight="1" thickBot="1">
      <c r="A120" s="1008"/>
      <c r="B120" s="170"/>
      <c r="C120" s="1002"/>
      <c r="D120" s="1016"/>
      <c r="E120" s="1003"/>
      <c r="F120" s="1109" t="str">
        <f>IF(startClimateZone="","None selected",startClimateZone)</f>
        <v>None selected</v>
      </c>
      <c r="G120" s="4052">
        <f>IF(startClimateZone="",0,IF(startClimateZone=1,0.4,IF(startClimateZone=2,0.4,IF(startClimateZone=3,0.3,IF(startClimateZone=4,0.28,0.25)))))</f>
        <v>0</v>
      </c>
      <c r="H120" s="4052"/>
      <c r="I120" s="4052">
        <f>IF(startClimateZone="",0,IF(startClimateZone=1,0.25,IF(startClimateZone=2,0.25,IF(startClimateZone=3,0.25,IF(startClimateZone=4,0.4,"Any")))))</f>
        <v>0</v>
      </c>
      <c r="J120" s="4052"/>
      <c r="K120" s="4052">
        <f>IF(startClimateZone="",0,IF(startClimateZone=1,0.5,IF(startClimateZone=2,0.5,IF(startClimateZone=3,0.5,IF(startClimateZone=4,0.5,0.5)))))</f>
        <v>0</v>
      </c>
      <c r="L120" s="4052"/>
      <c r="M120" s="1113">
        <f>IF(startClimateZone="",0,IF(startClimateZone=1,0.3,IF(startClimateZone=2,0.3,IF(startClimateZone=3,0.35,IF(startClimateZone=4,0.4,"Any")))))</f>
        <v>0</v>
      </c>
      <c r="N120" s="1114">
        <f>IF(startClimateZone=1,13,IF(startClimateZone=2,9,IF(startClimateZone=3,9,IF(startClimateZone=4,4,IF(startClimateZone=5,8,IF(startClimateZone=6,9,IF(startClimateZone=7,9,IF(startClimateZone=8,9,0))))))))</f>
        <v>0</v>
      </c>
      <c r="O120" s="211"/>
      <c r="P120" s="695"/>
      <c r="Q120" s="3699"/>
      <c r="R120" s="3699"/>
      <c r="S120" s="4062"/>
      <c r="T120" s="1108"/>
      <c r="V120" s="1008"/>
      <c r="W120" s="1008"/>
      <c r="X120" s="1008"/>
      <c r="Y120" s="1008"/>
      <c r="Z120" s="1008"/>
      <c r="AA120" s="1008"/>
      <c r="AD120" s="1008"/>
      <c r="AE120" s="8"/>
      <c r="AF120" s="8"/>
      <c r="AG120" s="8"/>
      <c r="AH120" s="8"/>
      <c r="AI120" s="8"/>
      <c r="AJ120" s="8"/>
      <c r="AK120" s="8"/>
      <c r="AL120" s="8"/>
      <c r="AM120" s="8"/>
      <c r="AN120" s="8"/>
      <c r="AO120" s="8"/>
      <c r="AP120" s="8"/>
      <c r="AQ120" s="8"/>
      <c r="AR120" s="8"/>
    </row>
    <row r="121" spans="1:44" s="968" customFormat="1" ht="16" thickBot="1">
      <c r="A121" s="1008"/>
      <c r="B121" s="170"/>
      <c r="C121" s="1002"/>
      <c r="D121" s="1016"/>
      <c r="E121" s="1003"/>
      <c r="F121" s="1110"/>
      <c r="G121" s="1110"/>
      <c r="H121" s="1110"/>
      <c r="I121" s="1110"/>
      <c r="J121" s="1110"/>
      <c r="K121" s="1110"/>
      <c r="L121" s="1110"/>
      <c r="M121" s="1110"/>
      <c r="N121" s="1110"/>
      <c r="O121" s="211"/>
      <c r="P121" s="695"/>
      <c r="Q121" s="3699"/>
      <c r="R121" s="3699"/>
      <c r="S121" s="4062"/>
      <c r="T121" s="1108"/>
      <c r="V121" s="1008"/>
      <c r="W121" s="1008"/>
      <c r="X121" s="1008"/>
      <c r="Y121" s="1008"/>
      <c r="Z121" s="1008"/>
      <c r="AA121" s="1008"/>
      <c r="AD121" s="1008"/>
      <c r="AE121" s="8"/>
      <c r="AF121" s="8"/>
      <c r="AG121" s="8"/>
      <c r="AH121" s="8"/>
      <c r="AI121" s="8"/>
      <c r="AJ121" s="8"/>
      <c r="AK121" s="8"/>
      <c r="AL121" s="8"/>
      <c r="AM121" s="8"/>
      <c r="AN121" s="8"/>
      <c r="AO121" s="8"/>
      <c r="AP121" s="8"/>
      <c r="AQ121" s="8"/>
      <c r="AR121" s="8"/>
    </row>
    <row r="122" spans="1:44" s="968" customFormat="1">
      <c r="A122" s="1008"/>
      <c r="B122" s="170"/>
      <c r="C122" s="1002"/>
      <c r="D122" s="1016"/>
      <c r="E122" s="1003"/>
      <c r="F122" s="3886" t="s">
        <v>1734</v>
      </c>
      <c r="G122" s="3914"/>
      <c r="H122" s="3914"/>
      <c r="I122" s="3914"/>
      <c r="J122" s="3914"/>
      <c r="K122" s="3914"/>
      <c r="L122" s="3914"/>
      <c r="M122" s="3914"/>
      <c r="N122" s="3915"/>
      <c r="O122" s="211"/>
      <c r="P122" s="695"/>
      <c r="Q122" s="3699"/>
      <c r="R122" s="3699"/>
      <c r="S122" s="4062"/>
      <c r="T122" s="1105"/>
      <c r="V122" s="1008"/>
      <c r="W122" s="1008"/>
      <c r="X122" s="1008"/>
      <c r="Y122" s="1008"/>
      <c r="Z122" s="1008"/>
      <c r="AA122" s="1008"/>
      <c r="AD122" s="1008"/>
      <c r="AE122" s="8"/>
      <c r="AF122" s="8"/>
      <c r="AG122" s="8"/>
      <c r="AH122" s="8"/>
      <c r="AI122" s="8"/>
      <c r="AJ122" s="8"/>
      <c r="AK122" s="8"/>
      <c r="AL122" s="8"/>
      <c r="AM122" s="8"/>
      <c r="AN122" s="8"/>
      <c r="AO122" s="8"/>
      <c r="AP122" s="8"/>
      <c r="AQ122" s="8"/>
      <c r="AR122" s="8"/>
    </row>
    <row r="123" spans="1:44" s="968" customFormat="1" ht="45" customHeight="1">
      <c r="A123" s="1008"/>
      <c r="B123" s="170"/>
      <c r="C123" s="1002"/>
      <c r="D123" s="1016"/>
      <c r="E123" s="1003"/>
      <c r="F123" s="1111" t="s">
        <v>214</v>
      </c>
      <c r="G123" s="3968" t="s">
        <v>1729</v>
      </c>
      <c r="H123" s="3871"/>
      <c r="I123" s="3968" t="s">
        <v>1730</v>
      </c>
      <c r="J123" s="3871"/>
      <c r="K123" s="4050" t="s">
        <v>1731</v>
      </c>
      <c r="L123" s="4051"/>
      <c r="M123" s="239" t="s">
        <v>1732</v>
      </c>
      <c r="N123" s="1112" t="s">
        <v>288</v>
      </c>
      <c r="O123" s="211"/>
      <c r="P123" s="695"/>
      <c r="Q123" s="3699"/>
      <c r="R123" s="3699"/>
      <c r="S123" s="4062"/>
      <c r="T123" s="1108"/>
      <c r="V123" s="1008"/>
      <c r="W123" s="1008"/>
      <c r="X123" s="1008"/>
      <c r="Y123" s="1008"/>
      <c r="Z123" s="1008"/>
      <c r="AA123" s="1008"/>
      <c r="AD123" s="1008"/>
      <c r="AE123" s="8"/>
      <c r="AF123" s="8"/>
      <c r="AG123" s="8"/>
      <c r="AH123" s="8"/>
      <c r="AI123" s="8"/>
      <c r="AJ123" s="8"/>
      <c r="AK123" s="8"/>
      <c r="AL123" s="8"/>
      <c r="AM123" s="8"/>
      <c r="AN123" s="8"/>
      <c r="AO123" s="8"/>
      <c r="AP123" s="8"/>
      <c r="AQ123" s="8"/>
      <c r="AR123" s="8"/>
    </row>
    <row r="124" spans="1:44" s="968" customFormat="1" ht="30" customHeight="1" thickBot="1">
      <c r="A124" s="1008"/>
      <c r="B124" s="170"/>
      <c r="C124" s="1002"/>
      <c r="D124" s="1016"/>
      <c r="E124" s="1003"/>
      <c r="F124" s="1109" t="str">
        <f>IF(startClimateZone="","None selected",startClimateZone)</f>
        <v>None selected</v>
      </c>
      <c r="G124" s="4052">
        <f>IF(startClimateZone="",0,IF(startClimateZone=4,0.25,IF(startClimateZone=5,0.22,IF(startClimateZone=6,0.22,IF(startClimateZone=7,0.22,IF(startClimateZone=8,0.22,"N/A"))))))</f>
        <v>0</v>
      </c>
      <c r="H124" s="4052"/>
      <c r="I124" s="4052">
        <f>IF(startClimateZone="",0,IF(startClimateZone=4,0.4,IF(startClimateZone=5,"Any",IF(startClimateZone=6,"Any",IF(startClimateZone=7,"Any",IF(startClimateZone=8,"Any","N/A"))))))</f>
        <v>0</v>
      </c>
      <c r="J124" s="4052"/>
      <c r="K124" s="4052">
        <f>IF(startClimateZone="",0,IF(startClimateZone=4,0.4,IF(startClimateZone=5,0.4,IF(startClimateZone=6,0.5,IF(startClimateZone=7,0.5,IF(startClimateZone=8,0.5,"N/A"))))))</f>
        <v>0</v>
      </c>
      <c r="L124" s="4052"/>
      <c r="M124" s="1113">
        <f>IF(startClimateZone="",0,IF(startClimateZone=4,0.4,IF(startClimateZone=5,"Any",IF(startClimateZone=6,"Any",IF(startClimateZone=7,"Any",IF(startClimateZone=8,"Any","N/A"))))))</f>
        <v>0</v>
      </c>
      <c r="N124" s="1114">
        <f>IF(startClimateZone=1,0,IF(startClimateZone=2,0,IF(startClimateZone=3,0,IF(startClimateZone=4,5,IF(startClimateZone=5,9,IF(startClimateZone=6,9,IF(startClimateZone=7,9,IF(startClimateZone=8,9,0))))))))</f>
        <v>0</v>
      </c>
      <c r="O124" s="211"/>
      <c r="P124" s="695"/>
      <c r="Q124" s="3699"/>
      <c r="R124" s="3699"/>
      <c r="S124" s="4062"/>
      <c r="T124" s="1108"/>
      <c r="V124" s="1008"/>
      <c r="W124" s="1008"/>
      <c r="X124" s="1008"/>
      <c r="Y124" s="1008"/>
      <c r="Z124" s="1008"/>
      <c r="AA124" s="1008"/>
      <c r="AD124" s="1008"/>
      <c r="AE124" s="8"/>
      <c r="AF124" s="8"/>
      <c r="AG124" s="8"/>
      <c r="AH124" s="8"/>
      <c r="AI124" s="8"/>
      <c r="AJ124" s="8"/>
      <c r="AK124" s="8"/>
      <c r="AL124" s="8"/>
      <c r="AM124" s="8"/>
      <c r="AN124" s="8"/>
      <c r="AO124" s="8"/>
      <c r="AP124" s="8"/>
      <c r="AQ124" s="8"/>
      <c r="AR124" s="8"/>
    </row>
    <row r="125" spans="1:44" s="1008" customFormat="1" ht="15" customHeight="1" thickBot="1">
      <c r="B125" s="170"/>
      <c r="C125" s="189"/>
      <c r="D125" s="1016"/>
      <c r="E125" s="695"/>
      <c r="F125" s="3953" t="str">
        <f>IF(startClimateZone="", "No zone chosen for this project. See the Start Here! worksheet.", CONCATENATE("Climate zone ",startClimateZone," chosen for this project. See the Start Here! worksheet."))</f>
        <v>No zone chosen for this project. See the Start Here! worksheet.</v>
      </c>
      <c r="G125" s="3953"/>
      <c r="H125" s="3953"/>
      <c r="I125" s="3953"/>
      <c r="J125" s="3953"/>
      <c r="K125" s="3759"/>
      <c r="L125" s="3759"/>
      <c r="M125" s="3759"/>
      <c r="N125" s="3759"/>
      <c r="O125" s="695"/>
      <c r="P125" s="695"/>
      <c r="Q125" s="3521"/>
      <c r="R125" s="3521"/>
      <c r="S125" s="3733"/>
      <c r="T125" s="1108"/>
      <c r="AE125" s="8"/>
      <c r="AF125" s="8"/>
      <c r="AG125" s="8"/>
      <c r="AH125" s="8"/>
      <c r="AI125" s="8"/>
      <c r="AJ125" s="8"/>
      <c r="AK125" s="8"/>
      <c r="AL125" s="8"/>
      <c r="AM125" s="8"/>
      <c r="AN125" s="8"/>
      <c r="AO125" s="8"/>
      <c r="AP125" s="8"/>
      <c r="AQ125" s="8"/>
      <c r="AR125" s="8"/>
    </row>
    <row r="126" spans="1:44" ht="15" customHeight="1" thickTop="1">
      <c r="C126" s="1115">
        <v>703.2</v>
      </c>
      <c r="D126" s="1116"/>
      <c r="E126" s="1116"/>
      <c r="F126" s="3858" t="s">
        <v>367</v>
      </c>
      <c r="G126" s="3858"/>
      <c r="H126" s="3858"/>
      <c r="I126" s="3858"/>
      <c r="J126" s="3858"/>
      <c r="K126" s="3858"/>
      <c r="L126" s="3858"/>
      <c r="M126" s="3858"/>
      <c r="N126" s="3858"/>
      <c r="O126" s="1117"/>
      <c r="P126" s="1118"/>
      <c r="Q126" s="3852"/>
      <c r="R126" s="3852"/>
      <c r="S126" s="1119"/>
      <c r="T126" s="929"/>
      <c r="U126" s="154"/>
      <c r="V126" s="154"/>
      <c r="W126" s="154"/>
      <c r="X126" s="154"/>
      <c r="Y126" s="154"/>
      <c r="Z126" s="154"/>
      <c r="AA126" s="154"/>
      <c r="AB126" s="154"/>
      <c r="AC126" s="154"/>
      <c r="AD126" s="154"/>
    </row>
    <row r="127" spans="1:44" ht="60" customHeight="1">
      <c r="C127" s="1091" t="s">
        <v>364</v>
      </c>
      <c r="D127" s="1016"/>
      <c r="E127" s="163"/>
      <c r="F127" s="3687" t="s">
        <v>1738</v>
      </c>
      <c r="G127" s="3719"/>
      <c r="H127" s="3719"/>
      <c r="I127" s="3719"/>
      <c r="J127" s="3719"/>
      <c r="K127" s="3719"/>
      <c r="L127" s="3719"/>
      <c r="M127" s="3719"/>
      <c r="N127" s="3719"/>
      <c r="O127" s="1049">
        <v>4</v>
      </c>
      <c r="P127" s="1001"/>
      <c r="Q127" s="3633"/>
      <c r="R127" s="3486"/>
      <c r="S127" s="3486"/>
      <c r="T127" s="997" t="s">
        <v>20</v>
      </c>
    </row>
    <row r="128" spans="1:44">
      <c r="C128" s="189"/>
      <c r="D128" s="1016"/>
      <c r="E128" s="695"/>
      <c r="F128" s="3548" t="s">
        <v>1977</v>
      </c>
      <c r="G128" s="3548"/>
      <c r="H128" s="3548"/>
      <c r="I128" s="3548"/>
      <c r="J128" s="3548"/>
      <c r="K128" s="3548"/>
      <c r="L128" s="3548"/>
      <c r="M128" s="3548"/>
      <c r="N128" s="3548"/>
      <c r="O128" s="214"/>
      <c r="P128" s="695"/>
      <c r="Q128" s="3931"/>
      <c r="R128" s="3931"/>
      <c r="S128" s="3932"/>
      <c r="T128" s="1022"/>
    </row>
    <row r="129" spans="1:44" ht="27.75" customHeight="1">
      <c r="C129" s="1100" t="s">
        <v>1739</v>
      </c>
      <c r="D129" s="1020"/>
      <c r="E129" s="1078"/>
      <c r="F129" s="3681" t="s">
        <v>1740</v>
      </c>
      <c r="G129" s="3681"/>
      <c r="H129" s="3681"/>
      <c r="I129" s="3681"/>
      <c r="J129" s="3681"/>
      <c r="K129" s="3681"/>
      <c r="L129" s="3681"/>
      <c r="M129" s="3681"/>
      <c r="N129" s="3681"/>
      <c r="O129" s="1121"/>
      <c r="P129" s="1122" t="s">
        <v>1761</v>
      </c>
      <c r="Q129" s="4058"/>
      <c r="R129" s="4058"/>
      <c r="S129" s="4059"/>
      <c r="T129" s="1123"/>
    </row>
    <row r="130" spans="1:44" ht="14.25" customHeight="1" thickBot="1">
      <c r="A130" s="1008" t="str">
        <f>IF(startHVAC1="Electric Resistance","x","")</f>
        <v/>
      </c>
      <c r="B130" s="1742" t="str">
        <f t="shared" ref="B130:B139" si="0">IF(OR(startHVAC1="Furnace",startHVAC2="Furnace",startHVAC3="Furnace",startHVAC1="Other",startHVAC2="Other",startHVAC3="Other"),"","x")</f>
        <v>x</v>
      </c>
      <c r="C130" s="1091"/>
      <c r="D130" s="1124"/>
      <c r="E130" s="1125"/>
      <c r="F130" s="1126"/>
      <c r="G130" s="1126"/>
      <c r="H130" s="1126"/>
      <c r="I130" s="1126"/>
      <c r="J130" s="1126"/>
      <c r="K130" s="1126"/>
      <c r="L130" s="1126"/>
      <c r="M130" s="1126"/>
      <c r="N130" s="1126"/>
      <c r="O130" s="3702" t="s">
        <v>1752</v>
      </c>
      <c r="P130" s="1758"/>
      <c r="Q130" s="4056"/>
      <c r="R130" s="4057"/>
      <c r="S130" s="4057"/>
      <c r="T130" s="1239" t="s">
        <v>20</v>
      </c>
    </row>
    <row r="131" spans="1:44" s="968" customFormat="1">
      <c r="A131" s="1008"/>
      <c r="B131" s="1742" t="str">
        <f t="shared" si="0"/>
        <v>x</v>
      </c>
      <c r="C131" s="1240"/>
      <c r="D131" s="1128"/>
      <c r="E131" s="1128"/>
      <c r="F131" s="3973" t="s">
        <v>1741</v>
      </c>
      <c r="G131" s="3737"/>
      <c r="H131" s="3737"/>
      <c r="I131" s="3737"/>
      <c r="J131" s="3737"/>
      <c r="K131" s="3738"/>
      <c r="L131" s="1128"/>
      <c r="M131" s="1128"/>
      <c r="N131" s="1128"/>
      <c r="O131" s="3702"/>
      <c r="P131" s="1127" t="s">
        <v>1762</v>
      </c>
      <c r="Q131" s="3674"/>
      <c r="R131" s="3674"/>
      <c r="S131" s="3674"/>
      <c r="T131" s="1241"/>
      <c r="V131" s="1008"/>
      <c r="W131" s="1008"/>
      <c r="X131" s="1008"/>
      <c r="Y131" s="1008"/>
      <c r="Z131" s="1008"/>
      <c r="AA131" s="1008"/>
      <c r="AD131" s="1008"/>
      <c r="AE131" s="8"/>
      <c r="AF131" s="8"/>
      <c r="AG131" s="8"/>
      <c r="AH131" s="8"/>
      <c r="AI131" s="8"/>
      <c r="AJ131" s="8"/>
      <c r="AK131" s="8"/>
      <c r="AL131" s="8"/>
      <c r="AM131" s="8"/>
      <c r="AN131" s="8"/>
      <c r="AO131" s="8"/>
      <c r="AP131" s="8"/>
      <c r="AQ131" s="8"/>
      <c r="AR131" s="8"/>
    </row>
    <row r="132" spans="1:44" s="968" customFormat="1">
      <c r="A132" s="1008" t="str">
        <f>A130</f>
        <v/>
      </c>
      <c r="B132" s="1742" t="str">
        <f t="shared" si="0"/>
        <v>x</v>
      </c>
      <c r="C132" s="1240"/>
      <c r="D132" s="1128"/>
      <c r="E132" s="1128"/>
      <c r="F132" s="3754" t="str">
        <f>IF(startClimateZone="","No Climate Zone selected",CONCATENATE("For Climate Zone ",startClimateZone))</f>
        <v>No Climate Zone selected</v>
      </c>
      <c r="G132" s="3755"/>
      <c r="H132" s="3755"/>
      <c r="I132" s="3755"/>
      <c r="J132" s="3755"/>
      <c r="K132" s="3756"/>
      <c r="L132" s="1128"/>
      <c r="M132" s="1128"/>
      <c r="N132" s="1128"/>
      <c r="O132" s="3702"/>
      <c r="P132" s="1759"/>
      <c r="Q132" s="3674"/>
      <c r="R132" s="3674"/>
      <c r="S132" s="3674"/>
      <c r="T132" s="1241"/>
      <c r="V132" s="1008"/>
      <c r="W132" s="1008"/>
      <c r="X132" s="1008"/>
      <c r="Y132" s="1008"/>
      <c r="Z132" s="1008"/>
      <c r="AA132" s="1008"/>
      <c r="AD132" s="1008"/>
      <c r="AE132" s="8"/>
      <c r="AF132" s="8"/>
      <c r="AG132" s="8"/>
      <c r="AH132" s="8"/>
      <c r="AI132" s="8"/>
      <c r="AJ132" s="8"/>
      <c r="AK132" s="8"/>
      <c r="AL132" s="8"/>
      <c r="AM132" s="8"/>
      <c r="AN132" s="8"/>
      <c r="AO132" s="8"/>
      <c r="AP132" s="8"/>
      <c r="AQ132" s="8"/>
      <c r="AR132" s="8"/>
    </row>
    <row r="133" spans="1:44" s="968" customFormat="1" ht="30">
      <c r="A133" s="1008" t="str">
        <f>IF(OR(startHeatingFuel="Gas",startHeatingFuel="Propane"),"G","")</f>
        <v/>
      </c>
      <c r="B133" s="1742" t="str">
        <f t="shared" si="0"/>
        <v>x</v>
      </c>
      <c r="C133" s="1240"/>
      <c r="D133" s="1128"/>
      <c r="E133" s="1128"/>
      <c r="F133" s="1129"/>
      <c r="G133" s="1130" t="s">
        <v>1742</v>
      </c>
      <c r="H133" s="1130" t="s">
        <v>1743</v>
      </c>
      <c r="I133" s="1130" t="s">
        <v>1744</v>
      </c>
      <c r="J133" s="1130" t="s">
        <v>1745</v>
      </c>
      <c r="K133" s="1131" t="s">
        <v>1746</v>
      </c>
      <c r="L133" s="1128"/>
      <c r="M133" s="1128"/>
      <c r="N133" s="1128"/>
      <c r="O133" s="4105"/>
      <c r="P133" s="874">
        <f>IF(startClimateZone=1, score703.2.2Zone1,IF(startClimateZone=2,score703.2.2Zone2,IF(startClimateZone=3,score703.2.2Zone3,IF(startClimateZone=4,score703.2.2Zone4,IF(startClimateZone=5,score703.2.2Zone5,IF(startClimateZone=6,score703.2.2Zone6,IF(startClimateZone=7,score703.2.2Zone7,IF(startClimateZone=8,score703.2.2Zone8,0))))))))</f>
        <v>0</v>
      </c>
      <c r="Q133" s="3945"/>
      <c r="R133" s="3945"/>
      <c r="S133" s="3945"/>
      <c r="T133" s="1241"/>
      <c r="V133" s="1008"/>
      <c r="W133" s="1008"/>
      <c r="X133" s="1008"/>
      <c r="Y133" s="1008"/>
      <c r="Z133" s="1008"/>
      <c r="AA133" s="1008"/>
      <c r="AD133" s="1008"/>
      <c r="AE133" s="8"/>
      <c r="AF133" s="8"/>
      <c r="AG133" s="8"/>
      <c r="AH133" s="8"/>
      <c r="AI133" s="8"/>
      <c r="AJ133" s="8"/>
      <c r="AK133" s="8"/>
      <c r="AL133" s="8"/>
      <c r="AM133" s="8"/>
      <c r="AN133" s="8"/>
      <c r="AO133" s="8"/>
      <c r="AP133" s="8"/>
      <c r="AQ133" s="8"/>
      <c r="AR133" s="8"/>
    </row>
    <row r="134" spans="1:44" s="968" customFormat="1" ht="16" thickBot="1">
      <c r="A134" s="1008" t="str">
        <f>IF(startHeatingFuel="Oil","O","")</f>
        <v/>
      </c>
      <c r="B134" s="1742" t="str">
        <f t="shared" si="0"/>
        <v>x</v>
      </c>
      <c r="C134" s="1240"/>
      <c r="D134" s="1128"/>
      <c r="E134" s="1128"/>
      <c r="F134" s="1132" t="s">
        <v>288</v>
      </c>
      <c r="G134" s="1133">
        <f>IF(startClimateZone=1,0,IF(startClimateZone=2,5,IF(startClimateZone=3,6,IF(startClimateZone=4,7,IF(startClimateZone=5,9,IF(startClimateZone=6,9,IF(startClimateZone=7,10,IF(startClimateZone=8,10,0))))))))</f>
        <v>0</v>
      </c>
      <c r="H134" s="1133">
        <f>IF(startClimateZone=1,0,IF(startClimateZone=2,5,IF(startClimateZone=3,8,IF(startClimateZone=4,9,IF(startClimateZone=5,11,IF(startClimateZone=6,11,IF(startClimateZone=7,12,IF(startClimateZone=8,12,0))))))))</f>
        <v>0</v>
      </c>
      <c r="I134" s="1133">
        <f>IF(startClimateZone=1,0,IF(startClimateZone=2,5,IF(startClimateZone=3,8,IF(startClimateZone=4,10,IF(startClimateZone=5,13,IF(startClimateZone=6,13,IF(startClimateZone=7,13,IF(startClimateZone=8,14,0))))))))</f>
        <v>0</v>
      </c>
      <c r="J134" s="1133">
        <f>IF(startClimateZone=1,1,IF(startClimateZone=2,6,IF(startClimateZone=3,10,IF(startClimateZone=4,11,IF(startClimateZone=5,14,IF(startClimateZone=6,14,IF(startClimateZone=7,15,IF(startClimateZone=8,16,0))))))))</f>
        <v>0</v>
      </c>
      <c r="K134" s="1134">
        <f>IF(startClimateZone=1,1,IF(startClimateZone=2,6,IF(startClimateZone=3,10,IF(startClimateZone=4,13,IF(startClimateZone=5,15,IF(startClimateZone=6,15,IF(startClimateZone=7,16,IF(startClimateZone=8,17,0))))))))</f>
        <v>0</v>
      </c>
      <c r="L134" s="1128"/>
      <c r="M134" s="1128"/>
      <c r="N134" s="1128"/>
      <c r="O134" s="1049"/>
      <c r="P134" s="1128"/>
      <c r="Q134" s="3945"/>
      <c r="R134" s="3945"/>
      <c r="S134" s="3945"/>
      <c r="T134" s="1241"/>
      <c r="V134" s="1008"/>
      <c r="W134" s="1008"/>
      <c r="X134" s="1008"/>
      <c r="Y134" s="1008"/>
      <c r="Z134" s="1008"/>
      <c r="AA134" s="1008"/>
      <c r="AD134" s="1008"/>
      <c r="AE134" s="8"/>
      <c r="AF134" s="8"/>
      <c r="AG134" s="8"/>
      <c r="AH134" s="8"/>
      <c r="AI134" s="8"/>
      <c r="AJ134" s="8"/>
      <c r="AK134" s="8"/>
      <c r="AL134" s="8"/>
      <c r="AM134" s="8"/>
      <c r="AN134" s="8"/>
      <c r="AO134" s="8"/>
      <c r="AP134" s="8"/>
      <c r="AQ134" s="8"/>
      <c r="AR134" s="8"/>
    </row>
    <row r="135" spans="1:44" s="968" customFormat="1" ht="16" thickBot="1">
      <c r="A135" s="1008"/>
      <c r="B135" s="1742" t="str">
        <f t="shared" si="0"/>
        <v>x</v>
      </c>
      <c r="C135" s="1240"/>
      <c r="D135" s="1128"/>
      <c r="E135" s="1128"/>
      <c r="F135" s="1128"/>
      <c r="G135" s="1128"/>
      <c r="H135" s="1128"/>
      <c r="I135" s="1128"/>
      <c r="J135" s="1128"/>
      <c r="K135" s="1128"/>
      <c r="L135" s="1128"/>
      <c r="M135" s="1128"/>
      <c r="N135" s="1128"/>
      <c r="O135" s="1049"/>
      <c r="P135" s="1128"/>
      <c r="Q135" s="3945"/>
      <c r="R135" s="3945"/>
      <c r="S135" s="3945"/>
      <c r="T135" s="1241"/>
      <c r="V135" s="1008"/>
      <c r="W135" s="1008"/>
      <c r="X135" s="1008"/>
      <c r="Y135" s="1008"/>
      <c r="Z135" s="1008"/>
      <c r="AA135" s="1008"/>
      <c r="AD135" s="1008"/>
      <c r="AE135" s="8"/>
      <c r="AF135" s="8"/>
      <c r="AG135" s="8"/>
      <c r="AH135" s="8"/>
      <c r="AI135" s="8"/>
      <c r="AJ135" s="8"/>
      <c r="AK135" s="8"/>
      <c r="AL135" s="8"/>
      <c r="AM135" s="8"/>
      <c r="AN135" s="8"/>
      <c r="AO135" s="8"/>
      <c r="AP135" s="8"/>
      <c r="AQ135" s="8"/>
      <c r="AR135" s="8"/>
    </row>
    <row r="136" spans="1:44" s="968" customFormat="1">
      <c r="A136" s="1008"/>
      <c r="B136" s="1742" t="str">
        <f t="shared" si="0"/>
        <v>x</v>
      </c>
      <c r="C136" s="1240"/>
      <c r="D136" s="1128"/>
      <c r="E136" s="1128"/>
      <c r="F136" s="3973" t="s">
        <v>1747</v>
      </c>
      <c r="G136" s="3737"/>
      <c r="H136" s="3737"/>
      <c r="I136" s="3737"/>
      <c r="J136" s="3738"/>
      <c r="K136" s="695"/>
      <c r="L136" s="1128"/>
      <c r="M136" s="1128"/>
      <c r="N136" s="1128"/>
      <c r="O136" s="1128"/>
      <c r="P136" s="1128"/>
      <c r="Q136" s="3945"/>
      <c r="R136" s="3945"/>
      <c r="S136" s="3945"/>
      <c r="T136" s="1241"/>
      <c r="V136" s="1008"/>
      <c r="W136" s="1008"/>
      <c r="X136" s="1008"/>
      <c r="Y136" s="1008"/>
      <c r="Z136" s="1008"/>
      <c r="AA136" s="1008"/>
      <c r="AD136" s="1008"/>
      <c r="AE136" s="8"/>
      <c r="AF136" s="8"/>
      <c r="AG136" s="8"/>
      <c r="AH136" s="8"/>
      <c r="AI136" s="8"/>
      <c r="AJ136" s="8"/>
      <c r="AK136" s="8"/>
      <c r="AL136" s="8"/>
      <c r="AM136" s="8"/>
      <c r="AN136" s="8"/>
      <c r="AO136" s="8"/>
      <c r="AP136" s="8"/>
      <c r="AQ136" s="8"/>
      <c r="AR136" s="8"/>
    </row>
    <row r="137" spans="1:44" s="968" customFormat="1" ht="15" customHeight="1">
      <c r="A137" s="1008"/>
      <c r="B137" s="1742" t="str">
        <f t="shared" si="0"/>
        <v>x</v>
      </c>
      <c r="C137" s="1240"/>
      <c r="D137" s="1128"/>
      <c r="E137" s="1128"/>
      <c r="F137" s="3754" t="str">
        <f>IF(startClimateZone="","None selected",CONCATENATE("Climate Zone ",startClimateZone))</f>
        <v>None selected</v>
      </c>
      <c r="G137" s="3755"/>
      <c r="H137" s="3755"/>
      <c r="I137" s="3755"/>
      <c r="J137" s="3756"/>
      <c r="K137" s="695"/>
      <c r="L137" s="1128"/>
      <c r="M137" s="1128"/>
      <c r="N137" s="1128"/>
      <c r="O137" s="1128"/>
      <c r="P137" s="1128"/>
      <c r="Q137" s="1128"/>
      <c r="R137" s="1128"/>
      <c r="S137" s="1128"/>
      <c r="T137" s="1241"/>
      <c r="V137" s="1008"/>
      <c r="W137" s="1008"/>
      <c r="X137" s="1008"/>
      <c r="Y137" s="1008"/>
      <c r="Z137" s="1008"/>
      <c r="AA137" s="1008"/>
      <c r="AD137" s="1008"/>
      <c r="AE137" s="8"/>
      <c r="AF137" s="8"/>
      <c r="AG137" s="8"/>
      <c r="AH137" s="8"/>
      <c r="AI137" s="8"/>
      <c r="AJ137" s="8"/>
      <c r="AK137" s="8"/>
      <c r="AL137" s="8"/>
      <c r="AM137" s="8"/>
      <c r="AN137" s="8"/>
      <c r="AO137" s="8"/>
      <c r="AP137" s="8"/>
      <c r="AQ137" s="8"/>
      <c r="AR137" s="8"/>
    </row>
    <row r="138" spans="1:44" s="968" customFormat="1">
      <c r="A138" s="1008"/>
      <c r="B138" s="1742" t="str">
        <f t="shared" si="0"/>
        <v>x</v>
      </c>
      <c r="C138" s="1240"/>
      <c r="D138" s="1128"/>
      <c r="E138" s="1128"/>
      <c r="F138" s="1129"/>
      <c r="G138" s="3755" t="s">
        <v>1748</v>
      </c>
      <c r="H138" s="3755"/>
      <c r="I138" s="3755" t="s">
        <v>1742</v>
      </c>
      <c r="J138" s="3756"/>
      <c r="K138" s="695"/>
      <c r="L138" s="1128"/>
      <c r="M138" s="1128"/>
      <c r="N138" s="1128"/>
      <c r="O138" s="1128"/>
      <c r="P138" s="1128"/>
      <c r="Q138" s="3945"/>
      <c r="R138" s="3945"/>
      <c r="S138" s="3945"/>
      <c r="T138" s="1241"/>
      <c r="V138" s="1008"/>
      <c r="W138" s="1008"/>
      <c r="X138" s="1008"/>
      <c r="Y138" s="1008"/>
      <c r="Z138" s="1008"/>
      <c r="AA138" s="1008"/>
      <c r="AD138" s="1008"/>
      <c r="AE138" s="8"/>
      <c r="AF138" s="8"/>
      <c r="AG138" s="8"/>
      <c r="AH138" s="8"/>
      <c r="AI138" s="8"/>
      <c r="AJ138" s="8"/>
      <c r="AK138" s="8"/>
      <c r="AL138" s="8"/>
      <c r="AM138" s="8"/>
      <c r="AN138" s="8"/>
      <c r="AO138" s="8"/>
      <c r="AP138" s="8"/>
      <c r="AQ138" s="8"/>
      <c r="AR138" s="8"/>
    </row>
    <row r="139" spans="1:44" s="968" customFormat="1" ht="16" thickBot="1">
      <c r="A139" s="1008"/>
      <c r="B139" s="1742" t="str">
        <f t="shared" si="0"/>
        <v>x</v>
      </c>
      <c r="C139" s="1240"/>
      <c r="D139" s="1128"/>
      <c r="E139" s="1128"/>
      <c r="F139" s="1132" t="s">
        <v>288</v>
      </c>
      <c r="G139" s="3946">
        <f>IF(startClimateZone=1,0,IF(startClimateZone=2,1,IF(startClimateZone=3,3,IF(startClimateZone=4,3,IF(startClimateZone=5,7,IF(startClimateZone=6,7,IF(startClimateZone=7,7,IF(startClimateZone=8,7,0))))))))</f>
        <v>0</v>
      </c>
      <c r="H139" s="3947"/>
      <c r="I139" s="3946">
        <f>IF(startClimateZone=1,0,IF(startClimateZone=2,2,IF(startClimateZone=3,5,IF(startClimateZone=4,8,IF(startClimateZone=5,11,IF(startClimateZone=6,14,IF(startClimateZone=7,14,IF(startClimateZone=8,14,0))))))))</f>
        <v>0</v>
      </c>
      <c r="J139" s="3948"/>
      <c r="K139" s="695"/>
      <c r="L139" s="1128"/>
      <c r="M139" s="1128"/>
      <c r="N139" s="1128"/>
      <c r="O139" s="1128"/>
      <c r="P139" s="1128"/>
      <c r="Q139" s="3945"/>
      <c r="R139" s="3945"/>
      <c r="S139" s="3945"/>
      <c r="T139" s="1241"/>
      <c r="V139" s="1008"/>
      <c r="W139" s="1008"/>
      <c r="X139" s="1008"/>
      <c r="Y139" s="1008"/>
      <c r="Z139" s="1008"/>
      <c r="AA139" s="1008"/>
      <c r="AD139" s="1008"/>
      <c r="AE139" s="8"/>
      <c r="AF139" s="8"/>
      <c r="AG139" s="8"/>
      <c r="AH139" s="8"/>
      <c r="AI139" s="8"/>
      <c r="AJ139" s="8"/>
      <c r="AK139" s="8"/>
      <c r="AL139" s="8"/>
      <c r="AM139" s="8"/>
      <c r="AN139" s="8"/>
      <c r="AO139" s="8"/>
      <c r="AP139" s="8"/>
      <c r="AQ139" s="8"/>
      <c r="AR139" s="8"/>
    </row>
    <row r="140" spans="1:44" s="968" customFormat="1" ht="16" thickBot="1">
      <c r="A140" s="1008"/>
      <c r="B140" s="170"/>
      <c r="C140" s="1240"/>
      <c r="D140" s="1128"/>
      <c r="E140" s="1128"/>
      <c r="F140" s="1128"/>
      <c r="G140" s="1128"/>
      <c r="H140" s="1128"/>
      <c r="I140" s="1128"/>
      <c r="J140" s="1128"/>
      <c r="K140" s="1128"/>
      <c r="L140" s="1128"/>
      <c r="M140" s="1128"/>
      <c r="N140" s="1128"/>
      <c r="O140" s="1128"/>
      <c r="P140" s="1128"/>
      <c r="Q140" s="3945"/>
      <c r="R140" s="3945"/>
      <c r="S140" s="3945"/>
      <c r="T140" s="1241"/>
      <c r="V140" s="1008"/>
      <c r="W140" s="1008"/>
      <c r="X140" s="1008"/>
      <c r="Y140" s="1008"/>
      <c r="Z140" s="1008"/>
      <c r="AA140" s="1008"/>
      <c r="AD140" s="1008"/>
      <c r="AE140" s="8"/>
      <c r="AF140" s="8"/>
      <c r="AG140" s="8"/>
      <c r="AH140" s="8"/>
      <c r="AI140" s="8"/>
      <c r="AJ140" s="8"/>
      <c r="AK140" s="8"/>
      <c r="AL140" s="8"/>
      <c r="AM140" s="8"/>
      <c r="AN140" s="8"/>
      <c r="AO140" s="8"/>
      <c r="AP140" s="8"/>
      <c r="AQ140" s="8"/>
      <c r="AR140" s="8"/>
    </row>
    <row r="141" spans="1:44" s="968" customFormat="1">
      <c r="A141" s="1008"/>
      <c r="B141" s="1742" t="str">
        <f t="shared" ref="B141:B149" si="1">IF(OR(startHVAC1="Boiler",startHVAC2="Boiler",startHVAC3="Boiler",startHVAC1="Other",startHVAC2="Other",startHVAC3="Other"),"","x")</f>
        <v>x</v>
      </c>
      <c r="C141" s="1240"/>
      <c r="D141" s="1128"/>
      <c r="E141" s="1128"/>
      <c r="F141" s="4053" t="s">
        <v>1749</v>
      </c>
      <c r="G141" s="3950"/>
      <c r="H141" s="3950"/>
      <c r="I141" s="3950"/>
      <c r="J141" s="3951"/>
      <c r="K141" s="695"/>
      <c r="L141" s="1128"/>
      <c r="M141" s="1128"/>
      <c r="N141" s="1128"/>
      <c r="O141" s="1128"/>
      <c r="P141" s="1128"/>
      <c r="Q141" s="3945"/>
      <c r="R141" s="3945"/>
      <c r="S141" s="3945"/>
      <c r="T141" s="1241"/>
      <c r="V141" s="1008"/>
      <c r="W141" s="1008"/>
      <c r="X141" s="1008"/>
      <c r="Y141" s="1008"/>
      <c r="Z141" s="1008"/>
      <c r="AA141" s="1008"/>
      <c r="AD141" s="1008"/>
      <c r="AE141" s="8"/>
      <c r="AF141" s="8"/>
      <c r="AG141" s="8"/>
      <c r="AH141" s="8"/>
      <c r="AI141" s="8"/>
      <c r="AJ141" s="8"/>
      <c r="AK141" s="8"/>
      <c r="AL141" s="8"/>
      <c r="AM141" s="8"/>
      <c r="AN141" s="8"/>
      <c r="AO141" s="8"/>
      <c r="AP141" s="8"/>
      <c r="AQ141" s="8"/>
      <c r="AR141" s="8"/>
    </row>
    <row r="142" spans="1:44" s="968" customFormat="1" ht="15" customHeight="1">
      <c r="A142" s="1008"/>
      <c r="B142" s="1742" t="str">
        <f t="shared" si="1"/>
        <v>x</v>
      </c>
      <c r="C142" s="1240"/>
      <c r="D142" s="1128"/>
      <c r="E142" s="1128"/>
      <c r="F142" s="3869" t="str">
        <f>IF(startClimateZone="","None selected",CONCATENATE("Climate Zone ",startClimateZone))</f>
        <v>None selected</v>
      </c>
      <c r="G142" s="3870"/>
      <c r="H142" s="3870"/>
      <c r="I142" s="3870"/>
      <c r="J142" s="3952"/>
      <c r="K142" s="695"/>
      <c r="L142" s="1128"/>
      <c r="M142" s="1128"/>
      <c r="N142" s="1128"/>
      <c r="O142" s="1128"/>
      <c r="P142" s="1128"/>
      <c r="Q142" s="3945"/>
      <c r="R142" s="3945"/>
      <c r="S142" s="3945"/>
      <c r="T142" s="1241"/>
      <c r="V142" s="1008"/>
      <c r="W142" s="1008"/>
      <c r="X142" s="1008"/>
      <c r="Y142" s="1008"/>
      <c r="Z142" s="1008"/>
      <c r="AA142" s="1008"/>
      <c r="AD142" s="1008"/>
      <c r="AE142" s="8"/>
      <c r="AF142" s="8"/>
      <c r="AG142" s="8"/>
      <c r="AH142" s="8"/>
      <c r="AI142" s="8"/>
      <c r="AJ142" s="8"/>
      <c r="AK142" s="8"/>
      <c r="AL142" s="8"/>
      <c r="AM142" s="8"/>
      <c r="AN142" s="8"/>
      <c r="AO142" s="8"/>
      <c r="AP142" s="8"/>
      <c r="AQ142" s="8"/>
      <c r="AR142" s="8"/>
    </row>
    <row r="143" spans="1:44" s="968" customFormat="1" ht="30">
      <c r="A143" s="1008"/>
      <c r="B143" s="1742" t="str">
        <f t="shared" si="1"/>
        <v>x</v>
      </c>
      <c r="C143" s="1240"/>
      <c r="D143" s="1128"/>
      <c r="E143" s="1128"/>
      <c r="F143" s="1129"/>
      <c r="G143" s="1130" t="s">
        <v>1748</v>
      </c>
      <c r="H143" s="1130" t="s">
        <v>1742</v>
      </c>
      <c r="I143" s="1130" t="s">
        <v>1744</v>
      </c>
      <c r="J143" s="1131" t="s">
        <v>1745</v>
      </c>
      <c r="K143" s="695"/>
      <c r="L143" s="1128"/>
      <c r="M143" s="1128"/>
      <c r="N143" s="1128"/>
      <c r="O143" s="1128"/>
      <c r="P143" s="1128"/>
      <c r="Q143" s="3945"/>
      <c r="R143" s="3945"/>
      <c r="S143" s="3945"/>
      <c r="T143" s="1241"/>
      <c r="V143" s="1008"/>
      <c r="W143" s="1008"/>
      <c r="X143" s="1008"/>
      <c r="Y143" s="1008"/>
      <c r="Z143" s="1008"/>
      <c r="AA143" s="1008"/>
      <c r="AD143" s="1008"/>
      <c r="AE143" s="8"/>
      <c r="AF143" s="8"/>
      <c r="AG143" s="8"/>
      <c r="AH143" s="8"/>
      <c r="AI143" s="8"/>
      <c r="AJ143" s="8"/>
      <c r="AK143" s="8"/>
      <c r="AL143" s="8"/>
      <c r="AM143" s="8"/>
      <c r="AN143" s="8"/>
      <c r="AO143" s="8"/>
      <c r="AP143" s="8"/>
      <c r="AQ143" s="8"/>
      <c r="AR143" s="8"/>
    </row>
    <row r="144" spans="1:44" s="968" customFormat="1" ht="16" thickBot="1">
      <c r="A144" s="1008"/>
      <c r="B144" s="1742" t="str">
        <f t="shared" si="1"/>
        <v>x</v>
      </c>
      <c r="C144" s="1240"/>
      <c r="D144" s="1128"/>
      <c r="E144" s="1128"/>
      <c r="F144" s="1132" t="s">
        <v>288</v>
      </c>
      <c r="G144" s="1133">
        <f>IF(startClimateZone=1,0,IF(startClimateZone=2,9,IF(startClimateZone=3,16,IF(startClimateZone=4,18,IF(startClimateZone=5,17,IF(startClimateZone=6,16,IF(startClimateZone=7,16,IF(startClimateZone=8,16,0))))))))</f>
        <v>0</v>
      </c>
      <c r="H144" s="1133">
        <f>IF(startClimateZone=1,1,IF(startClimateZone=2,10,IF(startClimateZone=3,17,IF(startClimateZone=4,19,IF(startClimateZone=5,18,IF(startClimateZone=6,17,IF(startClimateZone=7,17,IF(startClimateZone=8,17,0))))))))</f>
        <v>0</v>
      </c>
      <c r="I144" s="1133">
        <f>IF(startClimateZone=1,1,IF(startClimateZone=2,10,IF(startClimateZone=3,18,IF(startClimateZone=4,19,IF(startClimateZone=5,19,IF(startClimateZone=6,17,IF(startClimateZone=7,17,IF(startClimateZone=8,17,0))))))))</f>
        <v>0</v>
      </c>
      <c r="J144" s="1134">
        <f>IF(startClimateZone=1,1,IF(startClimateZone=2,10,IF(startClimateZone=3,18,IF(startClimateZone=4,20,IF(startClimateZone=5,19,IF(startClimateZone=6,18,IF(startClimateZone=7,18,IF(startClimateZone=8,18,0))))))))</f>
        <v>0</v>
      </c>
      <c r="K144" s="695"/>
      <c r="L144" s="1128"/>
      <c r="M144" s="1128"/>
      <c r="N144" s="1128"/>
      <c r="O144" s="1128"/>
      <c r="P144" s="1128"/>
      <c r="Q144" s="3945"/>
      <c r="R144" s="3945"/>
      <c r="S144" s="3945"/>
      <c r="T144" s="1241"/>
      <c r="V144" s="1008"/>
      <c r="W144" s="1008"/>
      <c r="X144" s="1008"/>
      <c r="Y144" s="1008"/>
      <c r="Z144" s="1008"/>
      <c r="AA144" s="1008"/>
      <c r="AD144" s="1008"/>
      <c r="AE144" s="8"/>
      <c r="AF144" s="8"/>
      <c r="AG144" s="8"/>
      <c r="AH144" s="8"/>
      <c r="AI144" s="8"/>
      <c r="AJ144" s="8"/>
      <c r="AK144" s="8"/>
      <c r="AL144" s="8"/>
      <c r="AM144" s="8"/>
      <c r="AN144" s="8"/>
      <c r="AO144" s="8"/>
      <c r="AP144" s="8"/>
      <c r="AQ144" s="8"/>
      <c r="AR144" s="8"/>
    </row>
    <row r="145" spans="1:44" s="968" customFormat="1" ht="16" thickBot="1">
      <c r="A145" s="1008"/>
      <c r="B145" s="1742" t="str">
        <f t="shared" si="1"/>
        <v>x</v>
      </c>
      <c r="C145" s="1240"/>
      <c r="D145" s="1128"/>
      <c r="E145" s="1128"/>
      <c r="F145" s="1128"/>
      <c r="G145" s="1128"/>
      <c r="H145" s="1128"/>
      <c r="I145" s="1128"/>
      <c r="J145" s="1128"/>
      <c r="K145" s="1128"/>
      <c r="L145" s="1128"/>
      <c r="M145" s="1128"/>
      <c r="N145" s="1128"/>
      <c r="O145" s="1128"/>
      <c r="P145" s="1128"/>
      <c r="Q145" s="3945"/>
      <c r="R145" s="3945"/>
      <c r="S145" s="3945"/>
      <c r="T145" s="1241"/>
      <c r="V145" s="1008"/>
      <c r="W145" s="1008"/>
      <c r="X145" s="1008"/>
      <c r="Y145" s="1008"/>
      <c r="Z145" s="1008"/>
      <c r="AA145" s="1008"/>
      <c r="AD145" s="1008"/>
      <c r="AE145" s="8"/>
      <c r="AF145" s="8"/>
      <c r="AG145" s="8"/>
      <c r="AH145" s="8"/>
      <c r="AI145" s="8"/>
      <c r="AJ145" s="8"/>
      <c r="AK145" s="8"/>
      <c r="AL145" s="8"/>
      <c r="AM145" s="8"/>
      <c r="AN145" s="8"/>
      <c r="AO145" s="8"/>
      <c r="AP145" s="8"/>
      <c r="AQ145" s="8"/>
      <c r="AR145" s="8"/>
    </row>
    <row r="146" spans="1:44" s="968" customFormat="1">
      <c r="A146" s="1008"/>
      <c r="B146" s="1742" t="str">
        <f t="shared" si="1"/>
        <v>x</v>
      </c>
      <c r="C146" s="1240"/>
      <c r="D146" s="1128"/>
      <c r="E146" s="1128"/>
      <c r="F146" s="3736" t="s">
        <v>1750</v>
      </c>
      <c r="G146" s="3737"/>
      <c r="H146" s="3737"/>
      <c r="I146" s="3737"/>
      <c r="J146" s="3738"/>
      <c r="K146" s="695"/>
      <c r="L146" s="1128"/>
      <c r="M146" s="1128"/>
      <c r="N146" s="1128"/>
      <c r="O146" s="1128"/>
      <c r="P146" s="1128"/>
      <c r="Q146" s="3945"/>
      <c r="R146" s="3945"/>
      <c r="S146" s="3945"/>
      <c r="T146" s="1241"/>
      <c r="V146" s="1008"/>
      <c r="W146" s="1008"/>
      <c r="X146" s="1008"/>
      <c r="Y146" s="1008"/>
      <c r="Z146" s="1008"/>
      <c r="AA146" s="1008"/>
      <c r="AD146" s="1008"/>
      <c r="AE146" s="8"/>
      <c r="AF146" s="8"/>
      <c r="AG146" s="8"/>
      <c r="AH146" s="8"/>
      <c r="AI146" s="8"/>
      <c r="AJ146" s="8"/>
      <c r="AK146" s="8"/>
      <c r="AL146" s="8"/>
      <c r="AM146" s="8"/>
      <c r="AN146" s="8"/>
      <c r="AO146" s="8"/>
      <c r="AP146" s="8"/>
      <c r="AQ146" s="8"/>
      <c r="AR146" s="8"/>
    </row>
    <row r="147" spans="1:44" s="968" customFormat="1" ht="15" customHeight="1">
      <c r="A147" s="1008"/>
      <c r="B147" s="1742" t="str">
        <f t="shared" si="1"/>
        <v>x</v>
      </c>
      <c r="C147" s="1240"/>
      <c r="D147" s="1128"/>
      <c r="E147" s="1128"/>
      <c r="F147" s="3754" t="str">
        <f>IF(startClimateZone="","None selected",CONCATENATE("Climate Zone ",startClimateZone))</f>
        <v>None selected</v>
      </c>
      <c r="G147" s="3755"/>
      <c r="H147" s="3755"/>
      <c r="I147" s="3755"/>
      <c r="J147" s="3756"/>
      <c r="K147" s="695"/>
      <c r="L147" s="1128"/>
      <c r="M147" s="1128"/>
      <c r="N147" s="1128"/>
      <c r="O147" s="1128"/>
      <c r="P147" s="1128"/>
      <c r="Q147" s="3945"/>
      <c r="R147" s="3945"/>
      <c r="S147" s="3945"/>
      <c r="T147" s="1241"/>
      <c r="V147" s="1008"/>
      <c r="W147" s="1008"/>
      <c r="X147" s="1008"/>
      <c r="Y147" s="1008"/>
      <c r="Z147" s="1008"/>
      <c r="AA147" s="1008"/>
      <c r="AD147" s="1008"/>
      <c r="AE147" s="8"/>
      <c r="AF147" s="8"/>
      <c r="AG147" s="8"/>
      <c r="AH147" s="8"/>
      <c r="AI147" s="8"/>
      <c r="AJ147" s="8"/>
      <c r="AK147" s="8"/>
      <c r="AL147" s="8"/>
      <c r="AM147" s="8"/>
      <c r="AN147" s="8"/>
      <c r="AO147" s="8"/>
      <c r="AP147" s="8"/>
      <c r="AQ147" s="8"/>
      <c r="AR147" s="8"/>
    </row>
    <row r="148" spans="1:44" s="968" customFormat="1">
      <c r="A148" s="1008"/>
      <c r="B148" s="1742" t="str">
        <f t="shared" si="1"/>
        <v>x</v>
      </c>
      <c r="C148" s="1240"/>
      <c r="D148" s="1128"/>
      <c r="E148" s="1128"/>
      <c r="F148" s="1129"/>
      <c r="G148" s="3755" t="s">
        <v>1748</v>
      </c>
      <c r="H148" s="3755"/>
      <c r="I148" s="3755" t="s">
        <v>1742</v>
      </c>
      <c r="J148" s="3756"/>
      <c r="K148" s="695"/>
      <c r="L148" s="1128"/>
      <c r="M148" s="1128"/>
      <c r="N148" s="1128"/>
      <c r="O148" s="1128"/>
      <c r="P148" s="1128"/>
      <c r="Q148" s="3945"/>
      <c r="R148" s="3945"/>
      <c r="S148" s="3945"/>
      <c r="T148" s="1241"/>
      <c r="V148" s="1008"/>
      <c r="W148" s="1008"/>
      <c r="X148" s="1008"/>
      <c r="Y148" s="1008"/>
      <c r="Z148" s="1008"/>
      <c r="AA148" s="1008"/>
      <c r="AD148" s="1008"/>
      <c r="AE148" s="8"/>
      <c r="AF148" s="8"/>
      <c r="AG148" s="8"/>
      <c r="AH148" s="8"/>
      <c r="AI148" s="8"/>
      <c r="AJ148" s="8"/>
      <c r="AK148" s="8"/>
      <c r="AL148" s="8"/>
      <c r="AM148" s="8"/>
      <c r="AN148" s="8"/>
      <c r="AO148" s="8"/>
      <c r="AP148" s="8"/>
      <c r="AQ148" s="8"/>
      <c r="AR148" s="8"/>
    </row>
    <row r="149" spans="1:44" s="968" customFormat="1" ht="16" thickBot="1">
      <c r="A149" s="1008"/>
      <c r="B149" s="1742" t="str">
        <f t="shared" si="1"/>
        <v>x</v>
      </c>
      <c r="C149" s="1240"/>
      <c r="D149" s="1128"/>
      <c r="E149" s="1128"/>
      <c r="F149" s="1132" t="s">
        <v>288</v>
      </c>
      <c r="G149" s="3946">
        <f>IF(startClimateZone=1,0,IF(startClimateZone=2,9,IF(startClimateZone=3,16,IF(startClimateZone=4,18,IF(startClimateZone=5,17,IF(startClimateZone=6,16,IF(startClimateZone=7,16,IF(startClimateZone=8,16,0))))))))</f>
        <v>0</v>
      </c>
      <c r="H149" s="3947"/>
      <c r="I149" s="3946">
        <f>IF(startClimateZone=1,1,IF(startClimateZone=2,10,IF(startClimateZone=3,17,IF(startClimateZone=4,19,IF(startClimateZone=5,18,IF(startClimateZone=6,17,IF(startClimateZone=7,17,IF(startClimateZone=8,17,0))))))))</f>
        <v>0</v>
      </c>
      <c r="J149" s="3948"/>
      <c r="K149" s="695"/>
      <c r="L149" s="1128"/>
      <c r="M149" s="1128"/>
      <c r="N149" s="1128"/>
      <c r="O149" s="1128"/>
      <c r="P149" s="1128"/>
      <c r="Q149" s="3945"/>
      <c r="R149" s="3945"/>
      <c r="S149" s="3945"/>
      <c r="T149" s="1241"/>
      <c r="V149" s="1008"/>
      <c r="W149" s="1008"/>
      <c r="X149" s="1008"/>
      <c r="Y149" s="1008"/>
      <c r="Z149" s="1008"/>
      <c r="AA149" s="1008"/>
      <c r="AD149" s="1008"/>
      <c r="AE149" s="8"/>
      <c r="AF149" s="8"/>
      <c r="AG149" s="8"/>
      <c r="AH149" s="8"/>
      <c r="AI149" s="8"/>
      <c r="AJ149" s="8"/>
      <c r="AK149" s="8"/>
      <c r="AL149" s="8"/>
      <c r="AM149" s="8"/>
      <c r="AN149" s="8"/>
      <c r="AO149" s="8"/>
      <c r="AP149" s="8"/>
      <c r="AQ149" s="8"/>
      <c r="AR149" s="8"/>
    </row>
    <row r="150" spans="1:44" s="1008" customFormat="1" ht="15" customHeight="1">
      <c r="B150" s="170"/>
      <c r="C150" s="189"/>
      <c r="D150" s="1016"/>
      <c r="E150" s="695"/>
      <c r="F150" s="3953" t="str">
        <f>IF(startClimateZone="", "No zone chosen for this project. See the Start Here! worksheet.", CONCATENATE("Climate zone ",startClimateZone," chosen for this project. See the Start Here! worksheet."))</f>
        <v>No zone chosen for this project. See the Start Here! worksheet.</v>
      </c>
      <c r="G150" s="3953"/>
      <c r="H150" s="3953"/>
      <c r="I150" s="3953"/>
      <c r="J150" s="3953"/>
      <c r="K150" s="3759"/>
      <c r="L150" s="3759"/>
      <c r="M150" s="3759"/>
      <c r="N150" s="3759"/>
      <c r="O150" s="695"/>
      <c r="P150" s="695"/>
      <c r="Q150" s="3521"/>
      <c r="R150" s="3521"/>
      <c r="S150" s="3733"/>
      <c r="T150" s="1108"/>
      <c r="AE150" s="8"/>
      <c r="AF150" s="8"/>
      <c r="AG150" s="8"/>
      <c r="AH150" s="8"/>
      <c r="AI150" s="8"/>
      <c r="AJ150" s="8"/>
      <c r="AK150" s="8"/>
      <c r="AL150" s="8"/>
      <c r="AM150" s="8"/>
      <c r="AN150" s="8"/>
      <c r="AO150" s="8"/>
      <c r="AP150" s="8"/>
      <c r="AQ150" s="8"/>
      <c r="AR150" s="8"/>
    </row>
    <row r="151" spans="1:44" ht="45" customHeight="1" thickBot="1">
      <c r="B151" s="170" t="str">
        <f>IF(OR(startHVAC1="Heat Pump",startHVAC2="Heat PumP",startHVAC3="Heat Pump"),"","x")</f>
        <v>x</v>
      </c>
      <c r="C151" s="1100" t="s">
        <v>1763</v>
      </c>
      <c r="D151" s="1020"/>
      <c r="E151" s="1078"/>
      <c r="F151" s="3681" t="s">
        <v>1764</v>
      </c>
      <c r="G151" s="3681"/>
      <c r="H151" s="3681"/>
      <c r="I151" s="3681"/>
      <c r="J151" s="3681"/>
      <c r="K151" s="3681"/>
      <c r="L151" s="3681"/>
      <c r="M151" s="3681"/>
      <c r="N151" s="3681"/>
      <c r="O151" s="1101" t="s">
        <v>1770</v>
      </c>
      <c r="P151" s="1760"/>
      <c r="Q151" s="3683"/>
      <c r="R151" s="3684"/>
      <c r="S151" s="3684"/>
      <c r="T151" s="999" t="s">
        <v>20</v>
      </c>
    </row>
    <row r="152" spans="1:44" s="968" customFormat="1">
      <c r="A152" s="1008"/>
      <c r="B152" s="170"/>
      <c r="C152" s="1240"/>
      <c r="D152" s="1128"/>
      <c r="E152" s="1128"/>
      <c r="F152" s="3949" t="s">
        <v>1765</v>
      </c>
      <c r="G152" s="3950"/>
      <c r="H152" s="3950"/>
      <c r="I152" s="3950"/>
      <c r="J152" s="3951"/>
      <c r="K152" s="695"/>
      <c r="L152" s="1128"/>
      <c r="M152" s="1128"/>
      <c r="N152" s="1128"/>
      <c r="O152" s="1049"/>
      <c r="P152" s="874">
        <f>IF(startClimateZone=1,score703.2.3Zone1,IF(startClimateZone=2,score703.2.3Zone2,IF(startClimateZone=3,score703.2.3Zone3,IF(startClimateZone=4,score703.2.3Zone4,IF(startClimateZone=5,score703.2.3Zone5,IF(startClimateZone=6,score703.2.3Zone6,IF(startClimateZone=7,score703.2.3Zone7,IF(startClimateZone=8,score703.2.3Zone8,0))))))))</f>
        <v>0</v>
      </c>
      <c r="Q152" s="3101"/>
      <c r="R152" s="3101"/>
      <c r="S152" s="3101"/>
      <c r="T152" s="1065"/>
      <c r="V152" s="1008"/>
      <c r="W152" s="1008"/>
      <c r="X152" s="1008"/>
      <c r="Y152" s="1008"/>
      <c r="Z152" s="1008"/>
      <c r="AA152" s="1008"/>
      <c r="AD152" s="1008"/>
      <c r="AE152" s="8"/>
      <c r="AF152" s="8"/>
      <c r="AG152" s="8"/>
      <c r="AH152" s="8"/>
      <c r="AI152" s="8"/>
      <c r="AJ152" s="8"/>
      <c r="AK152" s="8"/>
      <c r="AL152" s="8"/>
      <c r="AM152" s="8"/>
      <c r="AN152" s="8"/>
      <c r="AO152" s="8"/>
      <c r="AP152" s="8"/>
      <c r="AQ152" s="8"/>
      <c r="AR152" s="8"/>
    </row>
    <row r="153" spans="1:44" s="968" customFormat="1" ht="15" customHeight="1">
      <c r="A153" s="1008"/>
      <c r="B153" s="170"/>
      <c r="C153" s="1240"/>
      <c r="D153" s="1128"/>
      <c r="E153" s="1128"/>
      <c r="F153" s="3869" t="str">
        <f>IF(startClimateZone="","No Climate Zone selected",CONCATENATE("For Climate Zone ",startClimateZone))</f>
        <v>No Climate Zone selected</v>
      </c>
      <c r="G153" s="3870"/>
      <c r="H153" s="3870"/>
      <c r="I153" s="3870"/>
      <c r="J153" s="3952"/>
      <c r="K153" s="695"/>
      <c r="L153" s="1128"/>
      <c r="M153" s="1128"/>
      <c r="N153" s="1128"/>
      <c r="O153" s="1049"/>
      <c r="P153" s="695"/>
      <c r="Q153" s="3101"/>
      <c r="R153" s="3101"/>
      <c r="S153" s="3101"/>
      <c r="T153" s="1065"/>
      <c r="V153" s="1008"/>
      <c r="W153" s="1008"/>
      <c r="X153" s="1008"/>
      <c r="Y153" s="1008"/>
      <c r="Z153" s="1008"/>
      <c r="AA153" s="1008"/>
      <c r="AD153" s="1008"/>
      <c r="AE153" s="8"/>
      <c r="AF153" s="8"/>
      <c r="AG153" s="8"/>
      <c r="AH153" s="8"/>
      <c r="AI153" s="8"/>
      <c r="AJ153" s="8"/>
      <c r="AK153" s="8"/>
      <c r="AL153" s="8"/>
      <c r="AM153" s="8"/>
      <c r="AN153" s="8"/>
      <c r="AO153" s="8"/>
      <c r="AP153" s="8"/>
      <c r="AQ153" s="8"/>
      <c r="AR153" s="8"/>
    </row>
    <row r="154" spans="1:44" s="968" customFormat="1" ht="33" customHeight="1">
      <c r="A154" s="1008"/>
      <c r="B154" s="170"/>
      <c r="C154" s="1240"/>
      <c r="D154" s="1128"/>
      <c r="E154" s="1128"/>
      <c r="F154" s="1129"/>
      <c r="G154" s="325" t="s">
        <v>1766</v>
      </c>
      <c r="H154" s="325" t="s">
        <v>1767</v>
      </c>
      <c r="I154" s="325" t="s">
        <v>1768</v>
      </c>
      <c r="J154" s="1135" t="s">
        <v>1769</v>
      </c>
      <c r="K154" s="695"/>
      <c r="L154" s="1128"/>
      <c r="M154" s="1128"/>
      <c r="N154" s="1128"/>
      <c r="O154" s="1049"/>
      <c r="P154" s="695"/>
      <c r="Q154" s="3101"/>
      <c r="R154" s="3101"/>
      <c r="S154" s="3101"/>
      <c r="T154" s="1065"/>
      <c r="V154" s="1008"/>
      <c r="W154" s="1008"/>
      <c r="X154" s="1008"/>
      <c r="Y154" s="1008"/>
      <c r="Z154" s="1008"/>
      <c r="AA154" s="1008"/>
      <c r="AD154" s="1008"/>
      <c r="AE154" s="8"/>
      <c r="AF154" s="8"/>
      <c r="AG154" s="8"/>
      <c r="AH154" s="8"/>
      <c r="AI154" s="8"/>
      <c r="AJ154" s="8"/>
      <c r="AK154" s="8"/>
      <c r="AL154" s="8"/>
      <c r="AM154" s="8"/>
      <c r="AN154" s="8"/>
      <c r="AO154" s="8"/>
      <c r="AP154" s="8"/>
      <c r="AQ154" s="8"/>
      <c r="AR154" s="8"/>
    </row>
    <row r="155" spans="1:44" s="968" customFormat="1" ht="16" thickBot="1">
      <c r="A155" s="1008"/>
      <c r="B155" s="170"/>
      <c r="C155" s="1240"/>
      <c r="D155" s="1128"/>
      <c r="E155" s="1128"/>
      <c r="F155" s="1132" t="s">
        <v>288</v>
      </c>
      <c r="G155" s="1133">
        <f>IF(startClimateZone=1,0,IF(startClimateZone=2,1,IF(startClimateZone=3,2,IF(startClimateZone=4,4,IF(startClimateZone=5,5,IF(startClimateZone=6,5,IF(startClimateZone=7,5,IF(startClimateZone=8,5,0))))))))</f>
        <v>0</v>
      </c>
      <c r="H155" s="1133">
        <f>IF(startClimateZone=1,0,IF(startClimateZone=2,3,IF(startClimateZone=3,6,IF(startClimateZone=4,9,IF(startClimateZone=5,12,IF(startClimateZone=6,12,IF(startClimateZone=7,12,IF(startClimateZone=8,12,0))))))))</f>
        <v>0</v>
      </c>
      <c r="I155" s="1133">
        <f>IF(startClimateZone=1,0,IF(startClimateZone=2,4,IF(startClimateZone=3,7,IF(startClimateZone=4,12,IF(startClimateZone=5,16,IF(startClimateZone=6,16,IF(startClimateZone=7,16,IF(startClimateZone=8,16,0))))))))</f>
        <v>0</v>
      </c>
      <c r="J155" s="1134">
        <f>IF(startClimateZone=1,1,IF(startClimateZone=2,4,IF(startClimateZone=3,9,IF(startClimateZone=4,15,IF(startClimateZone=5,19,IF(startClimateZone=6,19,IF(startClimateZone=7,19,IF(startClimateZone=8,19,0))))))))</f>
        <v>0</v>
      </c>
      <c r="K155" s="695"/>
      <c r="L155" s="1128"/>
      <c r="M155" s="1128"/>
      <c r="N155" s="1128"/>
      <c r="O155" s="1049"/>
      <c r="P155" s="695"/>
      <c r="Q155" s="3101"/>
      <c r="R155" s="3101"/>
      <c r="S155" s="3101"/>
      <c r="T155" s="1065"/>
      <c r="V155" s="1008"/>
      <c r="W155" s="1008"/>
      <c r="X155" s="1008"/>
      <c r="Y155" s="1008"/>
      <c r="Z155" s="1008"/>
      <c r="AA155" s="1008"/>
      <c r="AD155" s="1008"/>
      <c r="AE155" s="8"/>
      <c r="AF155" s="8"/>
      <c r="AG155" s="8"/>
      <c r="AH155" s="8"/>
      <c r="AI155" s="8"/>
      <c r="AJ155" s="8"/>
      <c r="AK155" s="8"/>
      <c r="AL155" s="8"/>
      <c r="AM155" s="8"/>
      <c r="AN155" s="8"/>
      <c r="AO155" s="8"/>
      <c r="AP155" s="8"/>
      <c r="AQ155" s="8"/>
      <c r="AR155" s="8"/>
    </row>
    <row r="156" spans="1:44" ht="30" customHeight="1">
      <c r="C156" s="1091"/>
      <c r="D156" s="1016"/>
      <c r="E156" s="163"/>
      <c r="F156" s="3955" t="s">
        <v>1774</v>
      </c>
      <c r="G156" s="3955"/>
      <c r="H156" s="3955"/>
      <c r="I156" s="3955"/>
      <c r="J156" s="3955"/>
      <c r="K156" s="3955"/>
      <c r="L156" s="3955"/>
      <c r="M156" s="3955"/>
      <c r="N156" s="3955"/>
      <c r="O156" s="1049"/>
      <c r="P156" s="695"/>
      <c r="Q156" s="3101"/>
      <c r="R156" s="3101"/>
      <c r="S156" s="3101"/>
      <c r="T156" s="1065"/>
    </row>
    <row r="157" spans="1:44" s="1008" customFormat="1" ht="15" customHeight="1">
      <c r="B157" s="170"/>
      <c r="C157" s="189"/>
      <c r="D157" s="1016"/>
      <c r="E157" s="695"/>
      <c r="F157" s="3954" t="str">
        <f>IF(startClimateZone="", "No zone chosen for this project. See the Start Here! worksheet.", CONCATENATE("Climate zone ",startClimateZone," chosen for this project. See the Start Here! worksheet."))</f>
        <v>No zone chosen for this project. See the Start Here! worksheet.</v>
      </c>
      <c r="G157" s="3954"/>
      <c r="H157" s="3954"/>
      <c r="I157" s="3954"/>
      <c r="J157" s="3954"/>
      <c r="K157" s="3954"/>
      <c r="L157" s="3954"/>
      <c r="M157" s="3954"/>
      <c r="N157" s="3954"/>
      <c r="O157" s="695"/>
      <c r="P157" s="695"/>
      <c r="Q157" s="3521"/>
      <c r="R157" s="3521"/>
      <c r="S157" s="3733"/>
      <c r="T157" s="1108"/>
      <c r="AE157" s="8"/>
      <c r="AF157" s="8"/>
      <c r="AG157" s="8"/>
      <c r="AH157" s="8"/>
      <c r="AI157" s="8"/>
      <c r="AJ157" s="8"/>
      <c r="AK157" s="8"/>
      <c r="AL157" s="8"/>
      <c r="AM157" s="8"/>
      <c r="AN157" s="8"/>
      <c r="AO157" s="8"/>
      <c r="AP157" s="8"/>
      <c r="AQ157" s="8"/>
      <c r="AR157" s="8"/>
    </row>
    <row r="158" spans="1:44" ht="45" customHeight="1" thickBot="1">
      <c r="B158" s="1742"/>
      <c r="C158" s="162" t="s">
        <v>1773</v>
      </c>
      <c r="D158" s="883"/>
      <c r="E158" s="998"/>
      <c r="F158" s="3805" t="s">
        <v>1775</v>
      </c>
      <c r="G158" s="3805"/>
      <c r="H158" s="3805"/>
      <c r="I158" s="3805"/>
      <c r="J158" s="3805"/>
      <c r="K158" s="3805"/>
      <c r="L158" s="3805"/>
      <c r="M158" s="3805"/>
      <c r="N158" s="3805"/>
      <c r="O158" s="1097" t="s">
        <v>1770</v>
      </c>
      <c r="P158" s="1756"/>
      <c r="Q158" s="3668"/>
      <c r="R158" s="3669"/>
      <c r="S158" s="3670"/>
      <c r="T158" s="1029" t="s">
        <v>20</v>
      </c>
    </row>
    <row r="159" spans="1:44">
      <c r="B159" s="1742"/>
      <c r="C159" s="1091"/>
      <c r="D159" s="1016"/>
      <c r="E159" s="163"/>
      <c r="F159" s="3973" t="s">
        <v>1776</v>
      </c>
      <c r="G159" s="3737"/>
      <c r="H159" s="3737"/>
      <c r="I159" s="3737"/>
      <c r="J159" s="3737"/>
      <c r="K159" s="3738"/>
      <c r="L159" s="695"/>
      <c r="M159" s="695"/>
      <c r="N159" s="1139"/>
      <c r="O159" s="1139"/>
      <c r="P159" s="874">
        <f>IF(startClimateZone=1,score703.2.4Zone1,IF(startClimateZone=2,score703.2.4Zone2,IF(startClimateZone=3,score703.2.4Zone3,IF(startClimateZone=4,score703.2.4Zone4,IF(startClimateZone=5,score703.2.4Zone5,IF(startClimateZone=6,score703.2.4Zone6,IF(startClimateZone=7,score703.2.4Zone7,IF(startClimateZone=8,score703.2.4Zone8,0))))))))</f>
        <v>0</v>
      </c>
      <c r="Q159" s="3757"/>
      <c r="R159" s="3757"/>
      <c r="S159" s="3758"/>
      <c r="T159" s="1022"/>
    </row>
    <row r="160" spans="1:44">
      <c r="B160" s="1742"/>
      <c r="C160" s="1091"/>
      <c r="D160" s="1016"/>
      <c r="E160" s="163"/>
      <c r="F160" s="3754" t="str">
        <f>IF(startClimateZone="","No Climate Zone selected",CONCATENATE("For Climate Zone ",startClimateZone))</f>
        <v>No Climate Zone selected</v>
      </c>
      <c r="G160" s="3755"/>
      <c r="H160" s="3755"/>
      <c r="I160" s="3755"/>
      <c r="J160" s="3755"/>
      <c r="K160" s="3756"/>
      <c r="L160" s="695"/>
      <c r="M160" s="695"/>
      <c r="N160" s="1139"/>
      <c r="O160" s="1139"/>
      <c r="P160" s="1139"/>
      <c r="Q160" s="3757"/>
      <c r="R160" s="3757"/>
      <c r="S160" s="3758"/>
      <c r="T160" s="1022"/>
    </row>
    <row r="161" spans="1:44" s="992" customFormat="1" ht="38.25" customHeight="1">
      <c r="B161" s="1742"/>
      <c r="C161" s="1140"/>
      <c r="D161" s="1141"/>
      <c r="E161" s="1141"/>
      <c r="F161" s="1142"/>
      <c r="G161" s="2027" t="s">
        <v>1777</v>
      </c>
      <c r="H161" s="2027" t="s">
        <v>1778</v>
      </c>
      <c r="I161" s="2027" t="s">
        <v>1779</v>
      </c>
      <c r="J161" s="2027" t="s">
        <v>1780</v>
      </c>
      <c r="K161" s="2028" t="s">
        <v>2729</v>
      </c>
      <c r="L161" s="1141"/>
      <c r="M161" s="1141"/>
      <c r="N161" s="1139"/>
      <c r="O161" s="1139"/>
      <c r="P161" s="1139"/>
      <c r="Q161" s="3757"/>
      <c r="R161" s="3757"/>
      <c r="S161" s="3758"/>
      <c r="T161" s="1143"/>
      <c r="AE161" s="993"/>
      <c r="AF161" s="993"/>
      <c r="AG161" s="993"/>
      <c r="AH161" s="993"/>
      <c r="AI161" s="993"/>
      <c r="AJ161" s="993"/>
      <c r="AK161" s="993"/>
      <c r="AL161" s="993"/>
      <c r="AM161" s="993"/>
      <c r="AN161" s="993"/>
      <c r="AO161" s="993"/>
      <c r="AP161" s="993"/>
      <c r="AQ161" s="993"/>
      <c r="AR161" s="993"/>
    </row>
    <row r="162" spans="1:44" ht="16" thickBot="1">
      <c r="B162" s="1742"/>
      <c r="C162" s="1091"/>
      <c r="D162" s="1016"/>
      <c r="E162" s="163"/>
      <c r="F162" s="1132" t="s">
        <v>288</v>
      </c>
      <c r="G162" s="1133">
        <f>IF(startClimateZone=1,4,IF(startClimateZone=2,3,IF(startClimateZone=3,1,IF(startClimateZone=4,1,IF(startClimateZone=5,0,IF(startClimateZone=6,0,IF(startClimateZone=7,0,IF(startClimateZone=8,0,0))))))))</f>
        <v>0</v>
      </c>
      <c r="H162" s="1133">
        <f>IF(startClimateZone=1,7,IF(startClimateZone=2,5,IF(startClimateZone=3,2,IF(startClimateZone=4,1,IF(startClimateZone=5,1,IF(startClimateZone=6,0,IF(startClimateZone=7,0,IF(startClimateZone=8,0,0))))))))</f>
        <v>0</v>
      </c>
      <c r="I162" s="1133">
        <f>IF(startClimateZone=1,12,IF(startClimateZone=2,8,IF(startClimateZone=3,4,IF(startClimateZone=4,2,IF(startClimateZone=5,1,IF(startClimateZone=6,1,IF(startClimateZone=7,0,IF(startClimateZone=8,0,0))))))))</f>
        <v>0</v>
      </c>
      <c r="J162" s="1133">
        <f>IF(startClimateZone=1,16,IF(startClimateZone=2,11,IF(startClimateZone=3,6,IF(startClimateZone=4,3,IF(startClimateZone=5,2,IF(startClimateZone=6,1,IF(startClimateZone=7,0,IF(startClimateZone=8,0,0))))))))</f>
        <v>0</v>
      </c>
      <c r="K162" s="1134">
        <f>IF(startClimateZone=1,19,IF(startClimateZone=2,14,IF(startClimateZone=3,7,IF(startClimateZone=4,3,IF(startClimateZone=5,2,IF(startClimateZone=6,1,IF(startClimateZone=7,0,IF(startClimateZone=8,0,0))))))))</f>
        <v>0</v>
      </c>
      <c r="L162" s="695"/>
      <c r="M162" s="695"/>
      <c r="N162" s="1139"/>
      <c r="O162" s="1139"/>
      <c r="P162" s="1139"/>
      <c r="Q162" s="3757"/>
      <c r="R162" s="3757"/>
      <c r="S162" s="3758"/>
      <c r="T162" s="1022"/>
    </row>
    <row r="163" spans="1:44" ht="15" customHeight="1">
      <c r="C163" s="189"/>
      <c r="D163" s="1016"/>
      <c r="E163" s="695"/>
      <c r="F163" s="3759" t="str">
        <f>IF(startClimateZone="", "No zone chosen for this project. See the Start Here! worksheet.", CONCATENATE("Climate zone ",startClimateZone," chosen for this project. See the Start Here! worksheet."))</f>
        <v>No zone chosen for this project. See the Start Here! worksheet.</v>
      </c>
      <c r="G163" s="3759"/>
      <c r="H163" s="3759"/>
      <c r="I163" s="3759"/>
      <c r="J163" s="3759"/>
      <c r="K163" s="3759"/>
      <c r="L163" s="3759"/>
      <c r="M163" s="3759"/>
      <c r="N163" s="3759"/>
      <c r="O163" s="214"/>
      <c r="P163" s="695"/>
      <c r="Q163" s="3521"/>
      <c r="R163" s="3521"/>
      <c r="S163" s="3733"/>
      <c r="T163" s="1022"/>
      <c r="AE163" s="113"/>
      <c r="AF163" s="113"/>
      <c r="AG163" s="113"/>
      <c r="AH163" s="113"/>
      <c r="AI163" s="113"/>
      <c r="AJ163" s="113"/>
      <c r="AK163" s="113"/>
      <c r="AL163" s="113"/>
      <c r="AM163" s="113"/>
      <c r="AN163" s="113"/>
      <c r="AO163" s="113"/>
      <c r="AP163" s="113"/>
      <c r="AQ163" s="113"/>
      <c r="AR163" s="113"/>
    </row>
    <row r="164" spans="1:44" ht="20" customHeight="1">
      <c r="C164" s="1100" t="s">
        <v>1783</v>
      </c>
      <c r="D164" s="1020"/>
      <c r="E164" s="1078"/>
      <c r="F164" s="3681" t="s">
        <v>1784</v>
      </c>
      <c r="G164" s="3681"/>
      <c r="H164" s="3681"/>
      <c r="I164" s="3681"/>
      <c r="J164" s="3681"/>
      <c r="K164" s="3681"/>
      <c r="L164" s="3681"/>
      <c r="M164" s="3681"/>
      <c r="N164" s="3681"/>
      <c r="O164" s="3675">
        <f>IF(startClimateZone=1,14,IF(startClimateZone=2,18,IF(startClimateZone=3,22,IF(startClimateZone=4,30,IF(startClimateZone=5,37,IF(startClimateZone=6,37,IF(startClimateZone=7,37,IF(startClimateZone=8,37,0))))))))</f>
        <v>0</v>
      </c>
      <c r="P164" s="3922"/>
      <c r="Q164" s="3683"/>
      <c r="R164" s="3684"/>
      <c r="S164" s="3684"/>
      <c r="T164" s="4106" t="s">
        <v>20</v>
      </c>
    </row>
    <row r="165" spans="1:44" s="1008" customFormat="1">
      <c r="B165" s="170"/>
      <c r="C165" s="1144"/>
      <c r="D165" s="1021"/>
      <c r="E165" s="1145"/>
      <c r="F165" s="3732" t="str">
        <f>IF(startClimateZone="", "No zone chosen for this project. See the Start Here! worksheet.", CONCATENATE("Climate zone ",startClimateZone," chosen for this project. See the Start Here! worksheet."))</f>
        <v>No zone chosen for this project. See the Start Here! worksheet.</v>
      </c>
      <c r="G165" s="3732"/>
      <c r="H165" s="3732"/>
      <c r="I165" s="3732"/>
      <c r="J165" s="3732"/>
      <c r="K165" s="3732"/>
      <c r="L165" s="3732"/>
      <c r="M165" s="3732"/>
      <c r="N165" s="3732"/>
      <c r="O165" s="3676"/>
      <c r="P165" s="3921"/>
      <c r="Q165" s="3935"/>
      <c r="R165" s="3307"/>
      <c r="S165" s="3307"/>
      <c r="T165" s="4107"/>
      <c r="AE165" s="8"/>
      <c r="AF165" s="8"/>
      <c r="AG165" s="8"/>
      <c r="AH165" s="8"/>
      <c r="AI165" s="8"/>
      <c r="AJ165" s="8"/>
      <c r="AK165" s="8"/>
      <c r="AL165" s="8"/>
      <c r="AM165" s="8"/>
      <c r="AN165" s="8"/>
      <c r="AO165" s="8"/>
      <c r="AP165" s="8"/>
      <c r="AQ165" s="8"/>
      <c r="AR165" s="8"/>
    </row>
    <row r="166" spans="1:44" ht="45" customHeight="1" thickBot="1">
      <c r="B166" s="1742" t="str">
        <f t="shared" ref="B166:B171" si="2">IF(OR(startHVAC1="Ground Source Heat Pump",startHVAC2="Ground Source Heat Pump",startHVAC3="Ground Source Heat Pump", startHVAC1="Other",startHVAC2="Other",startHVAC3="Other"),"","x")</f>
        <v>x</v>
      </c>
      <c r="C166" s="1091" t="s">
        <v>1785</v>
      </c>
      <c r="D166" s="1016"/>
      <c r="E166" s="163"/>
      <c r="F166" s="3687" t="s">
        <v>1786</v>
      </c>
      <c r="G166" s="3687"/>
      <c r="H166" s="3687"/>
      <c r="I166" s="3687"/>
      <c r="J166" s="3687"/>
      <c r="K166" s="3687"/>
      <c r="L166" s="3687"/>
      <c r="M166" s="3687"/>
      <c r="N166" s="3687"/>
      <c r="O166" s="1083"/>
      <c r="P166" s="1761"/>
      <c r="Q166" s="3486"/>
      <c r="R166" s="3486"/>
      <c r="S166" s="3934"/>
      <c r="T166" s="1215" t="s">
        <v>20</v>
      </c>
    </row>
    <row r="167" spans="1:44" s="968" customFormat="1">
      <c r="A167" s="1008"/>
      <c r="B167" s="1742" t="str">
        <f t="shared" si="2"/>
        <v>x</v>
      </c>
      <c r="C167" s="1091"/>
      <c r="D167" s="1016"/>
      <c r="E167" s="163"/>
      <c r="F167" s="3736" t="s">
        <v>1787</v>
      </c>
      <c r="G167" s="3737"/>
      <c r="H167" s="3737"/>
      <c r="I167" s="3737"/>
      <c r="J167" s="3737"/>
      <c r="K167" s="3738"/>
      <c r="L167" s="695"/>
      <c r="M167" s="695"/>
      <c r="N167" s="1139"/>
      <c r="O167" s="1139"/>
      <c r="P167" s="874">
        <f>IF(startClimateZone=1,score703.2.6Zone1,IF(startClimateZone=2,score703.2.6Zone2,IF(startClimateZone=3,score703.2.6Zone3,IF(startClimateZone=4,score703.2.6Zone4,IF(startClimateZone=5,score703.2.6Zone5,IF(startClimateZone=6,score703.2.6Zone6,IF(startClimateZone=7,score703.2.6Zone7,IF(startClimateZone=8,score703.2.6Zone8,0))))))))</f>
        <v>0</v>
      </c>
      <c r="Q167" s="3757"/>
      <c r="R167" s="3757"/>
      <c r="S167" s="3758"/>
      <c r="T167" s="1022"/>
      <c r="U167" s="2691"/>
      <c r="V167" s="1008"/>
      <c r="W167" s="1008"/>
      <c r="X167" s="1008"/>
      <c r="Y167" s="1008"/>
      <c r="Z167" s="1008"/>
      <c r="AA167" s="1008"/>
      <c r="AD167" s="1008"/>
      <c r="AE167" s="8"/>
      <c r="AF167" s="8"/>
      <c r="AG167" s="8"/>
      <c r="AH167" s="8"/>
      <c r="AI167" s="8"/>
      <c r="AJ167" s="8"/>
      <c r="AK167" s="8"/>
      <c r="AL167" s="8"/>
      <c r="AM167" s="8"/>
      <c r="AN167" s="8"/>
      <c r="AO167" s="8"/>
      <c r="AP167" s="8"/>
      <c r="AQ167" s="8"/>
      <c r="AR167" s="8"/>
    </row>
    <row r="168" spans="1:44" s="968" customFormat="1">
      <c r="A168" s="1008"/>
      <c r="B168" s="1742" t="str">
        <f t="shared" si="2"/>
        <v>x</v>
      </c>
      <c r="C168" s="1091"/>
      <c r="D168" s="1016"/>
      <c r="E168" s="163"/>
      <c r="F168" s="3754" t="str">
        <f>IF(startClimateZone="","No Climate Zone selected",CONCATENATE("For Climate Zone ",startClimateZone))</f>
        <v>No Climate Zone selected</v>
      </c>
      <c r="G168" s="3755"/>
      <c r="H168" s="3755"/>
      <c r="I168" s="3755"/>
      <c r="J168" s="3755"/>
      <c r="K168" s="3756"/>
      <c r="L168" s="695"/>
      <c r="M168" s="695"/>
      <c r="N168" s="1139"/>
      <c r="O168" s="1139"/>
      <c r="P168" s="1139"/>
      <c r="Q168" s="3757"/>
      <c r="R168" s="3757"/>
      <c r="S168" s="3758"/>
      <c r="T168" s="1022"/>
      <c r="V168" s="1008"/>
      <c r="W168" s="1008"/>
      <c r="X168" s="1008"/>
      <c r="Y168" s="1008"/>
      <c r="Z168" s="1008"/>
      <c r="AA168" s="1008"/>
      <c r="AD168" s="1008"/>
      <c r="AE168" s="8"/>
      <c r="AF168" s="8"/>
      <c r="AG168" s="8"/>
      <c r="AH168" s="8"/>
      <c r="AI168" s="8"/>
      <c r="AJ168" s="8"/>
      <c r="AK168" s="8"/>
      <c r="AL168" s="8"/>
      <c r="AM168" s="8"/>
      <c r="AN168" s="8"/>
      <c r="AO168" s="8"/>
      <c r="AP168" s="8"/>
      <c r="AQ168" s="8"/>
      <c r="AR168" s="8"/>
    </row>
    <row r="169" spans="1:44" s="992" customFormat="1" ht="30" customHeight="1">
      <c r="B169" s="1742" t="str">
        <f t="shared" si="2"/>
        <v>x</v>
      </c>
      <c r="C169" s="1140"/>
      <c r="D169" s="1141"/>
      <c r="E169" s="1141"/>
      <c r="F169" s="1142"/>
      <c r="G169" s="1413" t="s">
        <v>1791</v>
      </c>
      <c r="H169" s="1413" t="s">
        <v>1790</v>
      </c>
      <c r="I169" s="1413" t="s">
        <v>1792</v>
      </c>
      <c r="J169" s="1413" t="s">
        <v>1793</v>
      </c>
      <c r="K169" s="1414" t="s">
        <v>1794</v>
      </c>
      <c r="L169" s="1141"/>
      <c r="M169" s="1141"/>
      <c r="N169" s="1139"/>
      <c r="O169" s="1139"/>
      <c r="P169" s="1139"/>
      <c r="Q169" s="3757"/>
      <c r="R169" s="3757"/>
      <c r="S169" s="3758"/>
      <c r="T169" s="1143"/>
      <c r="AE169" s="993"/>
      <c r="AF169" s="993"/>
      <c r="AG169" s="993"/>
      <c r="AH169" s="993"/>
      <c r="AI169" s="993"/>
      <c r="AJ169" s="993"/>
      <c r="AK169" s="993"/>
      <c r="AL169" s="993"/>
      <c r="AM169" s="993"/>
      <c r="AN169" s="993"/>
      <c r="AO169" s="993"/>
      <c r="AP169" s="993"/>
      <c r="AQ169" s="993"/>
      <c r="AR169" s="993"/>
    </row>
    <row r="170" spans="1:44" s="968" customFormat="1" ht="16" thickBot="1">
      <c r="A170" s="1008"/>
      <c r="B170" s="1742" t="str">
        <f t="shared" si="2"/>
        <v>x</v>
      </c>
      <c r="C170" s="1091"/>
      <c r="D170" s="1016"/>
      <c r="E170" s="163"/>
      <c r="F170" s="1132" t="s">
        <v>288</v>
      </c>
      <c r="G170" s="1133">
        <f>IF(startClimateZone=1,12,IF(startClimateZone=2,14,IF(startClimateZone=3,16,IF(startClimateZone=4,22,IF(startClimateZone=5,27,IF(startClimateZone=6,27,IF(startClimateZone=7,27,IF(startClimateZone=8,27,0))))))))</f>
        <v>0</v>
      </c>
      <c r="H170" s="1133">
        <f>IF(startClimateZone=1,14,IF(startClimateZone=2,16,IF(startClimateZone=3,19,IF(startClimateZone=4,25,IF(startClimateZone=5,31,IF(startClimateZone=6,31,IF(startClimateZone=7,31,IF(startClimateZone=8,31,0))))))))</f>
        <v>0</v>
      </c>
      <c r="I170" s="1133">
        <f>IF(startClimateZone=1,17,IF(startClimateZone=2,18,IF(startClimateZone=3,20,IF(startClimateZone=4,27,IF(startClimateZone=5,33,IF(startClimateZone=6,33,IF(startClimateZone=7,33,IF(startClimateZone=8,33,0))))))))</f>
        <v>0</v>
      </c>
      <c r="J170" s="1133">
        <f>IF(startClimateZone=1,29,IF(startClimateZone=2,28,IF(startClimateZone=3,29,IF(startClimateZone=4,35,IF(startClimateZone=5,42,IF(startClimateZone=6,42,IF(startClimateZone=7,42,IF(startClimateZone=8,42,0))))))))</f>
        <v>0</v>
      </c>
      <c r="K170" s="1134">
        <f>IF(startClimateZone=1,32,IF(startClimateZone=2,32,IF(startClimateZone=3,32,IF(startClimateZone=4,40,IF(startClimateZone=5,47,IF(startClimateZone=6,47,IF(startClimateZone=7,47,IF(startClimateZone=8,47,0))))))))</f>
        <v>0</v>
      </c>
      <c r="L170" s="695"/>
      <c r="M170" s="695"/>
      <c r="N170" s="1139"/>
      <c r="O170" s="1139"/>
      <c r="P170" s="1139"/>
      <c r="Q170" s="3757"/>
      <c r="R170" s="3757"/>
      <c r="S170" s="3758"/>
      <c r="T170" s="1022"/>
      <c r="V170" s="1008"/>
      <c r="W170" s="1008"/>
      <c r="X170" s="1008"/>
      <c r="Y170" s="1008"/>
      <c r="Z170" s="1008"/>
      <c r="AA170" s="1008"/>
      <c r="AD170" s="1008"/>
      <c r="AE170" s="8"/>
      <c r="AF170" s="8"/>
      <c r="AG170" s="8"/>
      <c r="AH170" s="8"/>
      <c r="AI170" s="8"/>
      <c r="AJ170" s="8"/>
      <c r="AK170" s="8"/>
      <c r="AL170" s="8"/>
      <c r="AM170" s="8"/>
      <c r="AN170" s="8"/>
      <c r="AO170" s="8"/>
      <c r="AP170" s="8"/>
      <c r="AQ170" s="8"/>
      <c r="AR170" s="8"/>
    </row>
    <row r="171" spans="1:44" s="968" customFormat="1" ht="30" customHeight="1">
      <c r="A171" s="1008"/>
      <c r="B171" s="1742" t="str">
        <f t="shared" si="2"/>
        <v>x</v>
      </c>
      <c r="C171" s="1091"/>
      <c r="D171" s="1016"/>
      <c r="E171" s="163"/>
      <c r="F171" s="4090" t="s">
        <v>1795</v>
      </c>
      <c r="G171" s="4090"/>
      <c r="H171" s="4090"/>
      <c r="I171" s="4090"/>
      <c r="J171" s="4090"/>
      <c r="K171" s="4090"/>
      <c r="L171" s="4090"/>
      <c r="M171" s="4090"/>
      <c r="N171" s="4090"/>
      <c r="O171" s="1139"/>
      <c r="P171" s="1139"/>
      <c r="Q171" s="3757"/>
      <c r="R171" s="3757"/>
      <c r="S171" s="3758"/>
      <c r="T171" s="1022"/>
      <c r="V171" s="1008"/>
      <c r="W171" s="1008"/>
      <c r="X171" s="1008"/>
      <c r="Y171" s="1008"/>
      <c r="Z171" s="1008"/>
      <c r="AA171" s="1008"/>
      <c r="AD171" s="1008"/>
      <c r="AE171" s="8"/>
      <c r="AF171" s="8"/>
      <c r="AG171" s="8"/>
      <c r="AH171" s="8"/>
      <c r="AI171" s="8"/>
      <c r="AJ171" s="8"/>
      <c r="AK171" s="8"/>
      <c r="AL171" s="8"/>
      <c r="AM171" s="8"/>
      <c r="AN171" s="8"/>
      <c r="AO171" s="8"/>
      <c r="AP171" s="8"/>
      <c r="AQ171" s="8"/>
      <c r="AR171" s="8"/>
    </row>
    <row r="172" spans="1:44" s="968" customFormat="1" ht="15" customHeight="1">
      <c r="A172" s="1008"/>
      <c r="B172" s="170"/>
      <c r="C172" s="189"/>
      <c r="D172" s="1016"/>
      <c r="E172" s="695"/>
      <c r="F172" s="3759" t="str">
        <f>IF(startClimateZone="", "No zone chosen for this project. See the Start Here! worksheet.", CONCATENATE("Climate zone ",startClimateZone," chosen for this project. See the Start Here! worksheet."))</f>
        <v>No zone chosen for this project. See the Start Here! worksheet.</v>
      </c>
      <c r="G172" s="3759"/>
      <c r="H172" s="3759"/>
      <c r="I172" s="3759"/>
      <c r="J172" s="3759"/>
      <c r="K172" s="3759"/>
      <c r="L172" s="3759"/>
      <c r="M172" s="3759"/>
      <c r="N172" s="3759"/>
      <c r="O172" s="214"/>
      <c r="P172" s="695"/>
      <c r="Q172" s="3521"/>
      <c r="R172" s="3521"/>
      <c r="S172" s="3733"/>
      <c r="T172" s="1022"/>
      <c r="V172" s="1008"/>
      <c r="W172" s="1008"/>
      <c r="X172" s="1008"/>
      <c r="Y172" s="1008"/>
      <c r="Z172" s="1008"/>
      <c r="AA172" s="1008"/>
      <c r="AD172" s="1008"/>
    </row>
    <row r="173" spans="1:44" ht="20" customHeight="1">
      <c r="C173" s="1100" t="s">
        <v>1799</v>
      </c>
      <c r="D173" s="1020"/>
      <c r="E173" s="1078"/>
      <c r="F173" s="3681" t="s">
        <v>2451</v>
      </c>
      <c r="G173" s="3681"/>
      <c r="H173" s="3681"/>
      <c r="I173" s="3681"/>
      <c r="J173" s="3681"/>
      <c r="K173" s="3681"/>
      <c r="L173" s="3681"/>
      <c r="M173" s="3681"/>
      <c r="N173" s="3682"/>
      <c r="O173" s="3701">
        <v>1</v>
      </c>
      <c r="P173" s="3464"/>
      <c r="Q173" s="3683"/>
      <c r="R173" s="3684"/>
      <c r="S173" s="3684"/>
      <c r="T173" s="3215" t="s">
        <v>20</v>
      </c>
    </row>
    <row r="174" spans="1:44" ht="15" customHeight="1">
      <c r="C174" s="1146"/>
      <c r="D174" s="1021"/>
      <c r="E174" s="1147"/>
      <c r="F174" s="3929" t="s">
        <v>368</v>
      </c>
      <c r="G174" s="3929"/>
      <c r="H174" s="3929"/>
      <c r="I174" s="3929"/>
      <c r="J174" s="3929"/>
      <c r="K174" s="3929"/>
      <c r="L174" s="3929"/>
      <c r="M174" s="3929"/>
      <c r="N174" s="3929"/>
      <c r="O174" s="3848"/>
      <c r="P174" s="3944"/>
      <c r="Q174" s="3935"/>
      <c r="R174" s="3307"/>
      <c r="S174" s="3307"/>
      <c r="T174" s="3116"/>
    </row>
    <row r="175" spans="1:44" ht="30" customHeight="1">
      <c r="C175" s="1091" t="s">
        <v>1800</v>
      </c>
      <c r="D175" s="1016"/>
      <c r="E175" s="163"/>
      <c r="F175" s="3687" t="s">
        <v>1801</v>
      </c>
      <c r="G175" s="3687"/>
      <c r="H175" s="3687"/>
      <c r="I175" s="3687"/>
      <c r="J175" s="3687"/>
      <c r="K175" s="3687"/>
      <c r="L175" s="3687"/>
      <c r="M175" s="3687"/>
      <c r="N175" s="3719"/>
      <c r="O175" s="1049">
        <f>IF(OR(startClimateZone=1,startClimateZone=2,startClimateZone=3),5,IF(OR(startClimateZone=4,startClimateZone=5,startClimateZone=6),3,0))</f>
        <v>0</v>
      </c>
      <c r="P175" s="1218"/>
      <c r="Q175" s="3683"/>
      <c r="R175" s="3684"/>
      <c r="S175" s="3684"/>
      <c r="T175" s="997" t="s">
        <v>20</v>
      </c>
    </row>
    <row r="176" spans="1:44" ht="30" customHeight="1">
      <c r="C176" s="189"/>
      <c r="D176" s="1016"/>
      <c r="E176" s="695"/>
      <c r="F176" s="3548" t="s">
        <v>1802</v>
      </c>
      <c r="G176" s="3548"/>
      <c r="H176" s="3548"/>
      <c r="I176" s="3548"/>
      <c r="J176" s="3548"/>
      <c r="K176" s="3548"/>
      <c r="L176" s="3548"/>
      <c r="M176" s="3548"/>
      <c r="N176" s="3548"/>
      <c r="O176" s="1148"/>
      <c r="P176" s="1149"/>
      <c r="Q176" s="4091"/>
      <c r="R176" s="4091"/>
      <c r="S176" s="4092"/>
      <c r="T176" s="1043"/>
    </row>
    <row r="177" spans="1:44" s="968" customFormat="1" ht="15" customHeight="1">
      <c r="A177" s="1008"/>
      <c r="B177" s="170"/>
      <c r="C177" s="1146"/>
      <c r="D177" s="1021"/>
      <c r="E177" s="1147"/>
      <c r="F177" s="3930" t="str">
        <f>IF(startClimateZone="", "No zone chosen for this project. See the Start Here! worksheet.", CONCATENATE("Climate zone ",startClimateZone," chosen for this project. See the Start Here! worksheet."))</f>
        <v>No zone chosen for this project. See the Start Here! worksheet.</v>
      </c>
      <c r="G177" s="3930"/>
      <c r="H177" s="3930"/>
      <c r="I177" s="3930"/>
      <c r="J177" s="3930"/>
      <c r="K177" s="3930"/>
      <c r="L177" s="3930"/>
      <c r="M177" s="3930"/>
      <c r="N177" s="3930"/>
      <c r="O177" s="1150"/>
      <c r="P177" s="1147"/>
      <c r="Q177" s="3931"/>
      <c r="R177" s="3931"/>
      <c r="S177" s="3932"/>
      <c r="T177" s="1151"/>
      <c r="V177" s="1008"/>
      <c r="W177" s="1008"/>
      <c r="X177" s="1008"/>
      <c r="Y177" s="1008"/>
      <c r="Z177" s="1008"/>
      <c r="AA177" s="1008"/>
      <c r="AD177" s="1008"/>
    </row>
    <row r="178" spans="1:44" ht="60" customHeight="1">
      <c r="C178" s="1091" t="s">
        <v>1805</v>
      </c>
      <c r="D178" s="1016"/>
      <c r="E178" s="163"/>
      <c r="F178" s="3687" t="s">
        <v>1803</v>
      </c>
      <c r="G178" s="3687"/>
      <c r="H178" s="3687"/>
      <c r="I178" s="3687"/>
      <c r="J178" s="3687"/>
      <c r="K178" s="3687"/>
      <c r="L178" s="3687"/>
      <c r="M178" s="3687"/>
      <c r="N178" s="3687"/>
      <c r="O178" s="1242">
        <v>1</v>
      </c>
      <c r="P178" s="1001"/>
      <c r="Q178" s="3730"/>
      <c r="R178" s="3731"/>
      <c r="S178" s="3933"/>
      <c r="T178" s="1013" t="s">
        <v>20</v>
      </c>
    </row>
    <row r="179" spans="1:44" ht="45" customHeight="1" thickBot="1">
      <c r="C179" s="3863"/>
      <c r="D179" s="3864"/>
      <c r="E179" s="3916"/>
      <c r="F179" s="3632" t="s">
        <v>1804</v>
      </c>
      <c r="G179" s="3632"/>
      <c r="H179" s="3632"/>
      <c r="I179" s="3632"/>
      <c r="J179" s="3632"/>
      <c r="K179" s="3632"/>
      <c r="L179" s="3632"/>
      <c r="M179" s="3632"/>
      <c r="N179" s="3524"/>
      <c r="O179" s="3865" t="str">
        <f>IF(AND(startSingleorMulti="Multi-Unit", startMultiUnits&gt;=2, P10="Prescriptive Path"), "This project is labelled Multi-Unit &amp; has 2 or more units AND follows the Prescriptive Path for Energy Efficiency. It is eligible for points in 703.2.9.", "This project must be labelled Multi-Unit &amp; have 2 or more units (see Start Here! worksheet) AND follow the Prescriptive Path for Energy Efficiency (see 701.1) to claim points for 703.2.9.")</f>
        <v>This project must be labelled Multi-Unit &amp; have 2 or more units (see Start Here! worksheet) AND follow the Prescriptive Path for Energy Efficiency (see 701.1) to claim points for 703.2.9.</v>
      </c>
      <c r="P179" s="3866"/>
      <c r="Q179" s="3866"/>
      <c r="R179" s="3866"/>
      <c r="S179" s="3866"/>
      <c r="T179" s="1153"/>
    </row>
    <row r="180" spans="1:44" s="968" customFormat="1" ht="16" thickTop="1">
      <c r="A180" s="1008"/>
      <c r="B180" s="170"/>
      <c r="C180" s="1154">
        <v>703.3</v>
      </c>
      <c r="D180" s="1155"/>
      <c r="E180" s="1156"/>
      <c r="F180" s="3852" t="s">
        <v>1806</v>
      </c>
      <c r="G180" s="3852"/>
      <c r="H180" s="3852"/>
      <c r="I180" s="3852"/>
      <c r="J180" s="3852"/>
      <c r="K180" s="3852"/>
      <c r="L180" s="3852"/>
      <c r="M180" s="3852"/>
      <c r="N180" s="3852"/>
      <c r="O180" s="1117"/>
      <c r="P180" s="1118"/>
      <c r="Q180" s="3861"/>
      <c r="R180" s="3861"/>
      <c r="S180" s="3862"/>
      <c r="T180" s="929"/>
      <c r="V180" s="1008"/>
      <c r="W180" s="1008"/>
      <c r="X180" s="1008"/>
      <c r="Y180" s="1008"/>
      <c r="Z180" s="1008"/>
      <c r="AA180" s="1008"/>
      <c r="AD180" s="1008"/>
      <c r="AE180" s="8"/>
      <c r="AF180" s="8"/>
      <c r="AG180" s="8"/>
      <c r="AH180" s="8"/>
      <c r="AI180" s="8"/>
      <c r="AJ180" s="8"/>
      <c r="AK180" s="8"/>
      <c r="AL180" s="8"/>
      <c r="AM180" s="8"/>
      <c r="AN180" s="8"/>
      <c r="AO180" s="8"/>
      <c r="AP180" s="8"/>
      <c r="AQ180" s="8"/>
      <c r="AR180" s="8"/>
    </row>
    <row r="181" spans="1:44" s="968" customFormat="1" ht="30" customHeight="1">
      <c r="A181" s="1008"/>
      <c r="B181" s="170"/>
      <c r="C181" s="4093" t="s">
        <v>366</v>
      </c>
      <c r="D181" s="4003"/>
      <c r="E181" s="4003"/>
      <c r="F181" s="3687" t="s">
        <v>1807</v>
      </c>
      <c r="G181" s="3687"/>
      <c r="H181" s="3687"/>
      <c r="I181" s="3687"/>
      <c r="J181" s="3687"/>
      <c r="K181" s="3687"/>
      <c r="L181" s="3687"/>
      <c r="M181" s="3687"/>
      <c r="N181" s="3687"/>
      <c r="O181" s="3702">
        <f>IF(startClimateZone=2,4,IF(startClimateZone=3,7,IF(startClimateZone=4,7,IF(startClimateZone=5,6,IF(OR(startClimateZone=6,startClimateZone=7,startClimateZone=8),2,0)))))</f>
        <v>0</v>
      </c>
      <c r="P181" s="3919"/>
      <c r="Q181" s="3633"/>
      <c r="R181" s="3486"/>
      <c r="S181" s="3934"/>
      <c r="T181" s="3937" t="s">
        <v>20</v>
      </c>
      <c r="V181" s="1008"/>
      <c r="W181" s="1008"/>
      <c r="X181" s="1008"/>
      <c r="Y181" s="1008"/>
      <c r="Z181" s="1008"/>
      <c r="AA181" s="1008"/>
      <c r="AD181" s="1008"/>
      <c r="AE181" s="8"/>
      <c r="AF181" s="8"/>
      <c r="AG181" s="8"/>
      <c r="AH181" s="8"/>
      <c r="AI181" s="8"/>
      <c r="AJ181" s="8"/>
      <c r="AK181" s="8"/>
      <c r="AL181" s="8"/>
      <c r="AM181" s="8"/>
      <c r="AN181" s="8"/>
      <c r="AO181" s="8"/>
      <c r="AP181" s="8"/>
      <c r="AQ181" s="8"/>
      <c r="AR181" s="8"/>
    </row>
    <row r="182" spans="1:44" s="1008" customFormat="1" ht="15" customHeight="1">
      <c r="B182" s="170"/>
      <c r="C182" s="4093"/>
      <c r="D182" s="4003"/>
      <c r="E182" s="4003"/>
      <c r="F182" s="4098" t="str">
        <f>IF(AND(claim703.3.1&lt;&gt;"",claim703.3.2&lt;&gt;"",claim902.2.3&lt;&gt;""),"Points cannot be claimed for 703.3.1, 703.3.2, AND 902.2.3.","")</f>
        <v/>
      </c>
      <c r="G182" s="4098"/>
      <c r="H182" s="4098"/>
      <c r="I182" s="4098"/>
      <c r="J182" s="4098"/>
      <c r="K182" s="4098"/>
      <c r="L182" s="4098"/>
      <c r="M182" s="4098"/>
      <c r="N182" s="4098"/>
      <c r="O182" s="3702"/>
      <c r="P182" s="3920"/>
      <c r="Q182" s="3633"/>
      <c r="R182" s="3486"/>
      <c r="S182" s="3934"/>
      <c r="T182" s="3937"/>
      <c r="AE182" s="8"/>
      <c r="AF182" s="8"/>
      <c r="AG182" s="8"/>
      <c r="AH182" s="8"/>
      <c r="AI182" s="8"/>
      <c r="AJ182" s="8"/>
      <c r="AK182" s="8"/>
      <c r="AL182" s="8"/>
      <c r="AM182" s="8"/>
      <c r="AN182" s="8"/>
      <c r="AO182" s="8"/>
      <c r="AP182" s="8"/>
      <c r="AQ182" s="8"/>
      <c r="AR182" s="8"/>
    </row>
    <row r="183" spans="1:44" s="968" customFormat="1" ht="15" customHeight="1">
      <c r="A183" s="1008"/>
      <c r="B183" s="170"/>
      <c r="C183" s="4094"/>
      <c r="D183" s="4095"/>
      <c r="E183" s="4095"/>
      <c r="F183" s="3759" t="str">
        <f>IF(startClimateZone="", "No zone chosen for this project. See the Start Here! worksheet.", CONCATENATE("Climate zone ",startClimateZone," chosen for this project. See the Start Here! worksheet."))</f>
        <v>No zone chosen for this project. See the Start Here! worksheet.</v>
      </c>
      <c r="G183" s="3759"/>
      <c r="H183" s="3759"/>
      <c r="I183" s="3759"/>
      <c r="J183" s="3759"/>
      <c r="K183" s="3759"/>
      <c r="L183" s="3759"/>
      <c r="M183" s="3759"/>
      <c r="N183" s="3759"/>
      <c r="O183" s="3848"/>
      <c r="P183" s="3921"/>
      <c r="Q183" s="3935"/>
      <c r="R183" s="3307"/>
      <c r="S183" s="3936"/>
      <c r="T183" s="3938"/>
      <c r="V183" s="1008"/>
      <c r="W183" s="1008"/>
      <c r="X183" s="1008"/>
      <c r="Y183" s="1008"/>
      <c r="Z183" s="1008"/>
      <c r="AA183" s="1008"/>
      <c r="AD183" s="1008"/>
    </row>
    <row r="184" spans="1:44" s="968" customFormat="1" ht="30" customHeight="1">
      <c r="A184" s="1008"/>
      <c r="B184" s="170"/>
      <c r="C184" s="4096" t="s">
        <v>1808</v>
      </c>
      <c r="D184" s="4097"/>
      <c r="E184" s="4097"/>
      <c r="F184" s="3681" t="s">
        <v>1809</v>
      </c>
      <c r="G184" s="3681"/>
      <c r="H184" s="3681"/>
      <c r="I184" s="3681"/>
      <c r="J184" s="3681"/>
      <c r="K184" s="3681"/>
      <c r="L184" s="3681"/>
      <c r="M184" s="3681"/>
      <c r="N184" s="3681"/>
      <c r="O184" s="3701">
        <f>IF(startClimateZone=1,10,IF(startClimateZone=2,7,IF(startClimateZone=3,3,IF(startClimateZone=4,1,0))))</f>
        <v>0</v>
      </c>
      <c r="P184" s="3922"/>
      <c r="Q184" s="3683"/>
      <c r="R184" s="3684"/>
      <c r="S184" s="3712"/>
      <c r="T184" s="3939" t="s">
        <v>20</v>
      </c>
      <c r="V184" s="1008"/>
      <c r="W184" s="1008"/>
      <c r="X184" s="1008"/>
      <c r="Y184" s="1008"/>
      <c r="Z184" s="1008"/>
      <c r="AA184" s="1008"/>
      <c r="AD184" s="1008"/>
      <c r="AE184" s="8"/>
      <c r="AF184" s="8"/>
      <c r="AG184" s="8"/>
      <c r="AH184" s="8"/>
      <c r="AI184" s="8"/>
      <c r="AJ184" s="8"/>
      <c r="AK184" s="8"/>
      <c r="AL184" s="8"/>
      <c r="AM184" s="8"/>
      <c r="AN184" s="8"/>
      <c r="AO184" s="8"/>
      <c r="AP184" s="8"/>
      <c r="AQ184" s="8"/>
      <c r="AR184" s="8"/>
    </row>
    <row r="185" spans="1:44" s="1008" customFormat="1" ht="15" customHeight="1">
      <c r="B185" s="170"/>
      <c r="C185" s="4093"/>
      <c r="D185" s="4003"/>
      <c r="E185" s="4003"/>
      <c r="F185" s="4099" t="str">
        <f>IF(AND(claim703.3.1&lt;&gt;"",claim703.3.2&lt;&gt;"",claim902.2.3&lt;&gt;""),"Points cannot be claimed for 703.3.1, 703.3.2, AND 902.2.3.","")</f>
        <v/>
      </c>
      <c r="G185" s="4099"/>
      <c r="H185" s="4099"/>
      <c r="I185" s="4099"/>
      <c r="J185" s="4099"/>
      <c r="K185" s="4099"/>
      <c r="L185" s="4099"/>
      <c r="M185" s="4099"/>
      <c r="N185" s="4099"/>
      <c r="O185" s="3702"/>
      <c r="P185" s="3920"/>
      <c r="Q185" s="3633"/>
      <c r="R185" s="3486"/>
      <c r="S185" s="3934"/>
      <c r="T185" s="3937"/>
      <c r="AE185" s="8"/>
      <c r="AF185" s="8"/>
      <c r="AG185" s="8"/>
      <c r="AH185" s="8"/>
      <c r="AI185" s="8"/>
      <c r="AJ185" s="8"/>
      <c r="AK185" s="8"/>
      <c r="AL185" s="8"/>
      <c r="AM185" s="8"/>
      <c r="AN185" s="8"/>
      <c r="AO185" s="8"/>
      <c r="AP185" s="8"/>
      <c r="AQ185" s="8"/>
      <c r="AR185" s="8"/>
    </row>
    <row r="186" spans="1:44" s="968" customFormat="1" ht="15" customHeight="1">
      <c r="A186" s="1008"/>
      <c r="B186" s="170"/>
      <c r="C186" s="4094"/>
      <c r="D186" s="4095"/>
      <c r="E186" s="4095"/>
      <c r="F186" s="3759" t="str">
        <f>IF(startClimateZone="", "No zone chosen for this project. See the Start Here! worksheet.", CONCATENATE("Climate zone ",startClimateZone," chosen for this project. See the Start Here! worksheet."))</f>
        <v>No zone chosen for this project. See the Start Here! worksheet.</v>
      </c>
      <c r="G186" s="3759"/>
      <c r="H186" s="3759"/>
      <c r="I186" s="3759"/>
      <c r="J186" s="3759"/>
      <c r="K186" s="3759"/>
      <c r="L186" s="3759"/>
      <c r="M186" s="3759"/>
      <c r="N186" s="3759"/>
      <c r="O186" s="3848"/>
      <c r="P186" s="3921"/>
      <c r="Q186" s="3935"/>
      <c r="R186" s="3307"/>
      <c r="S186" s="3936"/>
      <c r="T186" s="3938"/>
      <c r="V186" s="1008"/>
      <c r="W186" s="1008"/>
      <c r="X186" s="1008"/>
      <c r="Y186" s="1008"/>
      <c r="Z186" s="1008"/>
      <c r="AA186" s="1008"/>
      <c r="AD186" s="1008"/>
    </row>
    <row r="187" spans="1:44" s="968" customFormat="1" ht="70.5" customHeight="1">
      <c r="A187" s="1008"/>
      <c r="B187" s="170"/>
      <c r="C187" s="1100" t="s">
        <v>1810</v>
      </c>
      <c r="D187" s="1020"/>
      <c r="E187" s="1078"/>
      <c r="F187" s="3681" t="s">
        <v>1811</v>
      </c>
      <c r="G187" s="3681"/>
      <c r="H187" s="3681"/>
      <c r="I187" s="3681"/>
      <c r="J187" s="3681"/>
      <c r="K187" s="3681"/>
      <c r="L187" s="3681"/>
      <c r="M187" s="3681"/>
      <c r="N187" s="3681"/>
      <c r="O187" s="1101">
        <f>IF(startClimateZone=1,11,IF(startClimateZone=2,11,IF(startClimateZone=3,11,IF(startClimateZone=4,8,IF(startClimateZone=5,4,IF(OR(startClimateZone=6,startClimateZone=7,startClimateZone=8),3,0))))))</f>
        <v>0</v>
      </c>
      <c r="P187" s="1012"/>
      <c r="Q187" s="3683"/>
      <c r="R187" s="3684"/>
      <c r="S187" s="3712"/>
      <c r="T187" s="1216" t="s">
        <v>20</v>
      </c>
      <c r="V187" s="1008"/>
      <c r="W187" s="1008"/>
      <c r="X187" s="1008"/>
      <c r="Y187" s="1008"/>
      <c r="Z187" s="1008"/>
      <c r="AA187" s="1008"/>
      <c r="AD187" s="1008"/>
      <c r="AE187" s="8"/>
      <c r="AF187" s="8"/>
      <c r="AG187" s="8"/>
      <c r="AH187" s="8"/>
      <c r="AI187" s="8"/>
      <c r="AJ187" s="8"/>
      <c r="AK187" s="8"/>
      <c r="AL187" s="8"/>
      <c r="AM187" s="8"/>
      <c r="AN187" s="8"/>
      <c r="AO187" s="8"/>
      <c r="AP187" s="8"/>
      <c r="AQ187" s="8"/>
      <c r="AR187" s="8"/>
    </row>
    <row r="188" spans="1:44" s="968" customFormat="1" ht="15" customHeight="1">
      <c r="A188" s="1008"/>
      <c r="B188" s="170"/>
      <c r="C188" s="189"/>
      <c r="D188" s="1016"/>
      <c r="E188" s="695"/>
      <c r="F188" s="3759" t="str">
        <f>IF(startClimateZone="", "No zone chosen for this project. See the Start Here! worksheet.", CONCATENATE("Climate zone ",startClimateZone," chosen for this project. See the Start Here! worksheet."))</f>
        <v>No zone chosen for this project. See the Start Here! worksheet.</v>
      </c>
      <c r="G188" s="3759"/>
      <c r="H188" s="3759"/>
      <c r="I188" s="3759"/>
      <c r="J188" s="3759"/>
      <c r="K188" s="3759"/>
      <c r="L188" s="3759"/>
      <c r="M188" s="3759"/>
      <c r="N188" s="3759"/>
      <c r="O188" s="214"/>
      <c r="P188" s="695"/>
      <c r="Q188" s="3521"/>
      <c r="R188" s="3521"/>
      <c r="S188" s="3733"/>
      <c r="T188" s="1022"/>
      <c r="V188" s="1008"/>
      <c r="W188" s="1008"/>
      <c r="X188" s="1008"/>
      <c r="Y188" s="1008"/>
      <c r="Z188" s="1008"/>
      <c r="AA188" s="1008"/>
      <c r="AD188" s="1008"/>
    </row>
    <row r="189" spans="1:44" s="968" customFormat="1" ht="45" customHeight="1" thickBot="1">
      <c r="A189" s="1008"/>
      <c r="B189" s="170"/>
      <c r="C189" s="1100" t="s">
        <v>1812</v>
      </c>
      <c r="D189" s="1020"/>
      <c r="E189" s="1078"/>
      <c r="F189" s="3681" t="s">
        <v>1813</v>
      </c>
      <c r="G189" s="3681"/>
      <c r="H189" s="3681"/>
      <c r="I189" s="3681"/>
      <c r="J189" s="3681"/>
      <c r="K189" s="3681"/>
      <c r="L189" s="3681"/>
      <c r="M189" s="3681"/>
      <c r="N189" s="3681"/>
      <c r="O189" s="1101" t="s">
        <v>1818</v>
      </c>
      <c r="P189" s="1762"/>
      <c r="Q189" s="3683"/>
      <c r="R189" s="3684"/>
      <c r="S189" s="3684"/>
      <c r="T189" s="999" t="s">
        <v>20</v>
      </c>
      <c r="V189" s="1008"/>
      <c r="W189" s="1008"/>
      <c r="X189" s="1008"/>
      <c r="Y189" s="1008"/>
      <c r="Z189" s="1008"/>
      <c r="AA189" s="1008"/>
      <c r="AD189" s="1008"/>
      <c r="AE189" s="8"/>
      <c r="AF189" s="8"/>
      <c r="AG189" s="8"/>
      <c r="AH189" s="8"/>
      <c r="AI189" s="8"/>
      <c r="AJ189" s="8"/>
      <c r="AK189" s="8"/>
      <c r="AL189" s="8"/>
      <c r="AM189" s="8"/>
      <c r="AN189" s="8"/>
      <c r="AO189" s="8"/>
      <c r="AP189" s="8"/>
      <c r="AQ189" s="8"/>
      <c r="AR189" s="8"/>
    </row>
    <row r="190" spans="1:44" s="968" customFormat="1" ht="15" customHeight="1">
      <c r="A190" s="1008"/>
      <c r="B190" s="170"/>
      <c r="C190" s="1240"/>
      <c r="D190" s="1128"/>
      <c r="E190" s="1128"/>
      <c r="F190" s="3736" t="s">
        <v>1814</v>
      </c>
      <c r="G190" s="3917"/>
      <c r="H190" s="3917"/>
      <c r="I190" s="3917"/>
      <c r="J190" s="3917"/>
      <c r="K190" s="3917"/>
      <c r="L190" s="3918"/>
      <c r="M190" s="3749" t="str">
        <f>IF(AND(claim703.3.3&lt;&gt;"",OR(choice703.3.4=Formulas!$M$71,choice703.3.4=Formulas!$M$73)),"Points cannot be claimed for ductwork outside of the thermal envelope if points claimed for 703.3.3.","")</f>
        <v/>
      </c>
      <c r="N190" s="3750"/>
      <c r="O190" s="1049"/>
      <c r="P190" s="874">
        <f>IF(startClimateZone=1,score703.3.4Zone1,IF(startClimateZone=2,score703.3.4Zone2,IF(startClimateZone=3,score703.3.4Zone3,IF(startClimateZone=4,score703.3.4Zone4,IF(startClimateZone=5,score703.3.4Zone5,IF(startClimateZone=6,score703.3.4Zone6,IF(startClimateZone=7,score703.3.4Zone7,IF(startClimateZone=8,score703.3.4Zone8,0))))))))</f>
        <v>0</v>
      </c>
      <c r="Q190" s="3101"/>
      <c r="R190" s="3101"/>
      <c r="S190" s="3101"/>
      <c r="T190" s="1065"/>
      <c r="V190" s="1008"/>
      <c r="W190" s="1008"/>
      <c r="X190" s="1008"/>
      <c r="Y190" s="1008"/>
      <c r="Z190" s="1008"/>
      <c r="AA190" s="1008"/>
      <c r="AD190" s="1008"/>
      <c r="AE190" s="8"/>
      <c r="AF190" s="8"/>
      <c r="AG190" s="8"/>
      <c r="AH190" s="8"/>
      <c r="AI190" s="8"/>
      <c r="AJ190" s="8"/>
      <c r="AK190" s="8"/>
      <c r="AL190" s="8"/>
      <c r="AM190" s="8"/>
      <c r="AN190" s="8"/>
      <c r="AO190" s="8"/>
      <c r="AP190" s="8"/>
      <c r="AQ190" s="8"/>
      <c r="AR190" s="8"/>
    </row>
    <row r="191" spans="1:44" s="968" customFormat="1" ht="15" customHeight="1">
      <c r="A191" s="1008"/>
      <c r="B191" s="170"/>
      <c r="C191" s="1240"/>
      <c r="D191" s="1128"/>
      <c r="E191" s="1128"/>
      <c r="F191" s="3754" t="str">
        <f>IF(startClimateZone="","No Climate Zone selected",CONCATENATE("For Climate Zone ",startClimateZone))</f>
        <v>No Climate Zone selected</v>
      </c>
      <c r="G191" s="3755"/>
      <c r="H191" s="3755"/>
      <c r="I191" s="3755"/>
      <c r="J191" s="3755"/>
      <c r="K191" s="3755"/>
      <c r="L191" s="3756"/>
      <c r="M191" s="3749"/>
      <c r="N191" s="3750"/>
      <c r="O191" s="1049"/>
      <c r="P191" s="695"/>
      <c r="Q191" s="3101"/>
      <c r="R191" s="3101"/>
      <c r="S191" s="3101"/>
      <c r="T191" s="1065"/>
      <c r="V191" s="1008"/>
      <c r="W191" s="1008"/>
      <c r="X191" s="1008"/>
      <c r="Y191" s="1008"/>
      <c r="Z191" s="1008"/>
      <c r="AA191" s="1008"/>
      <c r="AD191" s="1008"/>
      <c r="AE191" s="8"/>
      <c r="AF191" s="8"/>
      <c r="AG191" s="8"/>
      <c r="AH191" s="8"/>
      <c r="AI191" s="8"/>
      <c r="AJ191" s="8"/>
      <c r="AK191" s="8"/>
      <c r="AL191" s="8"/>
      <c r="AM191" s="8"/>
      <c r="AN191" s="8"/>
      <c r="AO191" s="8"/>
      <c r="AP191" s="8"/>
      <c r="AQ191" s="8"/>
      <c r="AR191" s="8"/>
    </row>
    <row r="192" spans="1:44" s="968" customFormat="1" ht="51" customHeight="1">
      <c r="A192" s="1008"/>
      <c r="B192" s="170"/>
      <c r="C192" s="1240"/>
      <c r="D192" s="1128"/>
      <c r="E192" s="1128"/>
      <c r="F192" s="1129"/>
      <c r="G192" s="3755" t="s">
        <v>1815</v>
      </c>
      <c r="H192" s="3755"/>
      <c r="I192" s="3755" t="s">
        <v>1816</v>
      </c>
      <c r="J192" s="3755"/>
      <c r="K192" s="3755" t="s">
        <v>1817</v>
      </c>
      <c r="L192" s="3756"/>
      <c r="M192" s="3749"/>
      <c r="N192" s="3750"/>
      <c r="O192" s="1049"/>
      <c r="P192" s="695"/>
      <c r="Q192" s="3101"/>
      <c r="R192" s="3101"/>
      <c r="S192" s="3101"/>
      <c r="T192" s="1065"/>
      <c r="V192" s="1008"/>
      <c r="W192" s="1008"/>
      <c r="X192" s="1008"/>
      <c r="Y192" s="1008"/>
      <c r="Z192" s="1008"/>
      <c r="AA192" s="1008"/>
      <c r="AD192" s="1008"/>
      <c r="AE192" s="8"/>
      <c r="AF192" s="8"/>
      <c r="AG192" s="8"/>
      <c r="AH192" s="8"/>
      <c r="AI192" s="8"/>
      <c r="AJ192" s="8"/>
      <c r="AK192" s="8"/>
      <c r="AL192" s="8"/>
      <c r="AM192" s="8"/>
      <c r="AN192" s="8"/>
      <c r="AO192" s="8"/>
      <c r="AP192" s="8"/>
      <c r="AQ192" s="8"/>
      <c r="AR192" s="8"/>
    </row>
    <row r="193" spans="1:44" s="968" customFormat="1" ht="16" thickBot="1">
      <c r="A193" s="1008"/>
      <c r="B193" s="170"/>
      <c r="C193" s="1240"/>
      <c r="D193" s="1128"/>
      <c r="E193" s="1128"/>
      <c r="F193" s="1132" t="s">
        <v>288</v>
      </c>
      <c r="G193" s="3926">
        <f>IF(startClimateZone=1,8,IF(startClimateZone=2,9,IF(startClimateZone=3,8,IF(startClimateZone=4,6,IF(startClimateZone=5,3,IF(OR(startClimateZone=6,startClimateZone=7,startClimateZone=8),2,0))))))</f>
        <v>0</v>
      </c>
      <c r="H193" s="3926"/>
      <c r="I193" s="3926">
        <f>IF(startClimateZone=1,3,IF(startClimateZone=2,3,IF(startClimateZone=3,3,IF(startClimateZone=4,2,IF(startClimateZone=5,1,IF(OR(startClimateZone=6,startClimateZone=7,startClimateZone=8),1,0))))))</f>
        <v>0</v>
      </c>
      <c r="J193" s="3926"/>
      <c r="K193" s="3927">
        <f>IF(startClimateZone=1,5,IF(startClimateZone=2,6,IF(startClimateZone=3,5,IF(startClimateZone=4,4,IF(startClimateZone=5,2,IF(OR(startClimateZone=6,startClimateZone=7,startClimateZone=8),2,0))))))</f>
        <v>0</v>
      </c>
      <c r="L193" s="3928"/>
      <c r="M193" s="3751"/>
      <c r="N193" s="3752"/>
      <c r="O193" s="3940" t="str">
        <f>IF(AND(claim703.3.1&gt;0,claim703.3.2&gt;0,choice703.3.4&lt;&gt;""),"Points cannot be claimed for 703.3.1 and 703.3.2 and 703.3.4","")</f>
        <v/>
      </c>
      <c r="P193" s="3940"/>
      <c r="Q193" s="3940"/>
      <c r="R193" s="3940"/>
      <c r="S193" s="3940"/>
      <c r="T193" s="3941"/>
      <c r="V193" s="1008"/>
      <c r="W193" s="1008"/>
      <c r="X193" s="1008"/>
      <c r="Y193" s="1008"/>
      <c r="Z193" s="1008"/>
      <c r="AA193" s="1008"/>
      <c r="AD193" s="1008"/>
      <c r="AE193" s="8"/>
      <c r="AF193" s="8"/>
      <c r="AG193" s="8"/>
      <c r="AH193" s="8"/>
      <c r="AI193" s="8"/>
      <c r="AJ193" s="8"/>
      <c r="AK193" s="8"/>
      <c r="AL193" s="8"/>
      <c r="AM193" s="8"/>
      <c r="AN193" s="8"/>
      <c r="AO193" s="8"/>
      <c r="AP193" s="8"/>
      <c r="AQ193" s="8"/>
      <c r="AR193" s="8"/>
    </row>
    <row r="194" spans="1:44" s="1008" customFormat="1" ht="15" customHeight="1" thickBot="1">
      <c r="B194" s="170"/>
      <c r="C194" s="189"/>
      <c r="D194" s="1016"/>
      <c r="E194" s="1253"/>
      <c r="F194" s="3925" t="str">
        <f>IF(startClimateZone="", "No zone chosen for this project. See the Start Here! worksheet.", CONCATENATE("Climate zone ",startClimateZone," chosen for this project. See the Start Here! worksheet."))</f>
        <v>No zone chosen for this project. See the Start Here! worksheet.</v>
      </c>
      <c r="G194" s="3925"/>
      <c r="H194" s="3925"/>
      <c r="I194" s="3925"/>
      <c r="J194" s="3925"/>
      <c r="K194" s="3925"/>
      <c r="L194" s="3925"/>
      <c r="M194" s="3925"/>
      <c r="N194" s="3925"/>
      <c r="O194" s="3942"/>
      <c r="P194" s="3942"/>
      <c r="Q194" s="3942"/>
      <c r="R194" s="3942"/>
      <c r="S194" s="3942"/>
      <c r="T194" s="3943"/>
    </row>
    <row r="195" spans="1:44" ht="16" thickTop="1">
      <c r="C195" s="1154">
        <v>703.4</v>
      </c>
      <c r="D195" s="1155"/>
      <c r="E195" s="1063"/>
      <c r="F195" s="3767" t="s">
        <v>1822</v>
      </c>
      <c r="G195" s="3767"/>
      <c r="H195" s="3767"/>
      <c r="I195" s="3767"/>
      <c r="J195" s="3767"/>
      <c r="K195" s="3767"/>
      <c r="L195" s="3767"/>
      <c r="M195" s="3767"/>
      <c r="N195" s="3767"/>
      <c r="O195" s="1117"/>
      <c r="P195" s="1118"/>
      <c r="Q195" s="3852"/>
      <c r="R195" s="3852"/>
      <c r="S195" s="1119"/>
      <c r="T195" s="929"/>
    </row>
    <row r="196" spans="1:44" ht="30" customHeight="1" thickBot="1">
      <c r="C196" s="1091" t="s">
        <v>1823</v>
      </c>
      <c r="D196" s="1016"/>
      <c r="E196" s="163"/>
      <c r="F196" s="3687" t="s">
        <v>1824</v>
      </c>
      <c r="G196" s="3687"/>
      <c r="H196" s="3687"/>
      <c r="I196" s="3687"/>
      <c r="J196" s="3687"/>
      <c r="K196" s="3687"/>
      <c r="L196" s="3687"/>
      <c r="M196" s="3687"/>
      <c r="N196" s="3687"/>
      <c r="O196" s="1083"/>
      <c r="P196" s="1157" t="s">
        <v>1761</v>
      </c>
      <c r="Q196" s="3834"/>
      <c r="R196" s="3834"/>
      <c r="S196" s="1158"/>
      <c r="T196" s="1022"/>
    </row>
    <row r="197" spans="1:44" ht="45" customHeight="1">
      <c r="C197" s="1091"/>
      <c r="D197" s="1124"/>
      <c r="E197" s="1125"/>
      <c r="F197" s="3886" t="s">
        <v>1828</v>
      </c>
      <c r="G197" s="3887"/>
      <c r="H197" s="3887"/>
      <c r="I197" s="3888"/>
      <c r="J197" s="1126"/>
      <c r="K197" s="3889" t="s">
        <v>1833</v>
      </c>
      <c r="L197" s="3890"/>
      <c r="M197" s="3890"/>
      <c r="N197" s="3891"/>
      <c r="O197" s="3702" t="s">
        <v>1825</v>
      </c>
      <c r="P197" s="1763"/>
      <c r="Q197" s="3633"/>
      <c r="R197" s="3486"/>
      <c r="S197" s="3486"/>
      <c r="T197" s="997" t="s">
        <v>20</v>
      </c>
    </row>
    <row r="198" spans="1:44" ht="15" customHeight="1">
      <c r="C198" s="1159"/>
      <c r="D198" s="1019"/>
      <c r="E198" s="165"/>
      <c r="F198" s="3908" t="str">
        <f>IF(startClimateZone&lt;&gt;"",CONCATENATE("For Climate Zone ",startClimateZone), "No Climate Zone chosen")</f>
        <v>No Climate Zone chosen</v>
      </c>
      <c r="G198" s="3909"/>
      <c r="H198" s="3909"/>
      <c r="I198" s="3910"/>
      <c r="J198" s="1049"/>
      <c r="K198" s="3911" t="str">
        <f>IF(startClimateZone&lt;&gt;"",CONCATENATE("For Climate Zone ",startClimateZone),"No Climate Zone chosen")</f>
        <v>No Climate Zone chosen</v>
      </c>
      <c r="L198" s="3912"/>
      <c r="M198" s="3912"/>
      <c r="N198" s="3913"/>
      <c r="O198" s="3702"/>
      <c r="P198" s="1049"/>
      <c r="Q198" s="1049"/>
      <c r="R198" s="1049"/>
      <c r="S198" s="1049"/>
      <c r="T198" s="1022"/>
    </row>
    <row r="199" spans="1:44" ht="25.5" customHeight="1">
      <c r="C199" s="1159"/>
      <c r="D199" s="1019"/>
      <c r="E199" s="165"/>
      <c r="F199" s="1160"/>
      <c r="G199" s="3892" t="s">
        <v>1826</v>
      </c>
      <c r="H199" s="3892"/>
      <c r="I199" s="1161" t="s">
        <v>1827</v>
      </c>
      <c r="J199" s="1162"/>
      <c r="K199" s="1163"/>
      <c r="L199" s="3893" t="s">
        <v>1829</v>
      </c>
      <c r="M199" s="3894"/>
      <c r="N199" s="3895"/>
      <c r="O199" s="3702"/>
      <c r="P199" s="1164" t="s">
        <v>1762</v>
      </c>
      <c r="Q199" s="1049"/>
      <c r="R199" s="1049"/>
      <c r="S199" s="1049"/>
      <c r="T199" s="1022"/>
    </row>
    <row r="200" spans="1:44" ht="16" thickBot="1">
      <c r="C200" s="1159"/>
      <c r="D200" s="1019"/>
      <c r="E200" s="165"/>
      <c r="F200" s="1165" t="s">
        <v>288</v>
      </c>
      <c r="G200" s="3743">
        <f>IF(startClimateZone=1,4,IF(startClimateZone=2,4,IF(startClimateZone=3,3,IF(startClimateZone=4,2,IF(startClimateZone=5,3,IF(startClimateZone=6,2,IF(startClimateZone=7,1,IF(startClimateZone=8,1,0))))))))</f>
        <v>0</v>
      </c>
      <c r="H200" s="3743"/>
      <c r="I200" s="1166">
        <f>IF(startClimateZone=1,7,IF(startClimateZone=2,7,IF(startClimateZone=3,5,IF(startClimateZone=4,4,IF(startClimateZone=5,5,IF(startClimateZone=6,4,IF(startClimateZone=7,2,IF(startClimateZone=8,2,0))))))))</f>
        <v>0</v>
      </c>
      <c r="J200" s="1162"/>
      <c r="K200" s="1167" t="s">
        <v>288</v>
      </c>
      <c r="L200" s="3899">
        <f>IF(startClimateZone=1,7,IF(startClimateZone=2,7,IF(startClimateZone=3,5,IF(startClimateZone=4,4,IF(startClimateZone=5,5,IF(startClimateZone=6,4,IF(startClimateZone=7,2,IF(startClimateZone=8,2,0))))))))</f>
        <v>0</v>
      </c>
      <c r="M200" s="3900"/>
      <c r="N200" s="3901"/>
      <c r="O200" s="3702"/>
      <c r="P200" s="3923"/>
      <c r="Q200" s="1049"/>
      <c r="R200" s="1049"/>
      <c r="S200" s="1049"/>
      <c r="T200" s="1022"/>
    </row>
    <row r="201" spans="1:44" ht="15" customHeight="1" thickBot="1">
      <c r="C201" s="1091"/>
      <c r="D201" s="695"/>
      <c r="E201" s="695"/>
      <c r="F201" s="695"/>
      <c r="G201" s="695"/>
      <c r="H201" s="695"/>
      <c r="I201" s="695"/>
      <c r="J201" s="695"/>
      <c r="K201" s="695"/>
      <c r="L201" s="695"/>
      <c r="M201" s="695"/>
      <c r="N201" s="695"/>
      <c r="O201" s="695"/>
      <c r="P201" s="3924"/>
      <c r="Q201" s="695"/>
      <c r="R201" s="695"/>
      <c r="S201" s="695"/>
      <c r="T201" s="1045"/>
    </row>
    <row r="202" spans="1:44" ht="30" customHeight="1">
      <c r="C202" s="1159"/>
      <c r="D202" s="1019"/>
      <c r="E202" s="165"/>
      <c r="F202" s="3902" t="s">
        <v>1832</v>
      </c>
      <c r="G202" s="3903"/>
      <c r="H202" s="3904"/>
      <c r="I202" s="695"/>
      <c r="J202" s="695"/>
      <c r="K202" s="3886" t="s">
        <v>1836</v>
      </c>
      <c r="L202" s="3887"/>
      <c r="M202" s="3887"/>
      <c r="N202" s="3888"/>
      <c r="O202" s="1010"/>
      <c r="P202" s="874">
        <f>IF(startClimateZone=1, score703.4.1Zone1,IF(startClimateZone=2,score703.4.1Zone2,IF(startClimateZone=3,score703.4.1Zone3,IF(startClimateZone=4,score703.4.1Zone4,IF(startClimateZone=5,score703.4.1Zone5,IF(startClimateZone=6,score703.4.1Zone6,IF(startClimateZone=7,score703.4.1Zone7,IF(startClimateZone=8,score703.4.1Zone8,0))))))))</f>
        <v>0</v>
      </c>
      <c r="Q202" s="1010"/>
      <c r="R202" s="1010"/>
      <c r="S202" s="1010"/>
      <c r="T202" s="1022"/>
    </row>
    <row r="203" spans="1:44" s="988" customFormat="1" ht="15" customHeight="1">
      <c r="A203" s="1008"/>
      <c r="B203" s="170"/>
      <c r="C203" s="1159"/>
      <c r="D203" s="1019"/>
      <c r="E203" s="165"/>
      <c r="F203" s="3905" t="str">
        <f>IF(startClimateZone&lt;&gt;"",CONCATENATE("For Climate Zone ",startClimateZone),"No Climate Zone chosen")</f>
        <v>No Climate Zone chosen</v>
      </c>
      <c r="G203" s="3906"/>
      <c r="H203" s="3907"/>
      <c r="I203" s="695"/>
      <c r="J203" s="695"/>
      <c r="K203" s="3908" t="str">
        <f>IF(startClimateZone&lt;&gt;"",CONCATENATE("For Climate Zone ",startClimateZone),"No Climate Zone chosen")</f>
        <v>No Climate Zone chosen</v>
      </c>
      <c r="L203" s="3909"/>
      <c r="M203" s="3909"/>
      <c r="N203" s="3910"/>
      <c r="O203" s="1010"/>
      <c r="P203" s="1010"/>
      <c r="Q203" s="1010"/>
      <c r="R203" s="1010"/>
      <c r="S203" s="1010"/>
      <c r="T203" s="1022"/>
      <c r="V203" s="1008"/>
      <c r="W203" s="1008"/>
      <c r="X203" s="1008"/>
      <c r="Y203" s="1008"/>
      <c r="Z203" s="1008"/>
      <c r="AA203" s="1008"/>
      <c r="AD203" s="1008"/>
      <c r="AE203" s="8"/>
      <c r="AF203" s="8"/>
      <c r="AG203" s="8"/>
      <c r="AH203" s="8"/>
      <c r="AI203" s="8"/>
      <c r="AJ203" s="8"/>
      <c r="AK203" s="8"/>
      <c r="AL203" s="8"/>
      <c r="AM203" s="8"/>
      <c r="AN203" s="8"/>
      <c r="AO203" s="8"/>
      <c r="AP203" s="8"/>
      <c r="AQ203" s="8"/>
      <c r="AR203" s="8"/>
    </row>
    <row r="204" spans="1:44" ht="27.75" customHeight="1">
      <c r="C204" s="1159"/>
      <c r="D204" s="1019"/>
      <c r="E204" s="165"/>
      <c r="F204" s="3882" t="s">
        <v>1830</v>
      </c>
      <c r="G204" s="3883"/>
      <c r="H204" s="1168" t="s">
        <v>288</v>
      </c>
      <c r="I204" s="695"/>
      <c r="J204" s="695"/>
      <c r="K204" s="1160"/>
      <c r="L204" s="3892" t="s">
        <v>1834</v>
      </c>
      <c r="M204" s="3892"/>
      <c r="N204" s="1161" t="s">
        <v>1835</v>
      </c>
      <c r="O204" s="1010"/>
      <c r="P204" s="1010"/>
      <c r="Q204" s="1010"/>
      <c r="R204" s="1010"/>
      <c r="S204" s="1010"/>
      <c r="T204" s="1022"/>
    </row>
    <row r="205" spans="1:44" ht="16" thickBot="1">
      <c r="C205" s="1159"/>
      <c r="D205" s="1019"/>
      <c r="E205" s="165"/>
      <c r="F205" s="3884" t="s">
        <v>1831</v>
      </c>
      <c r="G205" s="3885"/>
      <c r="H205" s="1169">
        <f>IF(startClimateZone=1,2,IF(startClimateZone=2,2,IF(startClimateZone=3,2,IF(startClimateZone=4,1,IF(startClimateZone=5,1,IF(startClimateZone=6,1,IF(startClimateZone=7,1,IF(startClimateZone=8,1,0))))))))</f>
        <v>0</v>
      </c>
      <c r="I205" s="695"/>
      <c r="J205" s="695"/>
      <c r="K205" s="1165" t="s">
        <v>288</v>
      </c>
      <c r="L205" s="3743">
        <f>IF(startClimateZone=1,1,IF(startClimateZone=2,1,IF(startClimateZone=3,1,IF(startClimateZone=4,1,IF(startClimateZone=5,1,IF(startClimateZone=6,1,IF(startClimateZone=7,1,IF(startClimateZone=8,1,0))))))))</f>
        <v>0</v>
      </c>
      <c r="M205" s="3743"/>
      <c r="N205" s="1166">
        <f>IF(startClimateZone=1,1,IF(startClimateZone=2,1,IF(startClimateZone=3,1,IF(startClimateZone=4,1,IF(startClimateZone=5,1,IF(startClimateZone=6,1,IF(startClimateZone=7,1,IF(startClimateZone=8,1,0))))))))</f>
        <v>0</v>
      </c>
      <c r="O205" s="1010"/>
      <c r="P205" s="1010"/>
      <c r="Q205" s="1010"/>
      <c r="R205" s="1010"/>
      <c r="S205" s="1010"/>
      <c r="T205" s="1022"/>
    </row>
    <row r="206" spans="1:44" s="115" customFormat="1" ht="15" customHeight="1" thickBot="1">
      <c r="A206" s="1811"/>
      <c r="B206" s="1749"/>
      <c r="C206" s="1240"/>
      <c r="D206" s="1128"/>
      <c r="E206" s="1128"/>
      <c r="F206" s="1128"/>
      <c r="G206" s="1128"/>
      <c r="H206" s="1128"/>
      <c r="I206" s="1128"/>
      <c r="J206" s="1128"/>
      <c r="K206" s="1128"/>
      <c r="L206" s="1128"/>
      <c r="M206" s="1128"/>
      <c r="N206" s="1128"/>
      <c r="O206" s="1128"/>
      <c r="P206" s="1128"/>
      <c r="Q206" s="1128"/>
      <c r="R206" s="1128"/>
      <c r="S206" s="1128"/>
      <c r="T206" s="1241"/>
      <c r="V206" s="1811"/>
      <c r="W206" s="1811"/>
      <c r="X206" s="1811"/>
      <c r="Y206" s="1811"/>
      <c r="Z206" s="1811"/>
      <c r="AA206" s="1811"/>
      <c r="AD206" s="1811"/>
    </row>
    <row r="207" spans="1:44" ht="30" customHeight="1">
      <c r="C207" s="1159"/>
      <c r="D207" s="1019"/>
      <c r="E207" s="165"/>
      <c r="F207" s="3886" t="s">
        <v>1837</v>
      </c>
      <c r="G207" s="3914"/>
      <c r="H207" s="3914"/>
      <c r="I207" s="3914"/>
      <c r="J207" s="3914"/>
      <c r="K207" s="3914"/>
      <c r="L207" s="3914"/>
      <c r="M207" s="3915"/>
      <c r="N207" s="1110"/>
      <c r="O207" s="1110"/>
      <c r="P207" s="1110"/>
      <c r="Q207" s="1110"/>
      <c r="R207" s="1110"/>
      <c r="S207" s="1110"/>
      <c r="T207" s="1022"/>
    </row>
    <row r="208" spans="1:44" s="1008" customFormat="1" ht="20" customHeight="1">
      <c r="B208" s="170"/>
      <c r="C208" s="1159"/>
      <c r="D208" s="1019"/>
      <c r="E208" s="165"/>
      <c r="F208" s="3896" t="str">
        <f>IF(startClimateZone&lt;&gt;"",CONCATENATE("For Climate Zone ",startClimateZone),"No Climate Zone chosen")</f>
        <v>No Climate Zone chosen</v>
      </c>
      <c r="G208" s="3897"/>
      <c r="H208" s="3897"/>
      <c r="I208" s="3897"/>
      <c r="J208" s="3897"/>
      <c r="K208" s="3897"/>
      <c r="L208" s="3897"/>
      <c r="M208" s="3898"/>
      <c r="N208" s="1110"/>
      <c r="O208" s="1110"/>
      <c r="P208" s="1110"/>
      <c r="Q208" s="1110"/>
      <c r="R208" s="1110"/>
      <c r="S208" s="1110"/>
      <c r="T208" s="1022"/>
      <c r="AE208" s="8"/>
      <c r="AF208" s="8"/>
      <c r="AG208" s="8"/>
      <c r="AH208" s="8"/>
      <c r="AI208" s="8"/>
      <c r="AJ208" s="8"/>
      <c r="AK208" s="8"/>
      <c r="AL208" s="8"/>
      <c r="AM208" s="8"/>
      <c r="AN208" s="8"/>
      <c r="AO208" s="8"/>
      <c r="AP208" s="8"/>
      <c r="AQ208" s="8"/>
      <c r="AR208" s="8"/>
    </row>
    <row r="209" spans="1:44">
      <c r="C209" s="1159"/>
      <c r="D209" s="1019"/>
      <c r="E209" s="165"/>
      <c r="F209" s="3739"/>
      <c r="G209" s="3740"/>
      <c r="H209" s="3740" t="s">
        <v>1838</v>
      </c>
      <c r="I209" s="3740"/>
      <c r="J209" s="3740" t="s">
        <v>1839</v>
      </c>
      <c r="K209" s="3740"/>
      <c r="L209" s="3734" t="s">
        <v>1962</v>
      </c>
      <c r="M209" s="3735"/>
      <c r="N209" s="1110"/>
      <c r="O209" s="1110"/>
      <c r="P209" s="1110"/>
      <c r="Q209" s="1110"/>
      <c r="R209" s="1110"/>
      <c r="S209" s="1110"/>
      <c r="T209" s="1022"/>
    </row>
    <row r="210" spans="1:44" ht="16" thickBot="1">
      <c r="C210" s="1159"/>
      <c r="D210" s="1019"/>
      <c r="E210" s="165"/>
      <c r="F210" s="3747" t="s">
        <v>288</v>
      </c>
      <c r="G210" s="3748"/>
      <c r="H210" s="3743">
        <f>IF(startClimateZone=1,14,IF(startClimateZone=2,11,IF(startClimateZone=3,11,IF(startClimateZone=4,11,IF(startClimateZone=5,11,IF(startClimateZone=6,4,IF(startClimateZone=7,4,IF(startClimateZone=8,4,0))))))))</f>
        <v>0</v>
      </c>
      <c r="I210" s="3743"/>
      <c r="J210" s="3744">
        <f>IF(startClimateZone=1,19,IF(startClimateZone=2,16,IF(startClimateZone=3,16,IF(startClimateZone=4,15,IF(startClimateZone=5,15,IF(startClimateZone=6,6,IF(startClimateZone=7,6,IF(startClimateZone=8,6,0))))))))</f>
        <v>0</v>
      </c>
      <c r="K210" s="3744"/>
      <c r="L210" s="3745">
        <f>IF(startClimateZone=1,20,IF(startClimateZone=2,17,IF(startClimateZone=3,17,IF(startClimateZone=4,17,IF(startClimateZone=5,16,IF(startClimateZone=6,6,IF(startClimateZone=7,6,IF(startClimateZone=8,6,0))))))))</f>
        <v>0</v>
      </c>
      <c r="M210" s="3746"/>
      <c r="N210" s="1110"/>
      <c r="O210" s="1110"/>
      <c r="P210" s="1110"/>
      <c r="Q210" s="1110"/>
      <c r="R210" s="1110"/>
      <c r="S210" s="1110"/>
      <c r="T210" s="1022"/>
    </row>
    <row r="211" spans="1:44" s="1008" customFormat="1" ht="15" customHeight="1">
      <c r="B211" s="170"/>
      <c r="C211" s="189"/>
      <c r="D211" s="1016"/>
      <c r="E211" s="1147"/>
      <c r="F211" s="3732" t="str">
        <f>IF(startClimateZone="", "No zone chosen for this project. See the Start Here! worksheet.", CONCATENATE("Climate zone ",startClimateZone," chosen for this project. See the Start Here! worksheet."))</f>
        <v>No zone chosen for this project. See the Start Here! worksheet.</v>
      </c>
      <c r="G211" s="3732"/>
      <c r="H211" s="3732"/>
      <c r="I211" s="3732"/>
      <c r="J211" s="3732"/>
      <c r="K211" s="3732"/>
      <c r="L211" s="3732"/>
      <c r="M211" s="3732"/>
      <c r="N211" s="3732"/>
      <c r="O211" s="214"/>
      <c r="P211" s="695"/>
      <c r="Q211" s="3521"/>
      <c r="R211" s="3521"/>
      <c r="S211" s="3733"/>
      <c r="T211" s="1022"/>
    </row>
    <row r="212" spans="1:44" ht="20.25" customHeight="1">
      <c r="C212" s="162" t="s">
        <v>1851</v>
      </c>
      <c r="D212" s="883"/>
      <c r="E212" s="163"/>
      <c r="F212" s="3687" t="s">
        <v>371</v>
      </c>
      <c r="G212" s="3687"/>
      <c r="H212" s="3687"/>
      <c r="I212" s="3687"/>
      <c r="J212" s="3687"/>
      <c r="K212" s="3687"/>
      <c r="L212" s="3687"/>
      <c r="M212" s="3687"/>
      <c r="N212" s="3687"/>
      <c r="O212" s="1097">
        <f>IF(startClimateZone=1,17,IF(OR(startClimateZone=2,startClimateZone=3,startClimateZone=4,startClimateZone=5),8,IF(OR(startClimateZone=6,startClimateZone=7,startClimateZone=8),4,0)))</f>
        <v>0</v>
      </c>
      <c r="P212" s="1028"/>
      <c r="Q212" s="3668"/>
      <c r="R212" s="3669"/>
      <c r="S212" s="3669"/>
      <c r="T212" s="995" t="s">
        <v>20</v>
      </c>
      <c r="AE212" s="113"/>
      <c r="AF212" s="113"/>
      <c r="AG212" s="113"/>
      <c r="AH212" s="113"/>
      <c r="AI212" s="113"/>
      <c r="AJ212" s="113"/>
      <c r="AK212" s="113"/>
      <c r="AL212" s="113"/>
      <c r="AM212" s="113"/>
      <c r="AN212" s="113"/>
      <c r="AO212" s="113"/>
      <c r="AP212" s="113"/>
      <c r="AQ212" s="113"/>
      <c r="AR212" s="113"/>
    </row>
    <row r="213" spans="1:44" ht="15" customHeight="1">
      <c r="C213" s="189"/>
      <c r="D213" s="1016"/>
      <c r="E213" s="695"/>
      <c r="F213" s="3741" t="str">
        <f>IF(startClimateZone="", "No zone chosen for this project. See the Start Here! worksheet.", CONCATENATE("Climate zone ",startClimateZone," chosen for this project. See the Start Here! worksheet."))</f>
        <v>No zone chosen for this project. See the Start Here! worksheet.</v>
      </c>
      <c r="G213" s="3741"/>
      <c r="H213" s="3741"/>
      <c r="I213" s="3741"/>
      <c r="J213" s="3741"/>
      <c r="K213" s="3741"/>
      <c r="L213" s="3741"/>
      <c r="M213" s="3741"/>
      <c r="N213" s="3741"/>
      <c r="O213" s="1170"/>
      <c r="P213" s="1358"/>
      <c r="Q213" s="3521"/>
      <c r="R213" s="3521"/>
      <c r="S213" s="1158"/>
      <c r="T213" s="1153"/>
      <c r="AE213" s="113"/>
      <c r="AF213" s="113"/>
      <c r="AG213" s="113"/>
      <c r="AH213" s="113"/>
      <c r="AI213" s="113"/>
      <c r="AJ213" s="113"/>
      <c r="AK213" s="113"/>
      <c r="AL213" s="113"/>
      <c r="AM213" s="113"/>
      <c r="AN213" s="113"/>
      <c r="AO213" s="113"/>
      <c r="AP213" s="113"/>
      <c r="AQ213" s="113"/>
      <c r="AR213" s="113"/>
    </row>
    <row r="214" spans="1:44" ht="20" customHeight="1">
      <c r="C214" s="162" t="s">
        <v>1852</v>
      </c>
      <c r="D214" s="883"/>
      <c r="E214" s="998"/>
      <c r="F214" s="3742" t="s">
        <v>373</v>
      </c>
      <c r="G214" s="3742"/>
      <c r="H214" s="3742"/>
      <c r="I214" s="3742"/>
      <c r="J214" s="3742"/>
      <c r="K214" s="3742"/>
      <c r="L214" s="3742"/>
      <c r="M214" s="3742"/>
      <c r="N214" s="3742"/>
      <c r="O214" s="1097">
        <v>2</v>
      </c>
      <c r="P214" s="1392"/>
      <c r="Q214" s="3730"/>
      <c r="R214" s="3731"/>
      <c r="S214" s="3731"/>
      <c r="T214" s="1243" t="s">
        <v>20</v>
      </c>
    </row>
    <row r="215" spans="1:44" ht="45" customHeight="1">
      <c r="C215" s="3863"/>
      <c r="D215" s="3864"/>
      <c r="E215" s="3864"/>
      <c r="F215" s="3835" t="s">
        <v>1853</v>
      </c>
      <c r="G215" s="3835"/>
      <c r="H215" s="3835"/>
      <c r="I215" s="3835"/>
      <c r="J215" s="3835"/>
      <c r="K215" s="3835"/>
      <c r="L215" s="3835"/>
      <c r="M215" s="3835"/>
      <c r="N215" s="3835"/>
      <c r="O215" s="3865" t="str">
        <f>IF(AND(startSingleorMulti="Multi-Unit",startMultiUnits&gt;=2, P10="Prescriptive Path"), "This project is labelled Multi-Unit &amp; has 2 or more units AND follows the Prescriptive Path for Energy Efficiency. It is eligible for points in 703.4.3.", "This project must be labelled Multi-Unit &amp; have 2 or more units (see Start Here! worksheet) AND follow the Prescriptive Path for Energy Efficiency (see 701.1) to claim points for 703.4.3.")</f>
        <v>This project must be labelled Multi-Unit &amp; have 2 or more units (see Start Here! worksheet) AND follow the Prescriptive Path for Energy Efficiency (see 701.1) to claim points for 703.4.3.</v>
      </c>
      <c r="P215" s="3866"/>
      <c r="Q215" s="3866"/>
      <c r="R215" s="3866"/>
      <c r="S215" s="3867"/>
      <c r="T215" s="1171"/>
    </row>
    <row r="216" spans="1:44" ht="30" customHeight="1">
      <c r="C216" s="162" t="s">
        <v>1854</v>
      </c>
      <c r="D216" s="883"/>
      <c r="E216" s="998"/>
      <c r="F216" s="3805" t="s">
        <v>1855</v>
      </c>
      <c r="G216" s="3805"/>
      <c r="H216" s="3805"/>
      <c r="I216" s="3805"/>
      <c r="J216" s="3805"/>
      <c r="K216" s="3805"/>
      <c r="L216" s="3805"/>
      <c r="M216" s="3805"/>
      <c r="N216" s="3805"/>
      <c r="O216" s="4068">
        <v>1</v>
      </c>
      <c r="P216" s="3465"/>
      <c r="Q216" s="3669"/>
      <c r="R216" s="3669"/>
      <c r="S216" s="3669"/>
      <c r="T216" s="4088" t="s">
        <v>20</v>
      </c>
    </row>
    <row r="217" spans="1:44" s="1008" customFormat="1" ht="20" customHeight="1">
      <c r="B217" s="170"/>
      <c r="C217" s="1091"/>
      <c r="D217" s="1016"/>
      <c r="E217" s="163"/>
      <c r="F217" s="3954" t="str">
        <f>IF(AND(startHVAC1&lt;&gt;"Boiler", startHVAC2&lt;&gt;"Boiler",startHVAC3&lt;&gt;"Boiler"), "Boiler HVAC not chosen for this project. See the Start Here! worksheet.", "Boiler HVAC chosen for this project. See the Start Here! worksheet.")</f>
        <v>Boiler HVAC not chosen for this project. See the Start Here! worksheet.</v>
      </c>
      <c r="G217" s="3954"/>
      <c r="H217" s="3954"/>
      <c r="I217" s="3954"/>
      <c r="J217" s="3954"/>
      <c r="K217" s="3954"/>
      <c r="L217" s="3954"/>
      <c r="M217" s="3954"/>
      <c r="N217" s="3954"/>
      <c r="O217" s="3848"/>
      <c r="P217" s="3465"/>
      <c r="Q217" s="3307"/>
      <c r="R217" s="3307"/>
      <c r="S217" s="3307"/>
      <c r="T217" s="4089"/>
      <c r="AE217" s="8"/>
      <c r="AF217" s="8"/>
      <c r="AG217" s="8"/>
      <c r="AH217" s="8"/>
      <c r="AI217" s="8"/>
      <c r="AJ217" s="8"/>
      <c r="AK217" s="8"/>
      <c r="AL217" s="8"/>
      <c r="AM217" s="8"/>
      <c r="AN217" s="8"/>
      <c r="AO217" s="8"/>
      <c r="AP217" s="8"/>
      <c r="AQ217" s="8"/>
      <c r="AR217" s="8"/>
    </row>
    <row r="218" spans="1:44" s="988" customFormat="1" ht="45" customHeight="1" thickBot="1">
      <c r="A218" s="1008"/>
      <c r="B218" s="170"/>
      <c r="C218" s="1100" t="s">
        <v>1856</v>
      </c>
      <c r="D218" s="1020"/>
      <c r="E218" s="1078"/>
      <c r="F218" s="3681" t="s">
        <v>1857</v>
      </c>
      <c r="G218" s="3681"/>
      <c r="H218" s="3681"/>
      <c r="I218" s="3681"/>
      <c r="J218" s="3681"/>
      <c r="K218" s="3681"/>
      <c r="L218" s="3681"/>
      <c r="M218" s="3681"/>
      <c r="N218" s="3681"/>
      <c r="O218" s="1172"/>
      <c r="P218" s="1762"/>
      <c r="Q218" s="3684"/>
      <c r="R218" s="3684"/>
      <c r="S218" s="3712"/>
      <c r="T218" s="1216" t="s">
        <v>20</v>
      </c>
      <c r="V218" s="1008"/>
      <c r="W218" s="1008"/>
      <c r="X218" s="1008"/>
      <c r="Y218" s="1008"/>
      <c r="Z218" s="1008"/>
      <c r="AA218" s="1008"/>
      <c r="AD218" s="1008"/>
      <c r="AE218" s="8"/>
      <c r="AF218" s="8"/>
      <c r="AG218" s="8"/>
      <c r="AH218" s="8"/>
      <c r="AI218" s="8"/>
      <c r="AJ218" s="8"/>
      <c r="AK218" s="8"/>
      <c r="AL218" s="8"/>
      <c r="AM218" s="8"/>
      <c r="AN218" s="8"/>
      <c r="AO218" s="8"/>
      <c r="AP218" s="8"/>
      <c r="AQ218" s="8"/>
      <c r="AR218" s="8"/>
    </row>
    <row r="219" spans="1:44" s="988" customFormat="1" ht="15" customHeight="1">
      <c r="A219" s="1008"/>
      <c r="B219" s="170"/>
      <c r="C219" s="1091"/>
      <c r="D219" s="1016"/>
      <c r="E219" s="163"/>
      <c r="F219" s="3736" t="s">
        <v>1858</v>
      </c>
      <c r="G219" s="3737"/>
      <c r="H219" s="3737"/>
      <c r="I219" s="3737"/>
      <c r="J219" s="3737"/>
      <c r="K219" s="3738"/>
      <c r="L219" s="3749" t="str">
        <f>IF(AND(claim703.4.5&gt;0,claim703.4.1&gt;0),"Points cannot be claimed for a solar water heater (703.4.5) and a regular water heater (703.4.1).","")</f>
        <v/>
      </c>
      <c r="M219" s="3750"/>
      <c r="N219" s="3750"/>
      <c r="O219" s="1139"/>
      <c r="P219" s="874">
        <f>IF(startClimateZone=1,score703.4.5Zone1,IF(startClimateZone=2,score703.4.5Zone2,IF(startClimateZone=3,score703.4.5Zone3,IF(startClimateZone=4,score703.4.5Zone4,IF(startClimateZone=5,score703.4.5Zone5,IF(startClimateZone=6,score703.4.5Zone6,IF(startClimateZone=7,score703.4.5Zone7,IF(startClimateZone=8,score703.4.5Zone8,0))))))))</f>
        <v>0</v>
      </c>
      <c r="Q219" s="3757"/>
      <c r="R219" s="3757"/>
      <c r="S219" s="3758"/>
      <c r="T219" s="1022"/>
      <c r="V219" s="1008"/>
      <c r="W219" s="1008"/>
      <c r="X219" s="1008"/>
      <c r="Y219" s="1008"/>
      <c r="Z219" s="1008"/>
      <c r="AA219" s="1008"/>
      <c r="AD219" s="1008"/>
      <c r="AE219" s="8"/>
      <c r="AF219" s="8"/>
      <c r="AG219" s="8"/>
      <c r="AH219" s="8"/>
      <c r="AI219" s="8"/>
      <c r="AJ219" s="8"/>
      <c r="AK219" s="8"/>
      <c r="AL219" s="8"/>
      <c r="AM219" s="8"/>
      <c r="AN219" s="8"/>
      <c r="AO219" s="8"/>
      <c r="AP219" s="8"/>
      <c r="AQ219" s="8"/>
      <c r="AR219" s="8"/>
    </row>
    <row r="220" spans="1:44" s="988" customFormat="1" ht="15" customHeight="1">
      <c r="A220" s="1008"/>
      <c r="B220" s="170"/>
      <c r="C220" s="1091"/>
      <c r="D220" s="1016"/>
      <c r="E220" s="163"/>
      <c r="F220" s="3754" t="str">
        <f>IF(startClimateZone="","No Climate Zone selected",CONCATENATE("For Climate Zone ",startClimateZone))</f>
        <v>No Climate Zone selected</v>
      </c>
      <c r="G220" s="3755"/>
      <c r="H220" s="3755"/>
      <c r="I220" s="3755"/>
      <c r="J220" s="3755"/>
      <c r="K220" s="3756"/>
      <c r="L220" s="3749"/>
      <c r="M220" s="3750"/>
      <c r="N220" s="3750"/>
      <c r="O220" s="1139"/>
      <c r="P220" s="1139"/>
      <c r="Q220" s="3757"/>
      <c r="R220" s="3757"/>
      <c r="S220" s="3758"/>
      <c r="T220" s="1022"/>
      <c r="V220" s="1008"/>
      <c r="W220" s="1008"/>
      <c r="X220" s="1008"/>
      <c r="Y220" s="1008"/>
      <c r="Z220" s="1008"/>
      <c r="AA220" s="1008"/>
      <c r="AD220" s="1008"/>
      <c r="AE220" s="8"/>
      <c r="AF220" s="8"/>
      <c r="AG220" s="8"/>
      <c r="AH220" s="8"/>
      <c r="AI220" s="8"/>
      <c r="AJ220" s="8"/>
      <c r="AK220" s="8"/>
      <c r="AL220" s="8"/>
      <c r="AM220" s="8"/>
      <c r="AN220" s="8"/>
      <c r="AO220" s="8"/>
      <c r="AP220" s="8"/>
      <c r="AQ220" s="8"/>
      <c r="AR220" s="8"/>
    </row>
    <row r="221" spans="1:44" s="992" customFormat="1" ht="20" customHeight="1">
      <c r="C221" s="1140"/>
      <c r="D221" s="1141"/>
      <c r="E221" s="1141"/>
      <c r="F221" s="1142"/>
      <c r="G221" s="325" t="s">
        <v>1972</v>
      </c>
      <c r="H221" s="325" t="s">
        <v>1973</v>
      </c>
      <c r="I221" s="325" t="s">
        <v>1974</v>
      </c>
      <c r="J221" s="1268" t="s">
        <v>1975</v>
      </c>
      <c r="K221" s="1269" t="s">
        <v>1971</v>
      </c>
      <c r="L221" s="3749"/>
      <c r="M221" s="3750"/>
      <c r="N221" s="3750"/>
      <c r="O221" s="1139"/>
      <c r="P221" s="1139"/>
      <c r="Q221" s="3757"/>
      <c r="R221" s="3757"/>
      <c r="S221" s="3758"/>
      <c r="T221" s="1143"/>
      <c r="AE221" s="993"/>
      <c r="AF221" s="993"/>
      <c r="AG221" s="993"/>
      <c r="AH221" s="993"/>
      <c r="AI221" s="993"/>
      <c r="AJ221" s="993"/>
      <c r="AK221" s="993"/>
      <c r="AL221" s="993"/>
      <c r="AM221" s="993"/>
      <c r="AN221" s="993"/>
      <c r="AO221" s="993"/>
      <c r="AP221" s="993"/>
      <c r="AQ221" s="993"/>
      <c r="AR221" s="993"/>
    </row>
    <row r="222" spans="1:44" s="988" customFormat="1" ht="16" thickBot="1">
      <c r="A222" s="1008"/>
      <c r="B222" s="170"/>
      <c r="C222" s="1091"/>
      <c r="D222" s="1016"/>
      <c r="E222" s="163"/>
      <c r="F222" s="1132" t="s">
        <v>288</v>
      </c>
      <c r="G222" s="1133">
        <f>IF(startClimateZone=1,15,IF(startClimateZone=2,10,IF(startClimateZone=3,11,IF(startClimateZone=4,12,IF(startClimateZone=5,12,IF(startClimateZone=6,10,IF(startClimateZone=7,7,IF(startClimateZone=8,4,0))))))))</f>
        <v>0</v>
      </c>
      <c r="H222" s="1133">
        <f>IF(startClimateZone=1,18,IF(startClimateZone=2,12,IF(startClimateZone=3,14,IF(startClimateZone=4,14,IF(startClimateZone=5,15,IF(startClimateZone=6,12,IF(startClimateZone=7,8,IF(startClimateZone=8,5,0))))))))</f>
        <v>0</v>
      </c>
      <c r="I222" s="1133">
        <f>IF(startClimateZone=1,21,IF(startClimateZone=2,14,IF(startClimateZone=3,16,IF(startClimateZone=4,17,IF(startClimateZone=5,18,IF(startClimateZone=6,14,IF(startClimateZone=7,10,IF(startClimateZone=8,6,0))))))))</f>
        <v>0</v>
      </c>
      <c r="J222" s="1133">
        <f>IF(startClimateZone=1,24,IF(startClimateZone=2,17,IF(startClimateZone=3,19,IF(startClimateZone=4,20,IF(startClimateZone=5,22,IF(startClimateZone=6,16,IF(startClimateZone=7,12,IF(startClimateZone=8,7,0))))))))</f>
        <v>0</v>
      </c>
      <c r="K222" s="1134">
        <f>IF(startClimateZone=1,27,IF(startClimateZone=2,19,IF(startClimateZone=3,21,IF(startClimateZone=4,23,IF(startClimateZone=5,25,IF(startClimateZone=6,18,IF(startClimateZone=7,13,IF(startClimateZone=8,8,0))))))))</f>
        <v>0</v>
      </c>
      <c r="L222" s="3751"/>
      <c r="M222" s="3752"/>
      <c r="N222" s="3752"/>
      <c r="O222" s="1139"/>
      <c r="P222" s="1139"/>
      <c r="Q222" s="3757"/>
      <c r="R222" s="3757"/>
      <c r="S222" s="3758"/>
      <c r="T222" s="1022"/>
      <c r="V222" s="1008"/>
      <c r="W222" s="1008"/>
      <c r="X222" s="1008"/>
      <c r="Y222" s="1008"/>
      <c r="Z222" s="1008"/>
      <c r="AA222" s="1008"/>
      <c r="AD222" s="1008"/>
      <c r="AE222" s="8"/>
      <c r="AF222" s="8"/>
      <c r="AG222" s="8"/>
      <c r="AH222" s="8"/>
      <c r="AI222" s="8"/>
      <c r="AJ222" s="8"/>
      <c r="AK222" s="8"/>
      <c r="AL222" s="8"/>
      <c r="AM222" s="8"/>
      <c r="AN222" s="8"/>
      <c r="AO222" s="8"/>
      <c r="AP222" s="8"/>
      <c r="AQ222" s="8"/>
      <c r="AR222" s="8"/>
    </row>
    <row r="223" spans="1:44" s="988" customFormat="1" ht="15" customHeight="1" thickBot="1">
      <c r="A223" s="1008"/>
      <c r="B223" s="170"/>
      <c r="C223" s="189"/>
      <c r="D223" s="1016"/>
      <c r="E223" s="695"/>
      <c r="F223" s="3759" t="str">
        <f>IF(startClimateZone="", "No zone chosen for this project. See the Start Here! worksheet.", CONCATENATE("Climate zone ",startClimateZone," chosen for this project. See the Start Here! worksheet."))</f>
        <v>No zone chosen for this project. See the Start Here! worksheet.</v>
      </c>
      <c r="G223" s="3759"/>
      <c r="H223" s="3759"/>
      <c r="I223" s="3759"/>
      <c r="J223" s="3759"/>
      <c r="K223" s="3759"/>
      <c r="L223" s="3759"/>
      <c r="M223" s="3759"/>
      <c r="N223" s="3759"/>
      <c r="O223" s="214"/>
      <c r="P223" s="695"/>
      <c r="Q223" s="3521"/>
      <c r="R223" s="3521"/>
      <c r="S223" s="3733"/>
      <c r="T223" s="1022"/>
      <c r="V223" s="1008"/>
      <c r="W223" s="1008"/>
      <c r="X223" s="1008"/>
      <c r="Y223" s="1008"/>
      <c r="Z223" s="1008"/>
      <c r="AA223" s="1008"/>
      <c r="AD223" s="1008"/>
    </row>
    <row r="224" spans="1:44" s="988" customFormat="1" ht="16" thickTop="1">
      <c r="A224" s="1008"/>
      <c r="B224" s="170"/>
      <c r="C224" s="1173">
        <v>703.5</v>
      </c>
      <c r="D224" s="1174"/>
      <c r="E224" s="1175"/>
      <c r="F224" s="3868" t="s">
        <v>376</v>
      </c>
      <c r="G224" s="3868"/>
      <c r="H224" s="3868"/>
      <c r="I224" s="3868"/>
      <c r="J224" s="3868"/>
      <c r="K224" s="3868"/>
      <c r="L224" s="3868"/>
      <c r="M224" s="3868"/>
      <c r="N224" s="3868"/>
      <c r="O224" s="1176"/>
      <c r="P224" s="1177"/>
      <c r="Q224" s="3868"/>
      <c r="R224" s="3868"/>
      <c r="S224" s="4074"/>
      <c r="T224" s="923"/>
      <c r="V224" s="1008"/>
      <c r="W224" s="1008"/>
      <c r="X224" s="1008"/>
      <c r="Y224" s="1008"/>
      <c r="Z224" s="1008"/>
      <c r="AA224" s="1008"/>
      <c r="AD224" s="1008"/>
      <c r="AE224" s="8"/>
      <c r="AF224" s="8"/>
      <c r="AG224" s="8"/>
      <c r="AH224" s="8"/>
      <c r="AI224" s="8"/>
      <c r="AJ224" s="8"/>
      <c r="AK224" s="8"/>
      <c r="AL224" s="8"/>
      <c r="AM224" s="8"/>
      <c r="AN224" s="8"/>
      <c r="AO224" s="8"/>
      <c r="AP224" s="8"/>
      <c r="AQ224" s="8"/>
      <c r="AR224" s="8"/>
    </row>
    <row r="225" spans="1:44" s="988" customFormat="1" ht="20" customHeight="1">
      <c r="A225" s="1008"/>
      <c r="B225" s="170"/>
      <c r="C225" s="1091" t="s">
        <v>369</v>
      </c>
      <c r="D225" s="1016"/>
      <c r="E225" s="163"/>
      <c r="F225" s="3687" t="s">
        <v>2464</v>
      </c>
      <c r="G225" s="3687"/>
      <c r="H225" s="3687"/>
      <c r="I225" s="3687"/>
      <c r="J225" s="3687"/>
      <c r="K225" s="3687"/>
      <c r="L225" s="3687"/>
      <c r="M225" s="3687"/>
      <c r="N225" s="3687"/>
      <c r="O225" s="1083"/>
      <c r="P225" s="1094"/>
      <c r="Q225" s="3834"/>
      <c r="R225" s="3834"/>
      <c r="S225" s="3972"/>
      <c r="T225" s="1031"/>
      <c r="V225" s="1008"/>
      <c r="W225" s="1008"/>
      <c r="X225" s="1008"/>
      <c r="Y225" s="1008"/>
      <c r="Z225" s="1008"/>
      <c r="AA225" s="1008"/>
      <c r="AD225" s="1008"/>
      <c r="AE225" s="8"/>
      <c r="AF225" s="8"/>
      <c r="AG225" s="8"/>
      <c r="AH225" s="8"/>
      <c r="AI225" s="8"/>
      <c r="AJ225" s="8"/>
      <c r="AK225" s="8"/>
      <c r="AL225" s="8"/>
      <c r="AM225" s="8"/>
      <c r="AN225" s="8"/>
      <c r="AO225" s="8"/>
      <c r="AP225" s="8"/>
      <c r="AQ225" s="8"/>
      <c r="AR225" s="8"/>
    </row>
    <row r="226" spans="1:44" s="988" customFormat="1" ht="25" customHeight="1" thickBot="1">
      <c r="A226" s="1008"/>
      <c r="B226" s="170"/>
      <c r="C226" s="1091"/>
      <c r="D226" s="1016"/>
      <c r="E226" s="1019">
        <v>1</v>
      </c>
      <c r="F226" s="3693" t="s">
        <v>1859</v>
      </c>
      <c r="G226" s="3693"/>
      <c r="H226" s="3693"/>
      <c r="I226" s="3693"/>
      <c r="J226" s="3693"/>
      <c r="K226" s="3693"/>
      <c r="L226" s="3693"/>
      <c r="M226" s="3693"/>
      <c r="N226" s="3693"/>
      <c r="O226" s="3753" t="s">
        <v>1862</v>
      </c>
      <c r="P226" s="3877"/>
      <c r="Q226" s="3486"/>
      <c r="R226" s="3486"/>
      <c r="S226" s="3934"/>
      <c r="T226" s="4067" t="s">
        <v>20</v>
      </c>
      <c r="V226" s="1008"/>
      <c r="W226" s="1008"/>
      <c r="X226" s="1008"/>
      <c r="Y226" s="1008"/>
      <c r="Z226" s="1008"/>
      <c r="AA226" s="1008"/>
      <c r="AD226" s="1008"/>
      <c r="AE226" s="8"/>
      <c r="AF226" s="8"/>
      <c r="AG226" s="8"/>
      <c r="AH226" s="8"/>
      <c r="AI226" s="8"/>
      <c r="AJ226" s="8"/>
      <c r="AK226" s="8"/>
      <c r="AL226" s="8"/>
      <c r="AM226" s="8"/>
      <c r="AN226" s="8"/>
      <c r="AO226" s="8"/>
      <c r="AP226" s="8"/>
      <c r="AQ226" s="8"/>
      <c r="AR226" s="8"/>
    </row>
    <row r="227" spans="1:44" s="988" customFormat="1">
      <c r="A227" s="1008"/>
      <c r="B227" s="170"/>
      <c r="C227" s="1091"/>
      <c r="D227" s="1016"/>
      <c r="E227" s="163"/>
      <c r="F227" s="3736" t="s">
        <v>1860</v>
      </c>
      <c r="G227" s="3737"/>
      <c r="H227" s="3737"/>
      <c r="I227" s="3737"/>
      <c r="J227" s="3737"/>
      <c r="K227" s="3738"/>
      <c r="L227" s="695"/>
      <c r="M227" s="695"/>
      <c r="N227" s="1139"/>
      <c r="O227" s="3753"/>
      <c r="P227" s="3878"/>
      <c r="Q227" s="3486"/>
      <c r="R227" s="3486"/>
      <c r="S227" s="3934"/>
      <c r="T227" s="4067"/>
      <c r="V227" s="1008"/>
      <c r="W227" s="1008"/>
      <c r="X227" s="1008"/>
      <c r="Y227" s="1008"/>
      <c r="Z227" s="1008"/>
      <c r="AA227" s="1008"/>
      <c r="AD227" s="1008"/>
      <c r="AE227" s="8"/>
      <c r="AF227" s="8"/>
      <c r="AG227" s="8"/>
      <c r="AH227" s="8"/>
      <c r="AI227" s="8"/>
      <c r="AJ227" s="8"/>
      <c r="AK227" s="8"/>
      <c r="AL227" s="8"/>
      <c r="AM227" s="8"/>
      <c r="AN227" s="8"/>
      <c r="AO227" s="8"/>
      <c r="AP227" s="8"/>
      <c r="AQ227" s="8"/>
      <c r="AR227" s="8"/>
    </row>
    <row r="228" spans="1:44" s="988" customFormat="1">
      <c r="A228" s="1008"/>
      <c r="B228" s="170"/>
      <c r="C228" s="1091"/>
      <c r="D228" s="1016"/>
      <c r="E228" s="163"/>
      <c r="F228" s="3754" t="str">
        <f>IF(startClimateZone="","No Climate Zone selected",CONCATENATE("For Climate Zone ",startClimateZone))</f>
        <v>No Climate Zone selected</v>
      </c>
      <c r="G228" s="3755"/>
      <c r="H228" s="3755"/>
      <c r="I228" s="3755"/>
      <c r="J228" s="3755"/>
      <c r="K228" s="3756"/>
      <c r="L228" s="695"/>
      <c r="M228" s="695"/>
      <c r="N228" s="1139"/>
      <c r="O228" s="3753"/>
      <c r="P228" s="3878"/>
      <c r="Q228" s="3486"/>
      <c r="R228" s="3486"/>
      <c r="S228" s="3934"/>
      <c r="T228" s="4067"/>
      <c r="V228" s="1008"/>
      <c r="W228" s="1008"/>
      <c r="X228" s="1008"/>
      <c r="Y228" s="1008"/>
      <c r="Z228" s="1008"/>
      <c r="AA228" s="1008"/>
      <c r="AD228" s="1008"/>
      <c r="AE228" s="8"/>
      <c r="AF228" s="8"/>
      <c r="AG228" s="8"/>
      <c r="AH228" s="8"/>
      <c r="AI228" s="8"/>
      <c r="AJ228" s="8"/>
      <c r="AK228" s="8"/>
      <c r="AL228" s="8"/>
      <c r="AM228" s="8"/>
      <c r="AN228" s="8"/>
      <c r="AO228" s="8"/>
      <c r="AP228" s="8"/>
      <c r="AQ228" s="8"/>
      <c r="AR228" s="8"/>
    </row>
    <row r="229" spans="1:44" s="992" customFormat="1" ht="18" customHeight="1">
      <c r="C229" s="1140"/>
      <c r="D229" s="1141"/>
      <c r="E229" s="1141"/>
      <c r="F229" s="3869" t="s">
        <v>1861</v>
      </c>
      <c r="G229" s="3870"/>
      <c r="H229" s="3870"/>
      <c r="I229" s="3871"/>
      <c r="J229" s="1319">
        <v>0.75</v>
      </c>
      <c r="K229" s="1320">
        <v>0.95</v>
      </c>
      <c r="L229" s="1141"/>
      <c r="M229" s="1141"/>
      <c r="N229" s="1139"/>
      <c r="O229" s="3753"/>
      <c r="P229" s="3878"/>
      <c r="Q229" s="3486"/>
      <c r="R229" s="3486"/>
      <c r="S229" s="3934"/>
      <c r="T229" s="4067"/>
      <c r="AE229" s="993"/>
      <c r="AF229" s="993"/>
      <c r="AG229" s="993"/>
      <c r="AH229" s="993"/>
      <c r="AI229" s="993"/>
      <c r="AJ229" s="993"/>
      <c r="AK229" s="993"/>
      <c r="AL229" s="993"/>
      <c r="AM229" s="993"/>
      <c r="AN229" s="993"/>
      <c r="AO229" s="993"/>
      <c r="AP229" s="993"/>
      <c r="AQ229" s="993"/>
      <c r="AR229" s="993"/>
    </row>
    <row r="230" spans="1:44" s="988" customFormat="1" ht="16" thickBot="1">
      <c r="A230" s="1008"/>
      <c r="B230" s="170"/>
      <c r="C230" s="1091"/>
      <c r="D230" s="1016"/>
      <c r="E230" s="163"/>
      <c r="F230" s="3872" t="s">
        <v>288</v>
      </c>
      <c r="G230" s="3873"/>
      <c r="H230" s="3873"/>
      <c r="I230" s="3874"/>
      <c r="J230" s="1133">
        <f>IF(startClimateZone=1,5,IF(startClimateZone=2,4,IF(startClimateZone=3,3,IF(startClimateZone=4,3,IF(startClimateZone=5,3,IF(startClimateZone=6,2,IF(startClimateZone=7,2,IF(startClimateZone=8,1,0))))))))</f>
        <v>0</v>
      </c>
      <c r="K230" s="1134">
        <f>IF(startClimateZone=1,9,IF(startClimateZone=2,6,IF(startClimateZone=3,5,IF(startClimateZone=4,4,IF(startClimateZone=5,4,IF(startClimateZone=6,3,IF(startClimateZone=7,2,IF(startClimateZone=8,1,0))))))))</f>
        <v>0</v>
      </c>
      <c r="L230" s="695"/>
      <c r="M230" s="695"/>
      <c r="N230" s="1139"/>
      <c r="O230" s="3753"/>
      <c r="P230" s="3879"/>
      <c r="Q230" s="3486"/>
      <c r="R230" s="3486"/>
      <c r="S230" s="3934"/>
      <c r="T230" s="4067"/>
      <c r="V230" s="1008"/>
      <c r="W230" s="1008"/>
      <c r="X230" s="1008"/>
      <c r="Y230" s="1008"/>
      <c r="Z230" s="1008"/>
      <c r="AA230" s="1008"/>
      <c r="AD230" s="1008"/>
      <c r="AE230" s="8"/>
      <c r="AF230" s="8"/>
      <c r="AG230" s="8"/>
      <c r="AH230" s="8"/>
      <c r="AI230" s="8"/>
      <c r="AJ230" s="8"/>
      <c r="AK230" s="8"/>
      <c r="AL230" s="8"/>
      <c r="AM230" s="8"/>
      <c r="AN230" s="8"/>
      <c r="AO230" s="8"/>
      <c r="AP230" s="8"/>
      <c r="AQ230" s="8"/>
      <c r="AR230" s="8"/>
    </row>
    <row r="231" spans="1:44" s="988" customFormat="1" ht="15" customHeight="1">
      <c r="A231" s="1008"/>
      <c r="B231" s="170"/>
      <c r="C231" s="189"/>
      <c r="D231" s="1016"/>
      <c r="E231" s="695"/>
      <c r="F231" s="3875" t="str">
        <f>IF(startClimateZone="", "No zone chosen for this project. See the Start Here! worksheet.", CONCATENATE("Climate zone ",startClimateZone," chosen for this project. See the Start Here! worksheet."))</f>
        <v>No zone chosen for this project. See the Start Here! worksheet.</v>
      </c>
      <c r="G231" s="3875"/>
      <c r="H231" s="3875"/>
      <c r="I231" s="3875"/>
      <c r="J231" s="3875"/>
      <c r="K231" s="3875"/>
      <c r="L231" s="3875"/>
      <c r="M231" s="3875"/>
      <c r="N231" s="3875"/>
      <c r="O231" s="3753"/>
      <c r="P231" s="874">
        <f>IF(startClimateZone=1,score703.5.1Zone1,IF(startClimateZone=2,score703.5.1Zone2,IF(startClimateZone=3,score703.5.1Zone3,IF(startClimateZone=4,score703.5.1Zone4,IF(startClimateZone=5,score703.5.1Zone5,IF(startClimateZone=6,score703.5.1Zone6,IF(startClimateZone=7,score703.5.1Zone7,IF(startClimateZone=8,score703.5.1Zone8,0))))))))</f>
        <v>0</v>
      </c>
      <c r="Q231" s="3486"/>
      <c r="R231" s="3486"/>
      <c r="S231" s="3934"/>
      <c r="T231" s="4067"/>
      <c r="V231" s="1008"/>
      <c r="W231" s="1008"/>
      <c r="X231" s="1008"/>
      <c r="Y231" s="1008"/>
      <c r="Z231" s="1008"/>
      <c r="AA231" s="1008"/>
      <c r="AD231" s="1008"/>
    </row>
    <row r="232" spans="1:44" s="988" customFormat="1" ht="15" customHeight="1">
      <c r="A232" s="1008"/>
      <c r="B232" s="170"/>
      <c r="C232" s="189"/>
      <c r="D232" s="1016"/>
      <c r="E232" s="695"/>
      <c r="F232" s="695"/>
      <c r="G232" s="695"/>
      <c r="H232" s="695"/>
      <c r="I232" s="695"/>
      <c r="J232" s="695"/>
      <c r="K232" s="695"/>
      <c r="L232" s="695"/>
      <c r="M232" s="695"/>
      <c r="N232" s="695"/>
      <c r="O232" s="695"/>
      <c r="P232" s="695"/>
      <c r="Q232" s="695"/>
      <c r="R232" s="695"/>
      <c r="S232" s="695"/>
      <c r="T232" s="4067"/>
      <c r="V232" s="1008"/>
      <c r="W232" s="1008"/>
      <c r="X232" s="1008"/>
      <c r="Y232" s="1008"/>
      <c r="Z232" s="1008"/>
      <c r="AA232" s="1008"/>
      <c r="AD232" s="1008"/>
    </row>
    <row r="233" spans="1:44" s="988" customFormat="1" ht="30" customHeight="1">
      <c r="A233" s="1008"/>
      <c r="B233" s="170"/>
      <c r="C233" s="189"/>
      <c r="D233" s="1016"/>
      <c r="E233" s="1387">
        <v>2</v>
      </c>
      <c r="F233" s="4076" t="s">
        <v>2466</v>
      </c>
      <c r="G233" s="4076"/>
      <c r="H233" s="4076"/>
      <c r="I233" s="4076"/>
      <c r="J233" s="4076"/>
      <c r="K233" s="4076"/>
      <c r="L233" s="4076"/>
      <c r="M233" s="4076"/>
      <c r="N233" s="4076"/>
      <c r="O233" s="1388">
        <v>1</v>
      </c>
      <c r="P233" s="812"/>
      <c r="Q233" s="3880"/>
      <c r="R233" s="3881"/>
      <c r="S233" s="3881"/>
      <c r="T233" s="4075"/>
      <c r="V233" s="1008"/>
      <c r="W233" s="1008"/>
      <c r="X233" s="1008"/>
      <c r="Y233" s="1008"/>
      <c r="Z233" s="1008"/>
      <c r="AA233" s="1008"/>
      <c r="AD233" s="1008"/>
    </row>
    <row r="234" spans="1:44" s="988" customFormat="1" ht="60" customHeight="1">
      <c r="A234" s="1008"/>
      <c r="B234" s="170" t="str">
        <f>IF(startRecessedLights="No","x","")</f>
        <v/>
      </c>
      <c r="C234" s="1100" t="s">
        <v>370</v>
      </c>
      <c r="D234" s="1020"/>
      <c r="E234" s="1078"/>
      <c r="F234" s="3682" t="s">
        <v>1865</v>
      </c>
      <c r="G234" s="3682"/>
      <c r="H234" s="3682"/>
      <c r="I234" s="3682"/>
      <c r="J234" s="3682"/>
      <c r="K234" s="3682"/>
      <c r="L234" s="3682"/>
      <c r="M234" s="3682"/>
      <c r="N234" s="3682"/>
      <c r="O234" s="1393" t="s">
        <v>2073</v>
      </c>
      <c r="P234" s="1327"/>
      <c r="Q234" s="3684"/>
      <c r="R234" s="3684"/>
      <c r="S234" s="3684"/>
      <c r="T234" s="4078" t="s">
        <v>20</v>
      </c>
      <c r="V234" s="1008"/>
      <c r="W234" s="1008"/>
      <c r="X234" s="1008"/>
      <c r="Y234" s="1008"/>
      <c r="Z234" s="1008"/>
      <c r="AA234" s="1008"/>
      <c r="AD234" s="1008"/>
      <c r="AE234" s="8"/>
      <c r="AF234" s="8"/>
      <c r="AG234" s="8"/>
      <c r="AH234" s="8"/>
      <c r="AI234" s="8"/>
      <c r="AJ234" s="8"/>
      <c r="AK234" s="8"/>
      <c r="AL234" s="8"/>
      <c r="AM234" s="8"/>
      <c r="AN234" s="8"/>
      <c r="AO234" s="8"/>
      <c r="AP234" s="8"/>
      <c r="AQ234" s="8"/>
      <c r="AR234" s="8"/>
    </row>
    <row r="235" spans="1:44" s="1008" customFormat="1" ht="30" customHeight="1">
      <c r="B235" s="170"/>
      <c r="C235" s="1144"/>
      <c r="D235" s="1337"/>
      <c r="E235" s="1145"/>
      <c r="F235" s="4080" t="str">
        <f>IF(startTotalFloorArea="","Total conditioned floor area not entered. See Start Here! Worksheet.",CONCATENATE(startTotalFloorArea," sf entered on the Start Here! Worksheet."))</f>
        <v>Total conditioned floor area not entered. See Start Here! Worksheet.</v>
      </c>
      <c r="G235" s="4081"/>
      <c r="H235" s="4081"/>
      <c r="I235" s="4081"/>
      <c r="J235" s="4081"/>
      <c r="K235" s="4081"/>
      <c r="L235" s="4081"/>
      <c r="M235" s="4081"/>
      <c r="N235" s="4082"/>
      <c r="O235" s="1329">
        <v>2</v>
      </c>
      <c r="P235" s="1334">
        <f>score703.5.2</f>
        <v>0</v>
      </c>
      <c r="Q235" s="3635"/>
      <c r="R235" s="3635"/>
      <c r="S235" s="3635"/>
      <c r="T235" s="4079"/>
      <c r="AE235" s="8"/>
      <c r="AF235" s="8"/>
      <c r="AG235" s="8"/>
      <c r="AH235" s="8"/>
      <c r="AI235" s="8"/>
      <c r="AJ235" s="8"/>
      <c r="AK235" s="8"/>
      <c r="AL235" s="8"/>
      <c r="AM235" s="8"/>
      <c r="AN235" s="8"/>
      <c r="AO235" s="8"/>
      <c r="AP235" s="8"/>
      <c r="AQ235" s="8"/>
      <c r="AR235" s="8"/>
    </row>
    <row r="236" spans="1:44" s="988" customFormat="1">
      <c r="A236" s="1008"/>
      <c r="B236" s="170"/>
      <c r="C236" s="1100" t="s">
        <v>372</v>
      </c>
      <c r="D236" s="1020"/>
      <c r="E236" s="1078"/>
      <c r="F236" s="3805" t="s">
        <v>1866</v>
      </c>
      <c r="G236" s="3805"/>
      <c r="H236" s="3805"/>
      <c r="I236" s="3805"/>
      <c r="J236" s="3805"/>
      <c r="K236" s="3805"/>
      <c r="L236" s="3805"/>
      <c r="M236" s="3805"/>
      <c r="N236" s="3805"/>
      <c r="O236" s="1068"/>
      <c r="P236" s="1068"/>
      <c r="Q236" s="1068"/>
      <c r="R236" s="1068"/>
      <c r="S236" s="1068"/>
      <c r="T236" s="1244"/>
      <c r="V236" s="1008"/>
      <c r="W236" s="1008"/>
      <c r="X236" s="1008"/>
      <c r="Y236" s="1008"/>
      <c r="Z236" s="1008"/>
      <c r="AA236" s="1008"/>
      <c r="AD236" s="1008"/>
      <c r="AE236" s="8"/>
      <c r="AF236" s="8"/>
      <c r="AG236" s="8"/>
      <c r="AH236" s="8"/>
      <c r="AI236" s="8"/>
      <c r="AJ236" s="8"/>
      <c r="AK236" s="8"/>
      <c r="AL236" s="8"/>
      <c r="AM236" s="8"/>
      <c r="AN236" s="8"/>
      <c r="AO236" s="8"/>
      <c r="AP236" s="8"/>
      <c r="AQ236" s="8"/>
      <c r="AR236" s="8"/>
    </row>
    <row r="237" spans="1:44" s="988" customFormat="1" ht="30" customHeight="1">
      <c r="A237" s="1008"/>
      <c r="B237" s="170"/>
      <c r="C237" s="1091"/>
      <c r="D237" s="1016"/>
      <c r="E237" s="1019">
        <v>1</v>
      </c>
      <c r="F237" s="3693" t="str">
        <f>IF(startClimateZone="","A Climate Zone must be selected to claim points for installing an ENERGY STAR or equivalent Refrigerator",CONCATENATE("Refrigerator for Climate Zone ",startClimateZone))</f>
        <v>A Climate Zone must be selected to claim points for installing an ENERGY STAR or equivalent Refrigerator</v>
      </c>
      <c r="G237" s="3693"/>
      <c r="H237" s="3693"/>
      <c r="I237" s="3693"/>
      <c r="J237" s="3693"/>
      <c r="K237" s="3693"/>
      <c r="L237" s="3693"/>
      <c r="M237" s="3693"/>
      <c r="N237" s="3693"/>
      <c r="O237" s="1049">
        <f>IF(startClimateZone=1,3,IF(startClimateZone=2,2,IF(OR(startClimateZone=3,startClimateZone=4,startClimateZone=5,startClimateZone=6,startClimateZone=7,startClimateZone=8),1,0)))</f>
        <v>0</v>
      </c>
      <c r="P237" s="1017"/>
      <c r="Q237" s="3634"/>
      <c r="R237" s="3635"/>
      <c r="S237" s="3635"/>
      <c r="T237" s="1245" t="s">
        <v>20</v>
      </c>
      <c r="V237" s="1008"/>
      <c r="W237" s="1008"/>
      <c r="X237" s="1008"/>
      <c r="Y237" s="1008"/>
      <c r="Z237" s="1008"/>
      <c r="AA237" s="1008"/>
      <c r="AD237" s="1008"/>
      <c r="AE237" s="8"/>
      <c r="AF237" s="8"/>
      <c r="AG237" s="8"/>
      <c r="AH237" s="8"/>
      <c r="AI237" s="8"/>
      <c r="AJ237" s="8"/>
      <c r="AK237" s="8"/>
      <c r="AL237" s="8"/>
      <c r="AM237" s="8"/>
      <c r="AN237" s="8"/>
      <c r="AO237" s="8"/>
      <c r="AP237" s="8"/>
      <c r="AQ237" s="8"/>
      <c r="AR237" s="8"/>
    </row>
    <row r="238" spans="1:44" s="988" customFormat="1" ht="20" customHeight="1">
      <c r="A238" s="1008"/>
      <c r="B238" s="170"/>
      <c r="C238" s="1091"/>
      <c r="D238" s="1016"/>
      <c r="E238" s="818">
        <v>2</v>
      </c>
      <c r="F238" s="3876" t="s">
        <v>1868</v>
      </c>
      <c r="G238" s="3876"/>
      <c r="H238" s="3876"/>
      <c r="I238" s="3876"/>
      <c r="J238" s="3876"/>
      <c r="K238" s="3876"/>
      <c r="L238" s="3876"/>
      <c r="M238" s="3876"/>
      <c r="N238" s="3876"/>
      <c r="O238" s="1179">
        <v>1</v>
      </c>
      <c r="P238" s="1018"/>
      <c r="Q238" s="3819"/>
      <c r="R238" s="3820"/>
      <c r="S238" s="3820"/>
      <c r="T238" s="1246" t="s">
        <v>20</v>
      </c>
      <c r="V238" s="1008"/>
      <c r="W238" s="1008"/>
      <c r="X238" s="1008"/>
      <c r="Y238" s="1008"/>
      <c r="Z238" s="1008"/>
      <c r="AA238" s="1008"/>
      <c r="AD238" s="1008"/>
      <c r="AE238" s="8"/>
      <c r="AF238" s="8"/>
      <c r="AG238" s="8"/>
      <c r="AH238" s="8"/>
      <c r="AI238" s="8"/>
      <c r="AJ238" s="8"/>
      <c r="AK238" s="8"/>
      <c r="AL238" s="8"/>
      <c r="AM238" s="8"/>
      <c r="AN238" s="8"/>
      <c r="AO238" s="8"/>
      <c r="AP238" s="8"/>
      <c r="AQ238" s="8"/>
      <c r="AR238" s="8"/>
    </row>
    <row r="239" spans="1:44" s="988" customFormat="1" ht="20" customHeight="1">
      <c r="A239" s="1008"/>
      <c r="B239" s="170"/>
      <c r="C239" s="1091"/>
      <c r="D239" s="1016"/>
      <c r="E239" s="1019">
        <v>3</v>
      </c>
      <c r="F239" s="3693" t="s">
        <v>1869</v>
      </c>
      <c r="G239" s="3693"/>
      <c r="H239" s="3693"/>
      <c r="I239" s="3693"/>
      <c r="J239" s="3693"/>
      <c r="K239" s="3693"/>
      <c r="L239" s="3693"/>
      <c r="M239" s="3693"/>
      <c r="N239" s="3693"/>
      <c r="O239" s="1049">
        <v>4</v>
      </c>
      <c r="P239" s="1000"/>
      <c r="Q239" s="3633"/>
      <c r="R239" s="3486"/>
      <c r="S239" s="3486"/>
      <c r="T239" s="1245" t="s">
        <v>20</v>
      </c>
      <c r="V239" s="1008"/>
      <c r="W239" s="1008"/>
      <c r="X239" s="1008"/>
      <c r="Y239" s="1008"/>
      <c r="Z239" s="1008"/>
      <c r="AA239" s="1008"/>
      <c r="AD239" s="1008"/>
      <c r="AE239" s="8"/>
      <c r="AF239" s="8"/>
      <c r="AG239" s="8"/>
      <c r="AH239" s="8"/>
      <c r="AI239" s="8"/>
      <c r="AJ239" s="8"/>
      <c r="AK239" s="8"/>
      <c r="AL239" s="8"/>
      <c r="AM239" s="8"/>
      <c r="AN239" s="8"/>
      <c r="AO239" s="8"/>
      <c r="AP239" s="8"/>
      <c r="AQ239" s="8"/>
      <c r="AR239" s="8"/>
    </row>
    <row r="240" spans="1:44" s="1008" customFormat="1" ht="15" customHeight="1">
      <c r="B240" s="170"/>
      <c r="C240" s="189"/>
      <c r="D240" s="1016"/>
      <c r="E240" s="695"/>
      <c r="F240" s="3759" t="str">
        <f>IF(startClimateZone="", "No zone chosen for this project. See the Start Here! worksheet.", CONCATENATE("Climate zone ",startClimateZone," chosen for this project. See the Start Here! worksheet."))</f>
        <v>No zone chosen for this project. See the Start Here! worksheet.</v>
      </c>
      <c r="G240" s="3759"/>
      <c r="H240" s="3759"/>
      <c r="I240" s="3759"/>
      <c r="J240" s="3759"/>
      <c r="K240" s="3759"/>
      <c r="L240" s="3759"/>
      <c r="M240" s="3759"/>
      <c r="N240" s="3759"/>
      <c r="O240" s="214"/>
      <c r="P240" s="695"/>
      <c r="Q240" s="3521"/>
      <c r="R240" s="3521"/>
      <c r="S240" s="3733"/>
      <c r="T240" s="1022"/>
    </row>
    <row r="241" spans="1:44" s="988" customFormat="1" ht="30" customHeight="1">
      <c r="A241" s="1008"/>
      <c r="B241" s="170"/>
      <c r="C241" s="1180" t="s">
        <v>1870</v>
      </c>
      <c r="D241" s="1181"/>
      <c r="E241" s="1182"/>
      <c r="F241" s="4066" t="s">
        <v>1871</v>
      </c>
      <c r="G241" s="4066"/>
      <c r="H241" s="4066"/>
      <c r="I241" s="4066"/>
      <c r="J241" s="4066"/>
      <c r="K241" s="4066"/>
      <c r="L241" s="4066"/>
      <c r="M241" s="4066"/>
      <c r="N241" s="4066"/>
      <c r="O241" s="1183">
        <v>1</v>
      </c>
      <c r="P241" s="1219"/>
      <c r="Q241" s="3777"/>
      <c r="R241" s="3778"/>
      <c r="S241" s="3778"/>
      <c r="T241" s="1247" t="s">
        <v>20</v>
      </c>
      <c r="V241" s="1008"/>
      <c r="W241" s="1008"/>
      <c r="X241" s="1008"/>
      <c r="Y241" s="1008"/>
      <c r="Z241" s="1008"/>
      <c r="AA241" s="1008"/>
      <c r="AD241" s="1008"/>
      <c r="AE241" s="8"/>
      <c r="AF241" s="8"/>
      <c r="AG241" s="8"/>
      <c r="AH241" s="8"/>
      <c r="AI241" s="8"/>
      <c r="AJ241" s="8"/>
      <c r="AK241" s="8"/>
      <c r="AL241" s="8"/>
      <c r="AM241" s="8"/>
      <c r="AN241" s="8"/>
      <c r="AO241" s="8"/>
      <c r="AP241" s="8"/>
      <c r="AQ241" s="8"/>
      <c r="AR241" s="8"/>
    </row>
    <row r="242" spans="1:44" s="1041" customFormat="1" ht="18" customHeight="1">
      <c r="B242" s="992"/>
      <c r="C242" s="1184">
        <v>703.6</v>
      </c>
      <c r="D242" s="112"/>
      <c r="E242" s="1185"/>
      <c r="F242" s="4083" t="s">
        <v>1872</v>
      </c>
      <c r="G242" s="4084"/>
      <c r="H242" s="4084"/>
      <c r="I242" s="4084"/>
      <c r="J242" s="4084"/>
      <c r="K242" s="4084"/>
      <c r="L242" s="4084"/>
      <c r="M242" s="4084"/>
      <c r="N242" s="4084"/>
      <c r="O242" s="1186"/>
      <c r="P242" s="1187"/>
      <c r="Q242" s="4085"/>
      <c r="R242" s="4085"/>
      <c r="S242" s="4086"/>
      <c r="T242" s="1188"/>
      <c r="AE242" s="1042"/>
      <c r="AF242" s="1042"/>
      <c r="AG242" s="1042"/>
      <c r="AH242" s="1042"/>
      <c r="AI242" s="1042"/>
      <c r="AJ242" s="1042"/>
      <c r="AK242" s="1042"/>
      <c r="AL242" s="1042"/>
      <c r="AM242" s="1042"/>
      <c r="AN242" s="1042"/>
      <c r="AO242" s="1042"/>
      <c r="AP242" s="1042"/>
      <c r="AQ242" s="1042"/>
      <c r="AR242" s="1042"/>
    </row>
    <row r="243" spans="1:44" ht="45" customHeight="1">
      <c r="B243" s="170" t="str">
        <f>IF(OR(startClimateZone="One",startClimateZone="Two",startClimateZone="Three"),"x","")</f>
        <v/>
      </c>
      <c r="C243" s="1091" t="s">
        <v>1873</v>
      </c>
      <c r="D243" s="1016"/>
      <c r="E243" s="163"/>
      <c r="F243" s="3687" t="s">
        <v>2060</v>
      </c>
      <c r="G243" s="3687"/>
      <c r="H243" s="3687"/>
      <c r="I243" s="3687"/>
      <c r="J243" s="3687"/>
      <c r="K243" s="3687"/>
      <c r="L243" s="3687"/>
      <c r="M243" s="3687"/>
      <c r="N243" s="3687"/>
      <c r="O243" s="3702">
        <f>IF(OR(startClimateZone=1,startClimateZone=2,startClimateZone=3),0,5)</f>
        <v>5</v>
      </c>
      <c r="P243" s="4077"/>
      <c r="Q243" s="3633"/>
      <c r="R243" s="3486"/>
      <c r="S243" s="3486"/>
      <c r="T243" s="3055" t="s">
        <v>20</v>
      </c>
    </row>
    <row r="244" spans="1:44" ht="15" customHeight="1">
      <c r="C244" s="1091"/>
      <c r="D244" s="1016"/>
      <c r="E244" s="163"/>
      <c r="F244" s="4087" t="s">
        <v>1874</v>
      </c>
      <c r="G244" s="4087"/>
      <c r="H244" s="4087"/>
      <c r="I244" s="4087"/>
      <c r="J244" s="4087"/>
      <c r="K244" s="4087"/>
      <c r="L244" s="4087"/>
      <c r="M244" s="4087"/>
      <c r="N244" s="4087"/>
      <c r="O244" s="3702"/>
      <c r="P244" s="4077"/>
      <c r="Q244" s="3633"/>
      <c r="R244" s="3486"/>
      <c r="S244" s="3486"/>
      <c r="T244" s="3055"/>
    </row>
    <row r="245" spans="1:44" s="1041" customFormat="1" ht="20" customHeight="1">
      <c r="B245" s="992"/>
      <c r="C245" s="1365"/>
      <c r="D245" s="112"/>
      <c r="E245" s="1185"/>
      <c r="F245" s="3839" t="str">
        <f>IF(startClimateZone="","No Climate Zone chosen. See the Start Here! worksheet.",IF(OR(startClimateZone=1,startClimateZone=2,startClimateZone=3),CONCATENATE("Climate Zone ",startClimateZone," chosen. Points not available."),CONCATENATE("Climate Zone ",startClimateZone," chosen. Points available for this practice.")))</f>
        <v>No Climate Zone chosen. See the Start Here! worksheet.</v>
      </c>
      <c r="G245" s="3839"/>
      <c r="H245" s="3839"/>
      <c r="I245" s="3839"/>
      <c r="J245" s="3839"/>
      <c r="K245" s="3839"/>
      <c r="L245" s="3839"/>
      <c r="M245" s="3839"/>
      <c r="N245" s="3839"/>
      <c r="O245" s="1328"/>
      <c r="P245" s="1187"/>
      <c r="Q245" s="3840"/>
      <c r="R245" s="3840"/>
      <c r="S245" s="3840"/>
      <c r="T245" s="1366"/>
      <c r="AE245" s="1042"/>
      <c r="AF245" s="1042"/>
      <c r="AG245" s="1042"/>
      <c r="AH245" s="1042"/>
      <c r="AI245" s="1042"/>
      <c r="AJ245" s="1042"/>
      <c r="AK245" s="1042"/>
      <c r="AL245" s="1042"/>
      <c r="AM245" s="1042"/>
      <c r="AN245" s="1042"/>
      <c r="AO245" s="1042"/>
      <c r="AP245" s="1042"/>
      <c r="AQ245" s="1042"/>
      <c r="AR245" s="1042"/>
    </row>
    <row r="246" spans="1:44" ht="30" customHeight="1">
      <c r="C246" s="1180" t="s">
        <v>1875</v>
      </c>
      <c r="D246" s="1181"/>
      <c r="E246" s="1182"/>
      <c r="F246" s="4066" t="s">
        <v>1876</v>
      </c>
      <c r="G246" s="4066"/>
      <c r="H246" s="4066"/>
      <c r="I246" s="4066"/>
      <c r="J246" s="4066"/>
      <c r="K246" s="4066"/>
      <c r="L246" s="4066"/>
      <c r="M246" s="4066"/>
      <c r="N246" s="4066"/>
      <c r="O246" s="1183">
        <v>1</v>
      </c>
      <c r="P246" s="1367"/>
      <c r="Q246" s="3777"/>
      <c r="R246" s="3778"/>
      <c r="S246" s="3778"/>
      <c r="T246" s="1368" t="s">
        <v>20</v>
      </c>
    </row>
    <row r="247" spans="1:44" ht="30" customHeight="1">
      <c r="C247" s="1091" t="s">
        <v>1877</v>
      </c>
      <c r="D247" s="1016"/>
      <c r="E247" s="163"/>
      <c r="F247" s="3687" t="s">
        <v>382</v>
      </c>
      <c r="G247" s="3687"/>
      <c r="H247" s="3687"/>
      <c r="I247" s="3687"/>
      <c r="J247" s="3687"/>
      <c r="K247" s="3687"/>
      <c r="L247" s="3687"/>
      <c r="M247" s="3687"/>
      <c r="N247" s="3687"/>
      <c r="O247" s="1189"/>
      <c r="P247" s="1190"/>
      <c r="Q247" s="4070"/>
      <c r="R247" s="4070"/>
      <c r="S247" s="4071"/>
      <c r="T247" s="727"/>
    </row>
    <row r="248" spans="1:44" ht="105" customHeight="1">
      <c r="C248" s="1091"/>
      <c r="D248" s="1025">
        <v>1</v>
      </c>
      <c r="E248" s="164"/>
      <c r="F248" s="3786" t="s">
        <v>1878</v>
      </c>
      <c r="G248" s="3786"/>
      <c r="H248" s="3786"/>
      <c r="I248" s="3786"/>
      <c r="J248" s="3786"/>
      <c r="K248" s="3786"/>
      <c r="L248" s="3786"/>
      <c r="M248" s="3786"/>
      <c r="N248" s="3786"/>
      <c r="O248" s="1137">
        <v>1</v>
      </c>
      <c r="P248" s="509"/>
      <c r="Q248" s="3633"/>
      <c r="R248" s="3486"/>
      <c r="S248" s="3486"/>
      <c r="T248" s="4067" t="s">
        <v>20</v>
      </c>
    </row>
    <row r="249" spans="1:44" ht="28.5" customHeight="1">
      <c r="C249" s="1091"/>
      <c r="D249" s="1019">
        <v>2</v>
      </c>
      <c r="E249" s="165"/>
      <c r="F249" s="3687" t="s">
        <v>1879</v>
      </c>
      <c r="G249" s="3687"/>
      <c r="H249" s="3687"/>
      <c r="I249" s="3687"/>
      <c r="J249" s="3687"/>
      <c r="K249" s="3687"/>
      <c r="L249" s="3687"/>
      <c r="M249" s="3687"/>
      <c r="N249" s="3687"/>
      <c r="O249" s="4068">
        <v>1</v>
      </c>
      <c r="P249" s="3465"/>
      <c r="Q249" s="3633"/>
      <c r="R249" s="3486"/>
      <c r="S249" s="3486"/>
      <c r="T249" s="3321"/>
    </row>
    <row r="250" spans="1:44" ht="15.75" customHeight="1">
      <c r="C250" s="1091"/>
      <c r="D250" s="1191"/>
      <c r="E250" s="1192"/>
      <c r="F250" s="3632" t="s">
        <v>1880</v>
      </c>
      <c r="G250" s="3632"/>
      <c r="H250" s="3632"/>
      <c r="I250" s="3632"/>
      <c r="J250" s="3632"/>
      <c r="K250" s="3632"/>
      <c r="L250" s="3632"/>
      <c r="M250" s="3632"/>
      <c r="N250" s="3632"/>
      <c r="O250" s="4069"/>
      <c r="P250" s="3465"/>
      <c r="Q250" s="3633"/>
      <c r="R250" s="3486"/>
      <c r="S250" s="3486"/>
      <c r="T250" s="3321"/>
    </row>
    <row r="251" spans="1:44" ht="30" customHeight="1">
      <c r="C251" s="1091"/>
      <c r="D251" s="818">
        <v>3</v>
      </c>
      <c r="E251" s="1193"/>
      <c r="F251" s="3831" t="s">
        <v>383</v>
      </c>
      <c r="G251" s="3831"/>
      <c r="H251" s="3831"/>
      <c r="I251" s="3831"/>
      <c r="J251" s="3831"/>
      <c r="K251" s="3831"/>
      <c r="L251" s="3831"/>
      <c r="M251" s="3831"/>
      <c r="N251" s="3831"/>
      <c r="O251" s="1179">
        <v>1</v>
      </c>
      <c r="P251" s="509"/>
      <c r="Q251" s="3633"/>
      <c r="R251" s="3486"/>
      <c r="S251" s="3486"/>
      <c r="T251" s="3321"/>
    </row>
    <row r="252" spans="1:44" ht="30" customHeight="1">
      <c r="C252" s="1091"/>
      <c r="D252" s="818">
        <v>4</v>
      </c>
      <c r="E252" s="1193"/>
      <c r="F252" s="3831" t="s">
        <v>384</v>
      </c>
      <c r="G252" s="3831"/>
      <c r="H252" s="3831"/>
      <c r="I252" s="3831"/>
      <c r="J252" s="3831"/>
      <c r="K252" s="3831"/>
      <c r="L252" s="3831"/>
      <c r="M252" s="3831"/>
      <c r="N252" s="3831"/>
      <c r="O252" s="1179">
        <v>1</v>
      </c>
      <c r="P252" s="509"/>
      <c r="Q252" s="3633"/>
      <c r="R252" s="3486"/>
      <c r="S252" s="3486"/>
      <c r="T252" s="3321"/>
    </row>
    <row r="253" spans="1:44" ht="105" customHeight="1">
      <c r="C253" s="1091"/>
      <c r="D253" s="818">
        <v>5</v>
      </c>
      <c r="E253" s="1193"/>
      <c r="F253" s="3831" t="s">
        <v>1881</v>
      </c>
      <c r="G253" s="3831"/>
      <c r="H253" s="3831"/>
      <c r="I253" s="3831"/>
      <c r="J253" s="3831"/>
      <c r="K253" s="3831"/>
      <c r="L253" s="3831"/>
      <c r="M253" s="3831"/>
      <c r="N253" s="3831"/>
      <c r="O253" s="1179">
        <v>1</v>
      </c>
      <c r="P253" s="509"/>
      <c r="Q253" s="3633"/>
      <c r="R253" s="3486"/>
      <c r="S253" s="3486"/>
      <c r="T253" s="3321"/>
    </row>
    <row r="254" spans="1:44" ht="30" customHeight="1">
      <c r="C254" s="1091"/>
      <c r="D254" s="1024">
        <v>6</v>
      </c>
      <c r="E254" s="1067"/>
      <c r="F254" s="3805" t="s">
        <v>1882</v>
      </c>
      <c r="G254" s="3805"/>
      <c r="H254" s="3805"/>
      <c r="I254" s="3805"/>
      <c r="J254" s="3805"/>
      <c r="K254" s="3805"/>
      <c r="L254" s="3805"/>
      <c r="M254" s="3805"/>
      <c r="N254" s="3805"/>
      <c r="O254" s="1097">
        <v>1</v>
      </c>
      <c r="P254" s="1001"/>
      <c r="Q254" s="3633"/>
      <c r="R254" s="3486"/>
      <c r="S254" s="3486"/>
      <c r="T254" s="3321"/>
      <c r="U254" s="175"/>
      <c r="V254" s="175"/>
      <c r="W254" s="175"/>
      <c r="X254" s="175"/>
      <c r="Y254" s="175"/>
      <c r="Z254" s="175"/>
      <c r="AA254" s="175"/>
      <c r="AB254" s="175"/>
      <c r="AC254" s="175"/>
      <c r="AD254" s="175"/>
    </row>
    <row r="255" spans="1:44" ht="15" customHeight="1">
      <c r="C255" s="189"/>
      <c r="D255" s="1016"/>
      <c r="E255" s="695"/>
      <c r="F255" s="3759" t="str">
        <f>IF(startClimateZone="", "No zone chosen for this project. See the Start Here! worksheet.", CONCATENATE("Climate zone ",startClimateZone," chosen for this project. See the Start Here! worksheet."))</f>
        <v>No zone chosen for this project. See the Start Here! worksheet.</v>
      </c>
      <c r="G255" s="3759"/>
      <c r="H255" s="3759"/>
      <c r="I255" s="3759"/>
      <c r="J255" s="3759"/>
      <c r="K255" s="3759"/>
      <c r="L255" s="3759"/>
      <c r="M255" s="3759"/>
      <c r="N255" s="3759"/>
      <c r="O255" s="214"/>
      <c r="P255" s="695"/>
      <c r="Q255" s="3521"/>
      <c r="R255" s="3521"/>
      <c r="S255" s="1158"/>
      <c r="T255" s="1043"/>
      <c r="AE255" s="113"/>
      <c r="AF255" s="113"/>
      <c r="AG255" s="113"/>
      <c r="AH255" s="113"/>
      <c r="AI255" s="113"/>
      <c r="AJ255" s="113"/>
      <c r="AK255" s="113"/>
      <c r="AL255" s="113"/>
      <c r="AM255" s="113"/>
      <c r="AN255" s="113"/>
      <c r="AO255" s="113"/>
      <c r="AP255" s="113"/>
      <c r="AQ255" s="113"/>
      <c r="AR255" s="113"/>
    </row>
    <row r="256" spans="1:44" ht="44.25" customHeight="1">
      <c r="C256" s="162" t="s">
        <v>1883</v>
      </c>
      <c r="D256" s="883"/>
      <c r="E256" s="998"/>
      <c r="F256" s="3682" t="s">
        <v>2072</v>
      </c>
      <c r="G256" s="3682"/>
      <c r="H256" s="3682"/>
      <c r="I256" s="3682"/>
      <c r="J256" s="3682"/>
      <c r="K256" s="3682"/>
      <c r="L256" s="3682"/>
      <c r="M256" s="3682"/>
      <c r="N256" s="3682"/>
      <c r="O256" s="1329">
        <f>IF(OR(startClimateZone="",startClimateZone=1,startClimateZone=2,startClimateZone=3),0,4)</f>
        <v>0</v>
      </c>
      <c r="P256" s="1351"/>
      <c r="Q256" s="3683"/>
      <c r="R256" s="3684"/>
      <c r="S256" s="3684"/>
      <c r="T256" s="1325" t="s">
        <v>20</v>
      </c>
      <c r="U256" s="175"/>
      <c r="V256" s="175"/>
      <c r="W256" s="175"/>
      <c r="X256" s="175"/>
      <c r="Y256" s="175"/>
      <c r="Z256" s="175"/>
      <c r="AA256" s="175"/>
      <c r="AB256" s="175"/>
      <c r="AC256" s="175"/>
      <c r="AD256" s="175"/>
    </row>
    <row r="257" spans="1:44">
      <c r="C257" s="1091"/>
      <c r="D257" s="1016"/>
      <c r="E257" s="163"/>
      <c r="F257" s="3833" t="s">
        <v>1885</v>
      </c>
      <c r="G257" s="3833"/>
      <c r="H257" s="3833"/>
      <c r="I257" s="3833"/>
      <c r="J257" s="3833"/>
      <c r="K257" s="3833"/>
      <c r="L257" s="3833"/>
      <c r="M257" s="3833"/>
      <c r="N257" s="3833"/>
      <c r="O257" s="1049"/>
      <c r="P257" s="1095"/>
      <c r="Q257" s="3834"/>
      <c r="R257" s="3834"/>
      <c r="S257" s="1120"/>
      <c r="T257" s="1043"/>
      <c r="U257" s="175"/>
      <c r="V257" s="175"/>
      <c r="W257" s="175"/>
      <c r="X257" s="175"/>
      <c r="Y257" s="175"/>
      <c r="Z257" s="175"/>
      <c r="AA257" s="175"/>
      <c r="AB257" s="175"/>
      <c r="AC257" s="175"/>
      <c r="AD257" s="175"/>
    </row>
    <row r="258" spans="1:44" s="1041" customFormat="1" ht="20" customHeight="1">
      <c r="B258" s="992"/>
      <c r="C258" s="1365"/>
      <c r="D258" s="112"/>
      <c r="E258" s="1185"/>
      <c r="F258" s="3839" t="str">
        <f>IF(startClimateZone="","No Climate Zone chosen. See the Start Here! worksheet.",IF(OR(startClimateZone=1,startClimateZone=2,startClimateZone=3),CONCATENATE("Climate Zone ",startClimateZone," chosen. Points not available."),CONCATENATE("Climate Zone ",startClimateZone," chosen. Points possibly available for this practice.")))</f>
        <v>No Climate Zone chosen. See the Start Here! worksheet.</v>
      </c>
      <c r="G258" s="3839"/>
      <c r="H258" s="3839"/>
      <c r="I258" s="3839"/>
      <c r="J258" s="3839"/>
      <c r="K258" s="3839"/>
      <c r="L258" s="3839"/>
      <c r="M258" s="3839"/>
      <c r="N258" s="3839"/>
      <c r="O258" s="1328"/>
      <c r="P258" s="1187"/>
      <c r="Q258" s="3840"/>
      <c r="R258" s="3840"/>
      <c r="S258" s="3840"/>
      <c r="T258" s="1366"/>
      <c r="AE258" s="1042"/>
      <c r="AF258" s="1042"/>
      <c r="AG258" s="1042"/>
      <c r="AH258" s="1042"/>
      <c r="AI258" s="1042"/>
      <c r="AJ258" s="1042"/>
      <c r="AK258" s="1042"/>
      <c r="AL258" s="1042"/>
      <c r="AM258" s="1042"/>
      <c r="AN258" s="1042"/>
      <c r="AO258" s="1042"/>
      <c r="AP258" s="1042"/>
      <c r="AQ258" s="1042"/>
      <c r="AR258" s="1042"/>
    </row>
    <row r="259" spans="1:44" ht="15" customHeight="1">
      <c r="C259" s="1136"/>
      <c r="D259" s="526"/>
      <c r="E259" s="1064"/>
      <c r="F259" s="3835" t="s">
        <v>1884</v>
      </c>
      <c r="G259" s="3835"/>
      <c r="H259" s="3835"/>
      <c r="I259" s="3835"/>
      <c r="J259" s="3835"/>
      <c r="K259" s="3835"/>
      <c r="L259" s="3835"/>
      <c r="M259" s="3835"/>
      <c r="N259" s="3835"/>
      <c r="O259" s="1137"/>
      <c r="P259" s="1194"/>
      <c r="Q259" s="3836"/>
      <c r="R259" s="3836"/>
      <c r="S259" s="1138"/>
      <c r="T259" s="1153"/>
    </row>
    <row r="260" spans="1:44" s="1008" customFormat="1" ht="15" customHeight="1">
      <c r="B260" s="170"/>
      <c r="C260" s="4101" t="str">
        <f>IF(choice701.1="Prescriptive Path", "Prescriptive Path Requires minimum of 30 points in Section 703                                                       Current 703 points =","")</f>
        <v/>
      </c>
      <c r="D260" s="4102"/>
      <c r="E260" s="4102"/>
      <c r="F260" s="4102"/>
      <c r="G260" s="4102"/>
      <c r="H260" s="4102"/>
      <c r="I260" s="4102"/>
      <c r="J260" s="4102"/>
      <c r="K260" s="4102"/>
      <c r="L260" s="4102"/>
      <c r="M260" s="4102"/>
      <c r="N260" s="4102"/>
      <c r="O260" s="1862" t="str">
        <f>IF(C260&lt;&gt;"",Formulas!A204,"")</f>
        <v/>
      </c>
      <c r="P260" s="1095"/>
      <c r="Q260" s="1864"/>
      <c r="R260" s="1864"/>
      <c r="S260" s="1120"/>
      <c r="T260" s="1867"/>
      <c r="AE260" s="8"/>
      <c r="AF260" s="8"/>
      <c r="AG260" s="8"/>
      <c r="AH260" s="8"/>
      <c r="AI260" s="8"/>
      <c r="AJ260" s="8"/>
      <c r="AK260" s="8"/>
      <c r="AL260" s="8"/>
      <c r="AM260" s="8"/>
      <c r="AN260" s="8"/>
      <c r="AO260" s="8"/>
      <c r="AP260" s="8"/>
      <c r="AQ260" s="8"/>
      <c r="AR260" s="8"/>
    </row>
    <row r="261" spans="1:44">
      <c r="C261" s="4073" t="s">
        <v>374</v>
      </c>
      <c r="D261" s="4073"/>
      <c r="E261" s="4073"/>
      <c r="F261" s="4073"/>
      <c r="G261" s="4073"/>
      <c r="H261" s="4073"/>
      <c r="I261" s="4073"/>
      <c r="J261" s="4073"/>
      <c r="K261" s="4073"/>
      <c r="L261" s="4073"/>
      <c r="M261" s="4073"/>
      <c r="N261" s="4073"/>
      <c r="O261" s="4073"/>
      <c r="P261" s="4073"/>
      <c r="Q261" s="4073"/>
      <c r="R261" s="4073"/>
      <c r="S261" s="4073"/>
      <c r="T261" s="4073"/>
    </row>
    <row r="262" spans="1:44">
      <c r="C262" s="189"/>
      <c r="D262" s="695"/>
      <c r="E262" s="695"/>
      <c r="F262" s="3766" t="str">
        <f>IF(OR(P10="Alternative Bronze", P10=""), "", "Be sure to claim at least 2 practices in Section 704.")</f>
        <v/>
      </c>
      <c r="G262" s="3766"/>
      <c r="H262" s="3766"/>
      <c r="I262" s="3766"/>
      <c r="J262" s="3766"/>
      <c r="K262" s="3766"/>
      <c r="L262" s="3766"/>
      <c r="M262" s="3766"/>
      <c r="N262" s="3766"/>
      <c r="O262" s="695"/>
      <c r="P262" s="695"/>
      <c r="Q262" s="3521"/>
      <c r="R262" s="3521"/>
      <c r="S262" s="1158"/>
      <c r="T262" s="1022"/>
    </row>
    <row r="263" spans="1:44" ht="45" customHeight="1" thickBot="1">
      <c r="C263" s="171">
        <v>704.1</v>
      </c>
      <c r="D263" s="172"/>
      <c r="E263" s="173"/>
      <c r="F263" s="3838" t="s">
        <v>375</v>
      </c>
      <c r="G263" s="3838"/>
      <c r="H263" s="3838"/>
      <c r="I263" s="3838"/>
      <c r="J263" s="3838"/>
      <c r="K263" s="3838"/>
      <c r="L263" s="3838"/>
      <c r="M263" s="3838"/>
      <c r="N263" s="3838"/>
      <c r="O263" s="1009"/>
      <c r="P263" s="1009"/>
      <c r="Q263" s="3838"/>
      <c r="R263" s="3838"/>
      <c r="S263" s="174"/>
      <c r="T263" s="1022"/>
    </row>
    <row r="264" spans="1:44" s="988" customFormat="1" ht="16" thickTop="1">
      <c r="A264" s="1008"/>
      <c r="B264" s="170"/>
      <c r="C264" s="1034">
        <v>704.2</v>
      </c>
      <c r="D264" s="1035"/>
      <c r="E264" s="1036"/>
      <c r="F264" s="3837" t="s">
        <v>1911</v>
      </c>
      <c r="G264" s="3837"/>
      <c r="H264" s="3837"/>
      <c r="I264" s="3837"/>
      <c r="J264" s="3837"/>
      <c r="K264" s="3837"/>
      <c r="L264" s="3837"/>
      <c r="M264" s="3837"/>
      <c r="N264" s="3837"/>
      <c r="O264" s="1037"/>
      <c r="P264" s="1037"/>
      <c r="Q264" s="1037"/>
      <c r="R264" s="1037"/>
      <c r="S264" s="1038"/>
      <c r="T264" s="1022"/>
      <c r="V264" s="1008"/>
      <c r="W264" s="1008"/>
      <c r="X264" s="1008"/>
      <c r="Y264" s="1008"/>
      <c r="Z264" s="1008"/>
      <c r="AA264" s="1008"/>
      <c r="AD264" s="1008"/>
      <c r="AE264" s="8"/>
      <c r="AF264" s="8"/>
      <c r="AG264" s="8"/>
      <c r="AH264" s="8"/>
      <c r="AI264" s="8"/>
      <c r="AJ264" s="8"/>
      <c r="AK264" s="8"/>
      <c r="AL264" s="8"/>
      <c r="AM264" s="8"/>
      <c r="AN264" s="8"/>
      <c r="AO264" s="8"/>
      <c r="AP264" s="8"/>
      <c r="AQ264" s="8"/>
      <c r="AR264" s="8"/>
    </row>
    <row r="265" spans="1:44" ht="45" customHeight="1">
      <c r="C265" s="1091" t="s">
        <v>377</v>
      </c>
      <c r="D265" s="1016"/>
      <c r="E265" s="163"/>
      <c r="F265" s="3687" t="s">
        <v>1915</v>
      </c>
      <c r="G265" s="3687"/>
      <c r="H265" s="3687"/>
      <c r="I265" s="3687"/>
      <c r="J265" s="3687"/>
      <c r="K265" s="3687"/>
      <c r="L265" s="3687"/>
      <c r="M265" s="3687"/>
      <c r="N265" s="3687"/>
      <c r="O265" s="1195" t="s">
        <v>1912</v>
      </c>
      <c r="P265" s="1763"/>
      <c r="Q265" s="3633"/>
      <c r="R265" s="3486"/>
      <c r="S265" s="3486"/>
      <c r="T265" s="4072" t="s">
        <v>20</v>
      </c>
    </row>
    <row r="266" spans="1:44" ht="20" customHeight="1">
      <c r="C266" s="1091"/>
      <c r="D266" s="1128"/>
      <c r="E266" s="1128"/>
      <c r="F266" s="3945"/>
      <c r="G266" s="3945"/>
      <c r="H266" s="3945"/>
      <c r="I266" s="3945"/>
      <c r="J266" s="3945"/>
      <c r="K266" s="3945"/>
      <c r="L266" s="3945"/>
      <c r="M266" s="3945"/>
      <c r="N266" s="3945"/>
      <c r="O266" s="1128"/>
      <c r="P266" s="875">
        <f>score704.2.1</f>
        <v>0</v>
      </c>
      <c r="Q266" s="3633"/>
      <c r="R266" s="3486"/>
      <c r="S266" s="3486"/>
      <c r="T266" s="4072"/>
    </row>
    <row r="267" spans="1:44" ht="45" customHeight="1">
      <c r="C267" s="1100" t="s">
        <v>378</v>
      </c>
      <c r="D267" s="1020"/>
      <c r="E267" s="1078"/>
      <c r="F267" s="3681" t="s">
        <v>1913</v>
      </c>
      <c r="G267" s="3681"/>
      <c r="H267" s="3681"/>
      <c r="I267" s="3681"/>
      <c r="J267" s="3681"/>
      <c r="K267" s="3681"/>
      <c r="L267" s="3681"/>
      <c r="M267" s="3681"/>
      <c r="N267" s="3682"/>
      <c r="O267" s="1101">
        <v>2</v>
      </c>
      <c r="P267" s="729"/>
      <c r="Q267" s="3683"/>
      <c r="R267" s="3684"/>
      <c r="S267" s="3684"/>
      <c r="T267" s="1248" t="s">
        <v>20</v>
      </c>
    </row>
    <row r="268" spans="1:44" ht="30" customHeight="1" thickBot="1">
      <c r="C268" s="1598" t="s">
        <v>379</v>
      </c>
      <c r="D268" s="1596"/>
      <c r="E268" s="1599"/>
      <c r="F268" s="3681" t="s">
        <v>1914</v>
      </c>
      <c r="G268" s="3681"/>
      <c r="H268" s="3681"/>
      <c r="I268" s="3681"/>
      <c r="J268" s="3681"/>
      <c r="K268" s="3681"/>
      <c r="L268" s="3681"/>
      <c r="M268" s="3681"/>
      <c r="N268" s="3681"/>
      <c r="O268" s="1595">
        <v>1</v>
      </c>
      <c r="P268" s="811"/>
      <c r="Q268" s="3683"/>
      <c r="R268" s="3684"/>
      <c r="S268" s="3712"/>
      <c r="T268" s="1673" t="s">
        <v>20</v>
      </c>
    </row>
    <row r="269" spans="1:44" ht="45" customHeight="1" thickTop="1" thickBot="1">
      <c r="C269" s="1674">
        <v>704.3</v>
      </c>
      <c r="D269" s="1675"/>
      <c r="E269" s="1676"/>
      <c r="F269" s="3857" t="s">
        <v>1916</v>
      </c>
      <c r="G269" s="3857"/>
      <c r="H269" s="3857"/>
      <c r="I269" s="3857"/>
      <c r="J269" s="3857"/>
      <c r="K269" s="3857"/>
      <c r="L269" s="3857"/>
      <c r="M269" s="3857"/>
      <c r="N269" s="3857"/>
      <c r="O269" s="1677">
        <v>5</v>
      </c>
      <c r="P269" s="1678"/>
      <c r="Q269" s="3859"/>
      <c r="R269" s="3860"/>
      <c r="S269" s="3860"/>
      <c r="T269" s="1679" t="s">
        <v>20</v>
      </c>
    </row>
    <row r="270" spans="1:44" s="1041" customFormat="1" ht="18" customHeight="1" thickTop="1">
      <c r="B270" s="992"/>
      <c r="C270" s="1115">
        <v>704.4</v>
      </c>
      <c r="D270" s="1196"/>
      <c r="E270" s="1116"/>
      <c r="F270" s="3858" t="s">
        <v>387</v>
      </c>
      <c r="G270" s="3858"/>
      <c r="H270" s="3858"/>
      <c r="I270" s="3858"/>
      <c r="J270" s="3858"/>
      <c r="K270" s="3858"/>
      <c r="L270" s="3858"/>
      <c r="M270" s="3858"/>
      <c r="N270" s="3858"/>
      <c r="O270" s="1197"/>
      <c r="P270" s="1198"/>
      <c r="Q270" s="3861"/>
      <c r="R270" s="3861"/>
      <c r="S270" s="3862"/>
      <c r="T270" s="1199"/>
      <c r="AE270" s="1042"/>
      <c r="AF270" s="1042"/>
      <c r="AG270" s="1042"/>
      <c r="AH270" s="1042"/>
      <c r="AI270" s="1042"/>
      <c r="AJ270" s="1042"/>
      <c r="AK270" s="1042"/>
      <c r="AL270" s="1042"/>
      <c r="AM270" s="1042"/>
      <c r="AN270" s="1042"/>
      <c r="AO270" s="1042"/>
      <c r="AP270" s="1042"/>
      <c r="AQ270" s="1042"/>
      <c r="AR270" s="1042"/>
    </row>
    <row r="271" spans="1:44" ht="60" customHeight="1">
      <c r="C271" s="1002" t="s">
        <v>1919</v>
      </c>
      <c r="D271" s="1003"/>
      <c r="E271" s="163"/>
      <c r="F271" s="3687" t="s">
        <v>1920</v>
      </c>
      <c r="G271" s="3687"/>
      <c r="H271" s="3687"/>
      <c r="I271" s="3687"/>
      <c r="J271" s="3687"/>
      <c r="K271" s="3687"/>
      <c r="L271" s="3687"/>
      <c r="M271" s="3687"/>
      <c r="N271" s="3687"/>
      <c r="O271" s="1049">
        <v>1</v>
      </c>
      <c r="P271" s="510"/>
      <c r="Q271" s="3634"/>
      <c r="R271" s="3635"/>
      <c r="S271" s="3635"/>
      <c r="T271" s="997" t="s">
        <v>20</v>
      </c>
    </row>
    <row r="272" spans="1:44" ht="108" customHeight="1">
      <c r="C272" s="945" t="s">
        <v>385</v>
      </c>
      <c r="D272" s="1200"/>
      <c r="E272" s="1006"/>
      <c r="F272" s="3831" t="s">
        <v>1921</v>
      </c>
      <c r="G272" s="3831"/>
      <c r="H272" s="3831"/>
      <c r="I272" s="3831"/>
      <c r="J272" s="3831"/>
      <c r="K272" s="3831"/>
      <c r="L272" s="3831"/>
      <c r="M272" s="3831"/>
      <c r="N272" s="3831"/>
      <c r="O272" s="1179">
        <v>3</v>
      </c>
      <c r="P272" s="1018"/>
      <c r="Q272" s="3853"/>
      <c r="R272" s="3854"/>
      <c r="S272" s="3854"/>
      <c r="T272" s="1007" t="s">
        <v>20</v>
      </c>
      <c r="AC272" s="1764"/>
      <c r="AD272" s="1764"/>
      <c r="AE272" s="1764"/>
    </row>
    <row r="273" spans="1:44" ht="57" customHeight="1" thickBot="1">
      <c r="C273" s="1091" t="s">
        <v>386</v>
      </c>
      <c r="D273" s="1016"/>
      <c r="E273" s="163"/>
      <c r="F273" s="3687" t="s">
        <v>1922</v>
      </c>
      <c r="G273" s="3687"/>
      <c r="H273" s="3687"/>
      <c r="I273" s="3687"/>
      <c r="J273" s="3687"/>
      <c r="K273" s="3687"/>
      <c r="L273" s="3687"/>
      <c r="M273" s="3687"/>
      <c r="N273" s="3687"/>
      <c r="O273" s="1049">
        <v>4</v>
      </c>
      <c r="P273" s="582"/>
      <c r="Q273" s="3855"/>
      <c r="R273" s="3856"/>
      <c r="S273" s="3856"/>
      <c r="T273" s="997" t="s">
        <v>20</v>
      </c>
    </row>
    <row r="274" spans="1:44" ht="20" customHeight="1" thickTop="1">
      <c r="C274" s="1154">
        <v>704.5</v>
      </c>
      <c r="D274" s="1155"/>
      <c r="E274" s="1156"/>
      <c r="F274" s="3852" t="s">
        <v>389</v>
      </c>
      <c r="G274" s="3852"/>
      <c r="H274" s="3852"/>
      <c r="I274" s="3852"/>
      <c r="J274" s="3852"/>
      <c r="K274" s="3852"/>
      <c r="L274" s="3852"/>
      <c r="M274" s="3852"/>
      <c r="N274" s="3852"/>
      <c r="O274" s="1117"/>
      <c r="P274" s="1118"/>
      <c r="Q274" s="3852"/>
      <c r="R274" s="3852"/>
      <c r="S274" s="1201"/>
      <c r="T274" s="929"/>
    </row>
    <row r="275" spans="1:44" ht="147.75" customHeight="1">
      <c r="C275" s="1002" t="s">
        <v>1917</v>
      </c>
      <c r="D275" s="1003"/>
      <c r="E275" s="163"/>
      <c r="F275" s="3687" t="s">
        <v>2484</v>
      </c>
      <c r="G275" s="3719"/>
      <c r="H275" s="3719"/>
      <c r="I275" s="3719"/>
      <c r="J275" s="3719"/>
      <c r="K275" s="3719"/>
      <c r="L275" s="3719"/>
      <c r="M275" s="3719"/>
      <c r="N275" s="3719"/>
      <c r="O275" s="1049">
        <v>5</v>
      </c>
      <c r="P275" s="510"/>
      <c r="Q275" s="3633"/>
      <c r="R275" s="3486"/>
      <c r="S275" s="3486"/>
      <c r="T275" s="1370" t="s">
        <v>20</v>
      </c>
    </row>
    <row r="276" spans="1:44" ht="15" customHeight="1">
      <c r="C276" s="162" t="s">
        <v>1918</v>
      </c>
      <c r="D276" s="883"/>
      <c r="E276" s="998"/>
      <c r="F276" s="3805" t="s">
        <v>1923</v>
      </c>
      <c r="G276" s="3805"/>
      <c r="H276" s="3805"/>
      <c r="I276" s="3805"/>
      <c r="J276" s="3805"/>
      <c r="K276" s="3805"/>
      <c r="L276" s="3805"/>
      <c r="M276" s="3805"/>
      <c r="N276" s="3805"/>
      <c r="O276" s="1189"/>
      <c r="P276" s="1202"/>
      <c r="Q276" s="3829"/>
      <c r="R276" s="3829"/>
      <c r="S276" s="3829"/>
      <c r="T276" s="1371"/>
    </row>
    <row r="277" spans="1:44">
      <c r="C277" s="1091" t="s">
        <v>1924</v>
      </c>
      <c r="D277" s="1016"/>
      <c r="E277" s="163"/>
      <c r="F277" s="3719" t="s">
        <v>1925</v>
      </c>
      <c r="G277" s="3687"/>
      <c r="H277" s="3687"/>
      <c r="I277" s="3687"/>
      <c r="J277" s="3687"/>
      <c r="K277" s="3687"/>
      <c r="L277" s="3687"/>
      <c r="M277" s="3687"/>
      <c r="N277" s="3687"/>
      <c r="O277" s="1203"/>
      <c r="P277" s="1204"/>
      <c r="Q277" s="3830"/>
      <c r="R277" s="3830"/>
      <c r="S277" s="3830"/>
      <c r="T277" s="1372"/>
    </row>
    <row r="278" spans="1:44" s="1008" customFormat="1" ht="30" customHeight="1">
      <c r="B278" s="170"/>
      <c r="C278" s="1091"/>
      <c r="D278" s="1335"/>
      <c r="E278" s="1336">
        <v>1</v>
      </c>
      <c r="F278" s="3693" t="s">
        <v>1926</v>
      </c>
      <c r="G278" s="3693"/>
      <c r="H278" s="3693"/>
      <c r="I278" s="3693"/>
      <c r="J278" s="3693"/>
      <c r="K278" s="3693"/>
      <c r="L278" s="3693"/>
      <c r="M278" s="3693"/>
      <c r="N278" s="3693"/>
      <c r="O278" s="1406" t="s">
        <v>2097</v>
      </c>
      <c r="P278" s="1407"/>
      <c r="Q278" s="3806"/>
      <c r="R278" s="3806"/>
      <c r="S278" s="3806"/>
      <c r="T278" s="3827" t="s">
        <v>20</v>
      </c>
      <c r="AE278" s="8"/>
      <c r="AF278" s="8"/>
      <c r="AG278" s="8"/>
      <c r="AH278" s="8"/>
      <c r="AI278" s="8"/>
      <c r="AJ278" s="8"/>
      <c r="AK278" s="8"/>
      <c r="AL278" s="8"/>
      <c r="AM278" s="8"/>
      <c r="AN278" s="8"/>
      <c r="AO278" s="8"/>
      <c r="AP278" s="8"/>
      <c r="AQ278" s="8"/>
      <c r="AR278" s="8"/>
    </row>
    <row r="279" spans="1:44" s="1008" customFormat="1" ht="26.25" customHeight="1">
      <c r="B279" s="170"/>
      <c r="C279" s="1069"/>
      <c r="D279" s="1026"/>
      <c r="E279" s="164"/>
      <c r="F279" s="3851"/>
      <c r="G279" s="3851"/>
      <c r="H279" s="3851"/>
      <c r="I279" s="3851"/>
      <c r="J279" s="3851"/>
      <c r="K279" s="3851"/>
      <c r="L279" s="3851"/>
      <c r="M279" s="3851"/>
      <c r="N279" s="3851"/>
      <c r="O279" s="1405">
        <v>5</v>
      </c>
      <c r="P279" s="1390">
        <f>score704.5.2.1_1</f>
        <v>0</v>
      </c>
      <c r="Q279" s="3806"/>
      <c r="R279" s="3806"/>
      <c r="S279" s="3806"/>
      <c r="T279" s="3827"/>
      <c r="AE279" s="8"/>
      <c r="AF279" s="8"/>
      <c r="AG279" s="8"/>
      <c r="AH279" s="8"/>
      <c r="AI279" s="8"/>
      <c r="AJ279" s="8"/>
      <c r="AK279" s="8"/>
      <c r="AL279" s="8"/>
      <c r="AM279" s="8"/>
      <c r="AN279" s="8"/>
      <c r="AO279" s="8"/>
      <c r="AP279" s="8"/>
      <c r="AQ279" s="8"/>
      <c r="AR279" s="8"/>
    </row>
    <row r="280" spans="1:44" s="1008" customFormat="1" ht="15" customHeight="1">
      <c r="B280" s="170"/>
      <c r="C280" s="1091"/>
      <c r="D280" s="1335"/>
      <c r="E280" s="1391">
        <v>2</v>
      </c>
      <c r="F280" s="3693" t="s">
        <v>1927</v>
      </c>
      <c r="G280" s="3693"/>
      <c r="H280" s="3693"/>
      <c r="I280" s="3693"/>
      <c r="J280" s="3693"/>
      <c r="K280" s="3693"/>
      <c r="L280" s="3693"/>
      <c r="M280" s="3693"/>
      <c r="N280" s="3693"/>
      <c r="O280" s="3701">
        <v>5</v>
      </c>
      <c r="P280" s="3849"/>
      <c r="Q280" s="3844"/>
      <c r="R280" s="3845"/>
      <c r="S280" s="3845"/>
      <c r="T280" s="3827"/>
      <c r="AE280" s="8"/>
      <c r="AF280" s="8"/>
      <c r="AG280" s="8"/>
      <c r="AH280" s="8"/>
      <c r="AI280" s="8"/>
      <c r="AJ280" s="8"/>
      <c r="AK280" s="8"/>
      <c r="AL280" s="8"/>
      <c r="AM280" s="8"/>
      <c r="AN280" s="8"/>
      <c r="AO280" s="8"/>
      <c r="AP280" s="8"/>
      <c r="AQ280" s="8"/>
      <c r="AR280" s="8"/>
    </row>
    <row r="281" spans="1:44" ht="30" customHeight="1">
      <c r="C281" s="1159"/>
      <c r="D281" s="1019"/>
      <c r="E281" s="1369"/>
      <c r="F281" s="3841" t="s">
        <v>1976</v>
      </c>
      <c r="G281" s="3842"/>
      <c r="H281" s="3842"/>
      <c r="I281" s="3842"/>
      <c r="J281" s="3842"/>
      <c r="K281" s="3842"/>
      <c r="L281" s="3842"/>
      <c r="M281" s="3842"/>
      <c r="N281" s="3843"/>
      <c r="O281" s="3848"/>
      <c r="P281" s="3850"/>
      <c r="Q281" s="3846"/>
      <c r="R281" s="3847"/>
      <c r="S281" s="3847"/>
      <c r="T281" s="3828"/>
      <c r="AE281" s="113"/>
      <c r="AF281" s="113"/>
      <c r="AG281" s="113"/>
      <c r="AH281" s="113"/>
      <c r="AI281" s="113"/>
      <c r="AJ281" s="113"/>
      <c r="AK281" s="113"/>
      <c r="AL281" s="113"/>
      <c r="AM281" s="113"/>
      <c r="AN281" s="113"/>
      <c r="AO281" s="113"/>
      <c r="AP281" s="113"/>
      <c r="AQ281" s="113"/>
      <c r="AR281" s="113"/>
    </row>
    <row r="282" spans="1:44" ht="71.25" customHeight="1">
      <c r="C282" s="1100" t="s">
        <v>1928</v>
      </c>
      <c r="D282" s="1020"/>
      <c r="E282" s="1078"/>
      <c r="F282" s="3681" t="s">
        <v>1929</v>
      </c>
      <c r="G282" s="3681"/>
      <c r="H282" s="3681"/>
      <c r="I282" s="3681"/>
      <c r="J282" s="3681"/>
      <c r="K282" s="3681"/>
      <c r="L282" s="3681"/>
      <c r="M282" s="3681"/>
      <c r="N282" s="3682"/>
      <c r="O282" s="3701">
        <v>8</v>
      </c>
      <c r="P282" s="3464"/>
      <c r="Q282" s="3705"/>
      <c r="R282" s="3706"/>
      <c r="S282" s="3706"/>
      <c r="T282" s="3215" t="s">
        <v>20</v>
      </c>
    </row>
    <row r="283" spans="1:44" s="1041" customFormat="1" ht="30" customHeight="1">
      <c r="B283" s="992"/>
      <c r="C283" s="1408"/>
      <c r="D283" s="1124"/>
      <c r="E283" s="1125"/>
      <c r="F283" s="3704" t="s">
        <v>1930</v>
      </c>
      <c r="G283" s="3704"/>
      <c r="H283" s="3704"/>
      <c r="I283" s="3704"/>
      <c r="J283" s="3704"/>
      <c r="K283" s="3704"/>
      <c r="L283" s="3704"/>
      <c r="M283" s="3704"/>
      <c r="N283" s="3704"/>
      <c r="O283" s="3702"/>
      <c r="P283" s="3703"/>
      <c r="Q283" s="3707"/>
      <c r="R283" s="3708"/>
      <c r="S283" s="3708"/>
      <c r="T283" s="3055"/>
    </row>
    <row r="284" spans="1:44" s="988" customFormat="1" ht="150" customHeight="1" thickBot="1">
      <c r="A284" s="1008"/>
      <c r="B284" s="170"/>
      <c r="C284" s="1100" t="s">
        <v>388</v>
      </c>
      <c r="D284" s="1020"/>
      <c r="E284" s="1078"/>
      <c r="F284" s="3681" t="s">
        <v>1931</v>
      </c>
      <c r="G284" s="3681"/>
      <c r="H284" s="3681"/>
      <c r="I284" s="3681"/>
      <c r="J284" s="3681"/>
      <c r="K284" s="3681"/>
      <c r="L284" s="3681"/>
      <c r="M284" s="3681"/>
      <c r="N284" s="3681"/>
      <c r="O284" s="1205">
        <v>1</v>
      </c>
      <c r="P284" s="1012"/>
      <c r="Q284" s="3683"/>
      <c r="R284" s="3684"/>
      <c r="S284" s="3712"/>
      <c r="T284" s="1216" t="s">
        <v>20</v>
      </c>
      <c r="V284" s="1008"/>
      <c r="W284" s="1008"/>
      <c r="X284" s="1008"/>
      <c r="Y284" s="1008"/>
      <c r="Z284" s="1008"/>
      <c r="AA284" s="1008"/>
      <c r="AD284" s="1008"/>
      <c r="AE284" s="8"/>
      <c r="AF284" s="8"/>
      <c r="AG284" s="8"/>
      <c r="AH284" s="8"/>
      <c r="AI284" s="8"/>
      <c r="AJ284" s="8"/>
      <c r="AK284" s="8"/>
      <c r="AL284" s="8"/>
      <c r="AM284" s="8"/>
      <c r="AN284" s="8"/>
      <c r="AO284" s="8"/>
      <c r="AP284" s="8"/>
      <c r="AQ284" s="8"/>
      <c r="AR284" s="8"/>
    </row>
    <row r="285" spans="1:44" s="988" customFormat="1" ht="15" customHeight="1">
      <c r="A285" s="1008"/>
      <c r="B285" s="170"/>
      <c r="C285" s="1091"/>
      <c r="D285" s="1016"/>
      <c r="E285" s="163"/>
      <c r="F285" s="3696" t="s">
        <v>1934</v>
      </c>
      <c r="G285" s="3697"/>
      <c r="H285" s="3697"/>
      <c r="I285" s="3697"/>
      <c r="J285" s="3697"/>
      <c r="K285" s="3698"/>
      <c r="L285" s="1110"/>
      <c r="M285" s="1110"/>
      <c r="N285" s="1110"/>
      <c r="O285" s="1178"/>
      <c r="P285" s="695"/>
      <c r="Q285" s="3699"/>
      <c r="R285" s="3699"/>
      <c r="S285" s="3699"/>
      <c r="T285" s="1077"/>
      <c r="V285" s="1008"/>
      <c r="W285" s="1008"/>
      <c r="X285" s="1008"/>
      <c r="Y285" s="1008"/>
      <c r="Z285" s="1008"/>
      <c r="AA285" s="1008"/>
      <c r="AD285" s="1008"/>
      <c r="AE285" s="8"/>
      <c r="AF285" s="8"/>
      <c r="AG285" s="8"/>
      <c r="AH285" s="8"/>
      <c r="AI285" s="8"/>
      <c r="AJ285" s="8"/>
      <c r="AK285" s="8"/>
      <c r="AL285" s="8"/>
      <c r="AM285" s="8"/>
      <c r="AN285" s="8"/>
      <c r="AO285" s="8"/>
      <c r="AP285" s="8"/>
      <c r="AQ285" s="8"/>
      <c r="AR285" s="8"/>
    </row>
    <row r="286" spans="1:44" s="988" customFormat="1" ht="30" customHeight="1">
      <c r="A286" s="1008"/>
      <c r="B286" s="170"/>
      <c r="C286" s="1091"/>
      <c r="D286" s="1016"/>
      <c r="E286" s="163"/>
      <c r="F286" s="3720" t="s">
        <v>1932</v>
      </c>
      <c r="G286" s="3721"/>
      <c r="H286" s="3721"/>
      <c r="I286" s="3722" t="s">
        <v>1935</v>
      </c>
      <c r="J286" s="3722"/>
      <c r="K286" s="3723"/>
      <c r="L286" s="1110"/>
      <c r="M286" s="1110"/>
      <c r="N286" s="1110"/>
      <c r="O286" s="1178"/>
      <c r="P286" s="695"/>
      <c r="Q286" s="3699"/>
      <c r="R286" s="3699"/>
      <c r="S286" s="3699"/>
      <c r="T286" s="1077"/>
      <c r="V286" s="1008"/>
      <c r="W286" s="1008"/>
      <c r="X286" s="1008"/>
      <c r="Y286" s="1008"/>
      <c r="Z286" s="1008"/>
      <c r="AA286" s="1008"/>
      <c r="AD286" s="1008"/>
      <c r="AE286" s="8"/>
      <c r="AF286" s="8"/>
      <c r="AG286" s="8"/>
      <c r="AH286" s="8"/>
      <c r="AI286" s="8"/>
      <c r="AJ286" s="8"/>
      <c r="AK286" s="8"/>
      <c r="AL286" s="8"/>
      <c r="AM286" s="8"/>
      <c r="AN286" s="8"/>
      <c r="AO286" s="8"/>
      <c r="AP286" s="8"/>
      <c r="AQ286" s="8"/>
      <c r="AR286" s="8"/>
    </row>
    <row r="287" spans="1:44" s="988" customFormat="1" ht="15" customHeight="1">
      <c r="A287" s="1008"/>
      <c r="B287" s="170"/>
      <c r="C287" s="1091"/>
      <c r="D287" s="1016"/>
      <c r="E287" s="163"/>
      <c r="F287" s="3724" t="s">
        <v>1933</v>
      </c>
      <c r="G287" s="3725"/>
      <c r="H287" s="3725"/>
      <c r="I287" s="3728">
        <v>30</v>
      </c>
      <c r="J287" s="3728"/>
      <c r="K287" s="3729"/>
      <c r="L287" s="1110"/>
      <c r="M287" s="1110"/>
      <c r="N287" s="1110"/>
      <c r="O287" s="1178"/>
      <c r="P287" s="695"/>
      <c r="Q287" s="3699"/>
      <c r="R287" s="3699"/>
      <c r="S287" s="3699"/>
      <c r="T287" s="1077"/>
      <c r="V287" s="1008"/>
      <c r="W287" s="1008"/>
      <c r="X287" s="1008"/>
      <c r="Y287" s="1008"/>
      <c r="Z287" s="1008"/>
      <c r="AA287" s="1008"/>
      <c r="AD287" s="1008"/>
      <c r="AE287" s="8"/>
      <c r="AF287" s="8"/>
      <c r="AG287" s="8"/>
      <c r="AH287" s="8"/>
      <c r="AI287" s="8"/>
      <c r="AJ287" s="8"/>
      <c r="AK287" s="8"/>
      <c r="AL287" s="8"/>
      <c r="AM287" s="8"/>
      <c r="AN287" s="8"/>
      <c r="AO287" s="8"/>
      <c r="AP287" s="8"/>
      <c r="AQ287" s="8"/>
      <c r="AR287" s="8"/>
    </row>
    <row r="288" spans="1:44" s="988" customFormat="1" ht="15" customHeight="1">
      <c r="A288" s="1008"/>
      <c r="B288" s="170"/>
      <c r="C288" s="1091"/>
      <c r="D288" s="1016"/>
      <c r="E288" s="163"/>
      <c r="F288" s="3724" t="s">
        <v>1232</v>
      </c>
      <c r="G288" s="3725"/>
      <c r="H288" s="3725"/>
      <c r="I288" s="3728">
        <v>20</v>
      </c>
      <c r="J288" s="3728"/>
      <c r="K288" s="3729"/>
      <c r="L288" s="1110"/>
      <c r="M288" s="1110"/>
      <c r="N288" s="1110"/>
      <c r="O288" s="1178"/>
      <c r="P288" s="695"/>
      <c r="Q288" s="3699"/>
      <c r="R288" s="3699"/>
      <c r="S288" s="3699"/>
      <c r="T288" s="1077"/>
      <c r="V288" s="1008"/>
      <c r="W288" s="1008"/>
      <c r="X288" s="1008"/>
      <c r="Y288" s="1008"/>
      <c r="Z288" s="1008"/>
      <c r="AA288" s="1008"/>
      <c r="AD288" s="1008"/>
      <c r="AE288" s="8"/>
      <c r="AF288" s="8"/>
      <c r="AG288" s="8"/>
      <c r="AH288" s="8"/>
      <c r="AI288" s="8"/>
      <c r="AJ288" s="8"/>
      <c r="AK288" s="8"/>
      <c r="AL288" s="8"/>
      <c r="AM288" s="8"/>
      <c r="AN288" s="8"/>
      <c r="AO288" s="8"/>
      <c r="AP288" s="8"/>
      <c r="AQ288" s="8"/>
      <c r="AR288" s="8"/>
    </row>
    <row r="289" spans="1:44" s="988" customFormat="1" ht="15" customHeight="1" thickBot="1">
      <c r="A289" s="1008"/>
      <c r="B289" s="170"/>
      <c r="C289" s="1091"/>
      <c r="D289" s="1016"/>
      <c r="E289" s="163"/>
      <c r="F289" s="3726" t="s">
        <v>1234</v>
      </c>
      <c r="G289" s="3727"/>
      <c r="H289" s="3727"/>
      <c r="I289" s="3694">
        <v>10</v>
      </c>
      <c r="J289" s="3694"/>
      <c r="K289" s="3695"/>
      <c r="L289" s="1110"/>
      <c r="M289" s="1110"/>
      <c r="N289" s="1110"/>
      <c r="O289" s="1178"/>
      <c r="P289" s="695"/>
      <c r="Q289" s="3699"/>
      <c r="R289" s="3699"/>
      <c r="S289" s="3699"/>
      <c r="T289" s="1077"/>
      <c r="V289" s="1008"/>
      <c r="W289" s="1008"/>
      <c r="X289" s="1008"/>
      <c r="Y289" s="1008"/>
      <c r="Z289" s="1008"/>
      <c r="AA289" s="1008"/>
      <c r="AD289" s="1008"/>
      <c r="AE289" s="8"/>
      <c r="AF289" s="8"/>
      <c r="AG289" s="8"/>
      <c r="AH289" s="8"/>
      <c r="AI289" s="8"/>
      <c r="AJ289" s="8"/>
      <c r="AK289" s="8"/>
      <c r="AL289" s="8"/>
      <c r="AM289" s="8"/>
      <c r="AN289" s="8"/>
      <c r="AO289" s="8"/>
      <c r="AP289" s="8"/>
      <c r="AQ289" s="8"/>
      <c r="AR289" s="8"/>
    </row>
    <row r="290" spans="1:44" s="988" customFormat="1" ht="30" customHeight="1">
      <c r="A290" s="1008"/>
      <c r="B290" s="170"/>
      <c r="C290" s="1091"/>
      <c r="D290" s="1016"/>
      <c r="E290" s="163"/>
      <c r="F290" s="3700" t="s">
        <v>1936</v>
      </c>
      <c r="G290" s="3700"/>
      <c r="H290" s="3700"/>
      <c r="I290" s="3700"/>
      <c r="J290" s="3700"/>
      <c r="K290" s="3700"/>
      <c r="L290" s="3700"/>
      <c r="M290" s="3700"/>
      <c r="N290" s="3700"/>
      <c r="O290" s="1178"/>
      <c r="P290" s="695"/>
      <c r="Q290" s="3699"/>
      <c r="R290" s="3699"/>
      <c r="S290" s="3699"/>
      <c r="T290" s="1077"/>
      <c r="V290" s="1008"/>
      <c r="W290" s="1008"/>
      <c r="X290" s="1008"/>
      <c r="Y290" s="1008"/>
      <c r="Z290" s="1008"/>
      <c r="AA290" s="1008"/>
      <c r="AD290" s="1008"/>
      <c r="AE290" s="8"/>
      <c r="AF290" s="8"/>
      <c r="AG290" s="8"/>
      <c r="AH290" s="8"/>
      <c r="AI290" s="8"/>
      <c r="AJ290" s="8"/>
      <c r="AK290" s="8"/>
      <c r="AL290" s="8"/>
      <c r="AM290" s="8"/>
      <c r="AN290" s="8"/>
      <c r="AO290" s="8"/>
      <c r="AP290" s="8"/>
      <c r="AQ290" s="8"/>
      <c r="AR290" s="8"/>
    </row>
    <row r="291" spans="1:44" s="1008" customFormat="1" ht="16.5" customHeight="1">
      <c r="B291" s="170"/>
      <c r="C291" s="4103" t="s">
        <v>2870</v>
      </c>
      <c r="D291" s="4104"/>
      <c r="E291" s="4104"/>
      <c r="F291" s="4104"/>
      <c r="G291" s="4104"/>
      <c r="H291" s="4104"/>
      <c r="I291" s="4104"/>
      <c r="J291" s="4104"/>
      <c r="K291" s="4104"/>
      <c r="L291" s="4104"/>
      <c r="M291" s="4104"/>
      <c r="N291" s="4104"/>
      <c r="O291" s="1868" t="str">
        <f>IF(Formulas!C176&gt;=2,"been met.","not yet been met.")</f>
        <v>not yet been met.</v>
      </c>
      <c r="P291" s="1865"/>
      <c r="Q291" s="1863"/>
      <c r="R291" s="1863"/>
      <c r="S291" s="1863"/>
      <c r="T291" s="1077"/>
      <c r="AE291" s="8"/>
      <c r="AF291" s="8"/>
      <c r="AG291" s="8"/>
      <c r="AH291" s="8"/>
      <c r="AI291" s="8"/>
      <c r="AJ291" s="8"/>
      <c r="AK291" s="8"/>
      <c r="AL291" s="8"/>
      <c r="AM291" s="8"/>
      <c r="AN291" s="8"/>
      <c r="AO291" s="8"/>
      <c r="AP291" s="8"/>
      <c r="AQ291" s="8"/>
      <c r="AR291" s="8"/>
    </row>
    <row r="292" spans="1:44" ht="15" customHeight="1">
      <c r="C292" s="3716" t="s">
        <v>395</v>
      </c>
      <c r="D292" s="3717"/>
      <c r="E292" s="3717"/>
      <c r="F292" s="3717"/>
      <c r="G292" s="3717"/>
      <c r="H292" s="3717"/>
      <c r="I292" s="3717"/>
      <c r="J292" s="3717"/>
      <c r="K292" s="3717"/>
      <c r="L292" s="3717"/>
      <c r="M292" s="3717"/>
      <c r="N292" s="3717"/>
      <c r="O292" s="3717"/>
      <c r="P292" s="3717"/>
      <c r="Q292" s="3717"/>
      <c r="R292" s="3717"/>
      <c r="S292" s="3717"/>
      <c r="T292" s="3718"/>
    </row>
    <row r="293" spans="1:44" ht="45" customHeight="1">
      <c r="C293" s="1002">
        <v>705.1</v>
      </c>
      <c r="D293" s="1016"/>
      <c r="E293" s="1003"/>
      <c r="F293" s="3719" t="s">
        <v>1937</v>
      </c>
      <c r="G293" s="3719"/>
      <c r="H293" s="3719"/>
      <c r="I293" s="3719"/>
      <c r="J293" s="3719"/>
      <c r="K293" s="3719"/>
      <c r="L293" s="3719"/>
      <c r="M293" s="3719"/>
      <c r="N293" s="3719"/>
      <c r="O293" s="1178" t="s">
        <v>396</v>
      </c>
      <c r="P293" s="1206">
        <f>IF(SUM(P294:P296)&gt;7, 7, SUM(P294:P296))</f>
        <v>0</v>
      </c>
      <c r="Q293" s="3486"/>
      <c r="R293" s="3486"/>
      <c r="S293" s="3486"/>
      <c r="T293" s="3055" t="s">
        <v>20</v>
      </c>
    </row>
    <row r="294" spans="1:44">
      <c r="C294" s="1091"/>
      <c r="D294" s="1025">
        <v>1</v>
      </c>
      <c r="E294" s="164"/>
      <c r="F294" s="3786" t="s">
        <v>397</v>
      </c>
      <c r="G294" s="3786"/>
      <c r="H294" s="3786"/>
      <c r="I294" s="3786"/>
      <c r="J294" s="3786"/>
      <c r="K294" s="3786"/>
      <c r="L294" s="3786"/>
      <c r="M294" s="3786"/>
      <c r="N294" s="3786"/>
      <c r="O294" s="1137">
        <v>1</v>
      </c>
      <c r="P294" s="509"/>
      <c r="Q294" s="3486"/>
      <c r="R294" s="3486"/>
      <c r="S294" s="3486"/>
      <c r="T294" s="3055"/>
    </row>
    <row r="295" spans="1:44">
      <c r="C295" s="1091"/>
      <c r="D295" s="818">
        <v>2</v>
      </c>
      <c r="E295" s="1193"/>
      <c r="F295" s="3831" t="s">
        <v>398</v>
      </c>
      <c r="G295" s="3831"/>
      <c r="H295" s="3831"/>
      <c r="I295" s="3831"/>
      <c r="J295" s="3831"/>
      <c r="K295" s="3831"/>
      <c r="L295" s="3831"/>
      <c r="M295" s="3831"/>
      <c r="N295" s="3831"/>
      <c r="O295" s="1179">
        <v>2</v>
      </c>
      <c r="P295" s="509"/>
      <c r="Q295" s="3486"/>
      <c r="R295" s="3486"/>
      <c r="S295" s="3486"/>
      <c r="T295" s="3055"/>
    </row>
    <row r="296" spans="1:44" ht="15" customHeight="1" thickBot="1">
      <c r="C296" s="1091"/>
      <c r="D296" s="1019">
        <v>3</v>
      </c>
      <c r="E296" s="165"/>
      <c r="F296" s="3687" t="s">
        <v>399</v>
      </c>
      <c r="G296" s="3687"/>
      <c r="H296" s="3687"/>
      <c r="I296" s="3687"/>
      <c r="J296" s="3687"/>
      <c r="K296" s="3687"/>
      <c r="L296" s="3687"/>
      <c r="M296" s="3687"/>
      <c r="N296" s="3687"/>
      <c r="O296" s="1049">
        <v>4</v>
      </c>
      <c r="P296" s="510"/>
      <c r="Q296" s="3709"/>
      <c r="R296" s="3709"/>
      <c r="S296" s="3709"/>
      <c r="T296" s="3205"/>
    </row>
    <row r="297" spans="1:44" ht="30" customHeight="1" thickTop="1">
      <c r="C297" s="185">
        <v>705.2</v>
      </c>
      <c r="D297" s="186"/>
      <c r="E297" s="1207"/>
      <c r="F297" s="3784" t="s">
        <v>400</v>
      </c>
      <c r="G297" s="3784"/>
      <c r="H297" s="3784"/>
      <c r="I297" s="3784"/>
      <c r="J297" s="3784"/>
      <c r="K297" s="3784"/>
      <c r="L297" s="3784"/>
      <c r="M297" s="3784"/>
      <c r="N297" s="3784"/>
      <c r="O297" s="1208"/>
      <c r="P297" s="1209"/>
      <c r="Q297" s="3713"/>
      <c r="R297" s="3713"/>
      <c r="S297" s="3714"/>
      <c r="T297" s="929"/>
    </row>
    <row r="298" spans="1:44" ht="39" customHeight="1">
      <c r="C298" s="1091"/>
      <c r="D298" s="1019">
        <v>1</v>
      </c>
      <c r="E298" s="165"/>
      <c r="F298" s="3687" t="s">
        <v>1938</v>
      </c>
      <c r="G298" s="3719"/>
      <c r="H298" s="3719"/>
      <c r="I298" s="3719"/>
      <c r="J298" s="3719"/>
      <c r="K298" s="3719"/>
      <c r="L298" s="3719"/>
      <c r="M298" s="3719"/>
      <c r="N298" s="3719"/>
      <c r="O298" s="1049">
        <v>1</v>
      </c>
      <c r="P298" s="510"/>
      <c r="Q298" s="3633"/>
      <c r="R298" s="3486"/>
      <c r="S298" s="3486"/>
      <c r="T298" s="3055" t="s">
        <v>20</v>
      </c>
    </row>
    <row r="299" spans="1:44" ht="39" customHeight="1">
      <c r="C299" s="1091"/>
      <c r="D299" s="809">
        <v>2</v>
      </c>
      <c r="E299" s="1210"/>
      <c r="F299" s="3681" t="s">
        <v>1939</v>
      </c>
      <c r="G299" s="3681"/>
      <c r="H299" s="3681"/>
      <c r="I299" s="3681"/>
      <c r="J299" s="3681"/>
      <c r="K299" s="3681"/>
      <c r="L299" s="3681"/>
      <c r="M299" s="3681"/>
      <c r="N299" s="3681"/>
      <c r="O299" s="1101"/>
      <c r="P299" s="3315"/>
      <c r="Q299" s="3684"/>
      <c r="R299" s="3684"/>
      <c r="S299" s="3684"/>
      <c r="T299" s="3055"/>
    </row>
    <row r="300" spans="1:44" s="988" customFormat="1" ht="30" customHeight="1">
      <c r="A300" s="1008"/>
      <c r="B300" s="170"/>
      <c r="C300" s="1091"/>
      <c r="D300" s="1019"/>
      <c r="E300" s="165" t="s">
        <v>390</v>
      </c>
      <c r="F300" s="3687" t="s">
        <v>1940</v>
      </c>
      <c r="G300" s="3687"/>
      <c r="H300" s="3687"/>
      <c r="I300" s="3687"/>
      <c r="J300" s="3687"/>
      <c r="K300" s="3687"/>
      <c r="L300" s="3687"/>
      <c r="M300" s="3687"/>
      <c r="N300" s="3687"/>
      <c r="O300" s="1049">
        <v>1</v>
      </c>
      <c r="P300" s="3316"/>
      <c r="Q300" s="3486"/>
      <c r="R300" s="3486"/>
      <c r="S300" s="3486"/>
      <c r="T300" s="3055"/>
      <c r="V300" s="1008"/>
      <c r="W300" s="1008"/>
      <c r="X300" s="1008"/>
      <c r="Y300" s="1008"/>
      <c r="Z300" s="1008"/>
      <c r="AA300" s="1008"/>
      <c r="AD300" s="1008"/>
      <c r="AE300" s="8"/>
      <c r="AF300" s="8"/>
      <c r="AG300" s="8"/>
      <c r="AH300" s="8"/>
      <c r="AI300" s="8"/>
      <c r="AJ300" s="8"/>
      <c r="AK300" s="8"/>
      <c r="AL300" s="8"/>
      <c r="AM300" s="8"/>
      <c r="AN300" s="8"/>
      <c r="AO300" s="8"/>
      <c r="AP300" s="8"/>
      <c r="AQ300" s="8"/>
      <c r="AR300" s="8"/>
    </row>
    <row r="301" spans="1:44" s="988" customFormat="1" ht="30" customHeight="1" thickBot="1">
      <c r="A301" s="1008"/>
      <c r="B301" s="170"/>
      <c r="C301" s="1091"/>
      <c r="D301" s="1019"/>
      <c r="E301" s="165" t="s">
        <v>391</v>
      </c>
      <c r="F301" s="3816" t="s">
        <v>1941</v>
      </c>
      <c r="G301" s="3816"/>
      <c r="H301" s="3816"/>
      <c r="I301" s="3816"/>
      <c r="J301" s="3816"/>
      <c r="K301" s="3816"/>
      <c r="L301" s="3816"/>
      <c r="M301" s="3816"/>
      <c r="N301" s="3816"/>
      <c r="O301" s="1049">
        <v>5</v>
      </c>
      <c r="P301" s="875">
        <f>score705.2_2</f>
        <v>0</v>
      </c>
      <c r="Q301" s="3715"/>
      <c r="R301" s="3715"/>
      <c r="S301" s="3715"/>
      <c r="T301" s="3680"/>
      <c r="V301" s="1008"/>
      <c r="W301" s="1008"/>
      <c r="X301" s="1008"/>
      <c r="Y301" s="1008"/>
      <c r="Z301" s="1008"/>
      <c r="AA301" s="1008"/>
      <c r="AD301" s="1008"/>
      <c r="AE301" s="8"/>
      <c r="AF301" s="8"/>
      <c r="AG301" s="8"/>
      <c r="AH301" s="8"/>
      <c r="AI301" s="8"/>
      <c r="AJ301" s="8"/>
      <c r="AK301" s="8"/>
      <c r="AL301" s="8"/>
      <c r="AM301" s="8"/>
      <c r="AN301" s="8"/>
      <c r="AO301" s="8"/>
      <c r="AP301" s="8"/>
      <c r="AQ301" s="8"/>
      <c r="AR301" s="8"/>
    </row>
    <row r="302" spans="1:44" s="988" customFormat="1" ht="35.25" customHeight="1" thickTop="1">
      <c r="A302" s="1008"/>
      <c r="B302" s="170"/>
      <c r="C302" s="185">
        <v>705.3</v>
      </c>
      <c r="D302" s="186"/>
      <c r="E302" s="1207"/>
      <c r="F302" s="3784" t="s">
        <v>1952</v>
      </c>
      <c r="G302" s="3784"/>
      <c r="H302" s="3784"/>
      <c r="I302" s="3784"/>
      <c r="J302" s="3784"/>
      <c r="K302" s="3784"/>
      <c r="L302" s="3784"/>
      <c r="M302" s="3784"/>
      <c r="N302" s="3784"/>
      <c r="O302" s="3832" t="s">
        <v>1945</v>
      </c>
      <c r="P302" s="1211">
        <f>IF(COUNTBLANK(P303:P310)&gt;5,0,IF(COUNTBLANK(P303:P310)&lt;3,2,1))</f>
        <v>0</v>
      </c>
      <c r="Q302" s="3484"/>
      <c r="R302" s="3484"/>
      <c r="S302" s="3484"/>
      <c r="T302" s="3685" t="s">
        <v>20</v>
      </c>
      <c r="V302" s="1008"/>
      <c r="W302" s="1008"/>
      <c r="X302" s="1008"/>
      <c r="Y302" s="1008"/>
      <c r="Z302" s="1008"/>
      <c r="AA302" s="1008"/>
      <c r="AD302" s="1008"/>
      <c r="AE302" s="8"/>
      <c r="AF302" s="8"/>
      <c r="AG302" s="8"/>
      <c r="AH302" s="8"/>
      <c r="AI302" s="8"/>
      <c r="AJ302" s="8"/>
      <c r="AK302" s="8"/>
      <c r="AL302" s="8"/>
      <c r="AM302" s="8"/>
      <c r="AN302" s="8"/>
      <c r="AO302" s="8"/>
      <c r="AP302" s="8"/>
      <c r="AQ302" s="8"/>
      <c r="AR302" s="8"/>
    </row>
    <row r="303" spans="1:44" s="988" customFormat="1" ht="15" customHeight="1">
      <c r="A303" s="1008"/>
      <c r="B303" s="170"/>
      <c r="C303" s="1002"/>
      <c r="D303" s="1016"/>
      <c r="E303" s="1019">
        <v>1</v>
      </c>
      <c r="F303" s="3687" t="s">
        <v>1867</v>
      </c>
      <c r="G303" s="3687"/>
      <c r="H303" s="3687"/>
      <c r="I303" s="3687"/>
      <c r="J303" s="3687"/>
      <c r="K303" s="3687"/>
      <c r="L303" s="3687"/>
      <c r="M303" s="3687"/>
      <c r="N303" s="3687"/>
      <c r="O303" s="3702"/>
      <c r="P303" s="1756"/>
      <c r="Q303" s="3486"/>
      <c r="R303" s="3486"/>
      <c r="S303" s="3486"/>
      <c r="T303" s="3686"/>
      <c r="V303" s="1008"/>
      <c r="W303" s="1008"/>
      <c r="X303" s="1008"/>
      <c r="Y303" s="1008"/>
      <c r="Z303" s="1008"/>
      <c r="AA303" s="1008"/>
      <c r="AD303" s="1008"/>
      <c r="AE303" s="8"/>
      <c r="AF303" s="8"/>
      <c r="AG303" s="8"/>
      <c r="AH303" s="8"/>
      <c r="AI303" s="8"/>
      <c r="AJ303" s="8"/>
      <c r="AK303" s="8"/>
      <c r="AL303" s="8"/>
      <c r="AM303" s="8"/>
      <c r="AN303" s="8"/>
      <c r="AO303" s="8"/>
      <c r="AP303" s="8"/>
      <c r="AQ303" s="8"/>
      <c r="AR303" s="8"/>
    </row>
    <row r="304" spans="1:44" s="988" customFormat="1" ht="15" customHeight="1">
      <c r="A304" s="1008"/>
      <c r="B304" s="170"/>
      <c r="C304" s="1002"/>
      <c r="D304" s="1016"/>
      <c r="E304" s="1019">
        <v>2</v>
      </c>
      <c r="F304" s="3687" t="s">
        <v>1946</v>
      </c>
      <c r="G304" s="3687"/>
      <c r="H304" s="3687"/>
      <c r="I304" s="3687"/>
      <c r="J304" s="3687"/>
      <c r="K304" s="3687"/>
      <c r="L304" s="3687"/>
      <c r="M304" s="3687"/>
      <c r="N304" s="3687"/>
      <c r="O304" s="3702"/>
      <c r="P304" s="1756"/>
      <c r="Q304" s="3486"/>
      <c r="R304" s="3486"/>
      <c r="S304" s="3486"/>
      <c r="T304" s="3686"/>
      <c r="V304" s="1008"/>
      <c r="W304" s="1008"/>
      <c r="X304" s="1008"/>
      <c r="Y304" s="1008"/>
      <c r="Z304" s="1008"/>
      <c r="AA304" s="1008"/>
      <c r="AD304" s="1008"/>
      <c r="AE304" s="8"/>
      <c r="AF304" s="8"/>
      <c r="AG304" s="8"/>
      <c r="AH304" s="8"/>
      <c r="AI304" s="8"/>
      <c r="AJ304" s="8"/>
      <c r="AK304" s="8"/>
      <c r="AL304" s="8"/>
      <c r="AM304" s="8"/>
      <c r="AN304" s="8"/>
      <c r="AO304" s="8"/>
      <c r="AP304" s="8"/>
      <c r="AQ304" s="8"/>
      <c r="AR304" s="8"/>
    </row>
    <row r="305" spans="1:44" s="988" customFormat="1" ht="15" customHeight="1">
      <c r="A305" s="1008"/>
      <c r="B305" s="170"/>
      <c r="C305" s="1002"/>
      <c r="D305" s="1016"/>
      <c r="E305" s="1019">
        <v>3</v>
      </c>
      <c r="F305" s="3687" t="s">
        <v>1868</v>
      </c>
      <c r="G305" s="3687"/>
      <c r="H305" s="3687"/>
      <c r="I305" s="3687"/>
      <c r="J305" s="3687"/>
      <c r="K305" s="3687"/>
      <c r="L305" s="3687"/>
      <c r="M305" s="3687"/>
      <c r="N305" s="3687"/>
      <c r="O305" s="3702"/>
      <c r="P305" s="1756"/>
      <c r="Q305" s="3486"/>
      <c r="R305" s="3486"/>
      <c r="S305" s="3486"/>
      <c r="T305" s="3686"/>
      <c r="V305" s="1008"/>
      <c r="W305" s="1008"/>
      <c r="X305" s="1008"/>
      <c r="Y305" s="1008"/>
      <c r="Z305" s="1008"/>
      <c r="AA305" s="1008"/>
      <c r="AD305" s="1008"/>
      <c r="AE305" s="8"/>
      <c r="AF305" s="8"/>
      <c r="AG305" s="8"/>
      <c r="AH305" s="8"/>
      <c r="AI305" s="8"/>
      <c r="AJ305" s="8"/>
      <c r="AK305" s="8"/>
      <c r="AL305" s="8"/>
      <c r="AM305" s="8"/>
      <c r="AN305" s="8"/>
      <c r="AO305" s="8"/>
      <c r="AP305" s="8"/>
      <c r="AQ305" s="8"/>
      <c r="AR305" s="8"/>
    </row>
    <row r="306" spans="1:44" s="988" customFormat="1" ht="15" customHeight="1">
      <c r="A306" s="1008"/>
      <c r="B306" s="170"/>
      <c r="C306" s="1002"/>
      <c r="D306" s="1016"/>
      <c r="E306" s="1019">
        <v>4</v>
      </c>
      <c r="F306" s="3687" t="s">
        <v>1947</v>
      </c>
      <c r="G306" s="3687"/>
      <c r="H306" s="3687"/>
      <c r="I306" s="3687"/>
      <c r="J306" s="3687"/>
      <c r="K306" s="3687"/>
      <c r="L306" s="3687"/>
      <c r="M306" s="3687"/>
      <c r="N306" s="3687"/>
      <c r="O306" s="3702"/>
      <c r="P306" s="1756"/>
      <c r="Q306" s="3486"/>
      <c r="R306" s="3486"/>
      <c r="S306" s="3486"/>
      <c r="T306" s="3686"/>
      <c r="V306" s="1008"/>
      <c r="W306" s="1008"/>
      <c r="X306" s="1008"/>
      <c r="Y306" s="1008"/>
      <c r="Z306" s="1008"/>
      <c r="AA306" s="1008"/>
      <c r="AD306" s="1008"/>
      <c r="AE306" s="8"/>
      <c r="AF306" s="8"/>
      <c r="AG306" s="8"/>
      <c r="AH306" s="8"/>
      <c r="AI306" s="8"/>
      <c r="AJ306" s="8"/>
      <c r="AK306" s="8"/>
      <c r="AL306" s="8"/>
      <c r="AM306" s="8"/>
      <c r="AN306" s="8"/>
      <c r="AO306" s="8"/>
      <c r="AP306" s="8"/>
      <c r="AQ306" s="8"/>
      <c r="AR306" s="8"/>
    </row>
    <row r="307" spans="1:44" s="988" customFormat="1" ht="15" customHeight="1">
      <c r="A307" s="1008"/>
      <c r="B307" s="170"/>
      <c r="C307" s="1002"/>
      <c r="D307" s="1016"/>
      <c r="E307" s="1019">
        <v>5</v>
      </c>
      <c r="F307" s="3687" t="s">
        <v>1948</v>
      </c>
      <c r="G307" s="3687"/>
      <c r="H307" s="3687"/>
      <c r="I307" s="3687"/>
      <c r="J307" s="3687"/>
      <c r="K307" s="3687"/>
      <c r="L307" s="3687"/>
      <c r="M307" s="3687"/>
      <c r="N307" s="3687"/>
      <c r="O307" s="3702"/>
      <c r="P307" s="1756"/>
      <c r="Q307" s="3486"/>
      <c r="R307" s="3486"/>
      <c r="S307" s="3486"/>
      <c r="T307" s="3686"/>
      <c r="V307" s="1008"/>
      <c r="W307" s="1008"/>
      <c r="X307" s="1008"/>
      <c r="Y307" s="1008"/>
      <c r="Z307" s="1008"/>
      <c r="AA307" s="1008"/>
      <c r="AD307" s="1008"/>
      <c r="AE307" s="8"/>
      <c r="AF307" s="8"/>
      <c r="AG307" s="8"/>
      <c r="AH307" s="8"/>
      <c r="AI307" s="8"/>
      <c r="AJ307" s="8"/>
      <c r="AK307" s="8"/>
      <c r="AL307" s="8"/>
      <c r="AM307" s="8"/>
      <c r="AN307" s="8"/>
      <c r="AO307" s="8"/>
      <c r="AP307" s="8"/>
      <c r="AQ307" s="8"/>
      <c r="AR307" s="8"/>
    </row>
    <row r="308" spans="1:44" s="988" customFormat="1" ht="15" customHeight="1">
      <c r="A308" s="1008"/>
      <c r="B308" s="170"/>
      <c r="C308" s="1002"/>
      <c r="D308" s="1016"/>
      <c r="E308" s="1019">
        <v>6</v>
      </c>
      <c r="F308" s="3687" t="s">
        <v>1949</v>
      </c>
      <c r="G308" s="3687"/>
      <c r="H308" s="3687"/>
      <c r="I308" s="3687"/>
      <c r="J308" s="3687"/>
      <c r="K308" s="3687"/>
      <c r="L308" s="3687"/>
      <c r="M308" s="3687"/>
      <c r="N308" s="3687"/>
      <c r="O308" s="3702"/>
      <c r="P308" s="1756"/>
      <c r="Q308" s="3486"/>
      <c r="R308" s="3486"/>
      <c r="S308" s="3486"/>
      <c r="T308" s="3686"/>
      <c r="V308" s="1008"/>
      <c r="W308" s="1008"/>
      <c r="X308" s="1008"/>
      <c r="Y308" s="1008"/>
      <c r="Z308" s="1008"/>
      <c r="AA308" s="1008"/>
      <c r="AD308" s="1008"/>
      <c r="AE308" s="8"/>
      <c r="AF308" s="8"/>
      <c r="AG308" s="8"/>
      <c r="AH308" s="8"/>
      <c r="AI308" s="8"/>
      <c r="AJ308" s="8"/>
      <c r="AK308" s="8"/>
      <c r="AL308" s="8"/>
      <c r="AM308" s="8"/>
      <c r="AN308" s="8"/>
      <c r="AO308" s="8"/>
      <c r="AP308" s="8"/>
      <c r="AQ308" s="8"/>
      <c r="AR308" s="8"/>
    </row>
    <row r="309" spans="1:44" s="988" customFormat="1" ht="15" customHeight="1">
      <c r="A309" s="1008"/>
      <c r="B309" s="170"/>
      <c r="C309" s="1002"/>
      <c r="D309" s="1016"/>
      <c r="E309" s="1019">
        <v>7</v>
      </c>
      <c r="F309" s="3687" t="s">
        <v>128</v>
      </c>
      <c r="G309" s="3687"/>
      <c r="H309" s="3687"/>
      <c r="I309" s="3687"/>
      <c r="J309" s="3687"/>
      <c r="K309" s="3687"/>
      <c r="L309" s="3687"/>
      <c r="M309" s="3687"/>
      <c r="N309" s="3687"/>
      <c r="O309" s="3702"/>
      <c r="P309" s="1756"/>
      <c r="Q309" s="3486"/>
      <c r="R309" s="3486"/>
      <c r="S309" s="3486"/>
      <c r="T309" s="3686"/>
      <c r="V309" s="1008"/>
      <c r="W309" s="1008"/>
      <c r="X309" s="1008"/>
      <c r="Y309" s="1008"/>
      <c r="Z309" s="1008"/>
      <c r="AA309" s="1008"/>
      <c r="AD309" s="1008"/>
      <c r="AE309" s="8"/>
      <c r="AF309" s="8"/>
      <c r="AG309" s="8"/>
      <c r="AH309" s="8"/>
      <c r="AI309" s="8"/>
      <c r="AJ309" s="8"/>
      <c r="AK309" s="8"/>
      <c r="AL309" s="8"/>
      <c r="AM309" s="8"/>
      <c r="AN309" s="8"/>
      <c r="AO309" s="8"/>
      <c r="AP309" s="8"/>
      <c r="AQ309" s="8"/>
      <c r="AR309" s="8"/>
    </row>
    <row r="310" spans="1:44" s="988" customFormat="1" ht="15" customHeight="1">
      <c r="A310" s="1008"/>
      <c r="B310" s="170"/>
      <c r="C310" s="1002"/>
      <c r="D310" s="1016"/>
      <c r="E310" s="1019">
        <v>8</v>
      </c>
      <c r="F310" s="3687" t="s">
        <v>1950</v>
      </c>
      <c r="G310" s="3687"/>
      <c r="H310" s="3687"/>
      <c r="I310" s="3687"/>
      <c r="J310" s="3687"/>
      <c r="K310" s="3687"/>
      <c r="L310" s="3687"/>
      <c r="M310" s="3687"/>
      <c r="N310" s="3687"/>
      <c r="O310" s="3702"/>
      <c r="P310" s="1755"/>
      <c r="Q310" s="3486"/>
      <c r="R310" s="3486"/>
      <c r="S310" s="3486"/>
      <c r="T310" s="3686"/>
      <c r="V310" s="1008"/>
      <c r="W310" s="1008"/>
      <c r="X310" s="1008"/>
      <c r="Y310" s="1008"/>
      <c r="Z310" s="1008"/>
      <c r="AA310" s="1008"/>
      <c r="AD310" s="1008"/>
      <c r="AE310" s="8"/>
      <c r="AF310" s="8"/>
      <c r="AG310" s="8"/>
      <c r="AH310" s="8"/>
      <c r="AI310" s="8"/>
      <c r="AJ310" s="8"/>
      <c r="AK310" s="8"/>
      <c r="AL310" s="8"/>
      <c r="AM310" s="8"/>
      <c r="AN310" s="8"/>
      <c r="AO310" s="8"/>
      <c r="AP310" s="8"/>
      <c r="AQ310" s="8"/>
      <c r="AR310" s="8"/>
    </row>
    <row r="311" spans="1:44" s="988" customFormat="1" ht="15" customHeight="1">
      <c r="A311" s="1008"/>
      <c r="B311" s="170"/>
      <c r="C311" s="655">
        <v>705.4</v>
      </c>
      <c r="D311" s="1020"/>
      <c r="E311" s="809"/>
      <c r="F311" s="3688" t="s">
        <v>1953</v>
      </c>
      <c r="G311" s="3688"/>
      <c r="H311" s="3688"/>
      <c r="I311" s="3688"/>
      <c r="J311" s="3688"/>
      <c r="K311" s="3688"/>
      <c r="L311" s="3688"/>
      <c r="M311" s="3688"/>
      <c r="N311" s="3688"/>
      <c r="O311" s="1101"/>
      <c r="P311" s="161"/>
      <c r="Q311" s="1212"/>
      <c r="R311" s="1212"/>
      <c r="S311" s="1212"/>
      <c r="T311" s="1249"/>
      <c r="V311" s="1008"/>
      <c r="W311" s="1008"/>
      <c r="X311" s="1008"/>
      <c r="Y311" s="1008"/>
      <c r="Z311" s="1008"/>
      <c r="AA311" s="1008"/>
      <c r="AD311" s="1008"/>
      <c r="AE311" s="8"/>
      <c r="AF311" s="8"/>
      <c r="AG311" s="8"/>
      <c r="AH311" s="8"/>
      <c r="AI311" s="8"/>
      <c r="AJ311" s="8"/>
      <c r="AK311" s="8"/>
      <c r="AL311" s="8"/>
      <c r="AM311" s="8"/>
      <c r="AN311" s="8"/>
      <c r="AO311" s="8"/>
      <c r="AP311" s="8"/>
      <c r="AQ311" s="8"/>
      <c r="AR311" s="8"/>
    </row>
    <row r="312" spans="1:44" s="988" customFormat="1">
      <c r="A312" s="1008"/>
      <c r="B312" s="170"/>
      <c r="C312" s="1002" t="s">
        <v>1954</v>
      </c>
      <c r="D312" s="1019"/>
      <c r="E312" s="165"/>
      <c r="F312" s="3687" t="s">
        <v>1955</v>
      </c>
      <c r="G312" s="3687"/>
      <c r="H312" s="3687"/>
      <c r="I312" s="3687"/>
      <c r="J312" s="3687"/>
      <c r="K312" s="3687"/>
      <c r="L312" s="3687"/>
      <c r="M312" s="3687"/>
      <c r="N312" s="3687"/>
      <c r="O312" s="1049"/>
      <c r="P312"/>
      <c r="Q312" s="3486"/>
      <c r="R312" s="3486"/>
      <c r="S312" s="3486"/>
      <c r="T312" s="3689" t="s">
        <v>20</v>
      </c>
      <c r="V312" s="1008"/>
      <c r="W312" s="1008"/>
      <c r="X312" s="1008"/>
      <c r="Y312" s="1008"/>
      <c r="Z312" s="1008"/>
      <c r="AA312" s="1008"/>
      <c r="AD312" s="1008"/>
      <c r="AE312" s="8"/>
      <c r="AF312" s="8"/>
      <c r="AG312" s="8"/>
      <c r="AH312" s="8"/>
      <c r="AI312" s="8"/>
      <c r="AJ312" s="8"/>
      <c r="AK312" s="8"/>
      <c r="AL312" s="8"/>
      <c r="AM312" s="8"/>
      <c r="AN312" s="8"/>
      <c r="AO312" s="8"/>
      <c r="AP312" s="8"/>
      <c r="AQ312" s="8"/>
      <c r="AR312" s="8"/>
    </row>
    <row r="313" spans="1:44" s="988" customFormat="1" ht="20" customHeight="1">
      <c r="A313" s="1008"/>
      <c r="B313" s="170"/>
      <c r="C313" s="1091"/>
      <c r="D313" s="1019"/>
      <c r="E313" s="1019">
        <v>1</v>
      </c>
      <c r="F313" s="3687" t="s">
        <v>1956</v>
      </c>
      <c r="G313" s="3687"/>
      <c r="H313" s="3687"/>
      <c r="I313" s="3687"/>
      <c r="J313" s="3687"/>
      <c r="K313" s="3687"/>
      <c r="L313" s="3687"/>
      <c r="M313" s="3687"/>
      <c r="N313" s="3687"/>
      <c r="O313" s="1049">
        <v>1</v>
      </c>
      <c r="P313" s="1004"/>
      <c r="Q313" s="3486"/>
      <c r="R313" s="3486"/>
      <c r="S313" s="3486"/>
      <c r="T313" s="3686"/>
      <c r="V313" s="1008"/>
      <c r="W313" s="1008"/>
      <c r="X313" s="1008"/>
      <c r="Y313" s="1008"/>
      <c r="Z313" s="1008"/>
      <c r="AA313" s="1008"/>
      <c r="AD313" s="1008"/>
      <c r="AE313" s="8"/>
      <c r="AF313" s="8"/>
      <c r="AG313" s="8"/>
      <c r="AH313" s="8"/>
      <c r="AI313" s="8"/>
      <c r="AJ313" s="8"/>
      <c r="AK313" s="8"/>
      <c r="AL313" s="8"/>
      <c r="AM313" s="8"/>
      <c r="AN313" s="8"/>
      <c r="AO313" s="8"/>
      <c r="AP313" s="8"/>
      <c r="AQ313" s="8"/>
      <c r="AR313" s="8"/>
    </row>
    <row r="314" spans="1:44" s="988" customFormat="1" ht="33.75" customHeight="1">
      <c r="A314" s="1008"/>
      <c r="B314" s="170"/>
      <c r="C314" s="1091"/>
      <c r="D314" s="1019"/>
      <c r="E314" s="1019">
        <v>2</v>
      </c>
      <c r="F314" s="3687" t="s">
        <v>1957</v>
      </c>
      <c r="G314" s="3687"/>
      <c r="H314" s="3687"/>
      <c r="I314" s="3687"/>
      <c r="J314" s="3687"/>
      <c r="K314" s="3687"/>
      <c r="L314" s="3687"/>
      <c r="M314" s="3687"/>
      <c r="N314" s="3687"/>
      <c r="O314" s="1049">
        <v>3</v>
      </c>
      <c r="P314" s="1004"/>
      <c r="Q314" s="3486"/>
      <c r="R314" s="3486"/>
      <c r="S314" s="3486"/>
      <c r="T314" s="3686"/>
      <c r="V314" s="1008"/>
      <c r="W314" s="1008"/>
      <c r="X314" s="1008"/>
      <c r="Y314" s="1008"/>
      <c r="Z314" s="1008"/>
      <c r="AA314" s="1008"/>
      <c r="AD314" s="1008"/>
      <c r="AE314" s="8"/>
      <c r="AF314" s="8"/>
      <c r="AG314" s="8"/>
      <c r="AH314" s="8"/>
      <c r="AI314" s="8"/>
      <c r="AJ314" s="8"/>
      <c r="AK314" s="8"/>
      <c r="AL314" s="8"/>
      <c r="AM314" s="8"/>
      <c r="AN314" s="8"/>
      <c r="AO314" s="8"/>
      <c r="AP314" s="8"/>
      <c r="AQ314" s="8"/>
      <c r="AR314" s="8"/>
    </row>
    <row r="315" spans="1:44" s="988" customFormat="1" ht="30" customHeight="1">
      <c r="A315" s="1008"/>
      <c r="B315" s="170"/>
      <c r="C315" s="655" t="s">
        <v>1958</v>
      </c>
      <c r="D315" s="809"/>
      <c r="E315" s="1210"/>
      <c r="F315" s="3681" t="s">
        <v>1959</v>
      </c>
      <c r="G315" s="3682"/>
      <c r="H315" s="3682"/>
      <c r="I315" s="3682"/>
      <c r="J315" s="3682"/>
      <c r="K315" s="3682"/>
      <c r="L315" s="3682"/>
      <c r="M315" s="3682"/>
      <c r="N315" s="3682"/>
      <c r="O315" s="1101">
        <v>1</v>
      </c>
      <c r="P315" s="729"/>
      <c r="Q315" s="3683"/>
      <c r="R315" s="3684"/>
      <c r="S315" s="3684"/>
      <c r="T315" s="1250" t="s">
        <v>20</v>
      </c>
      <c r="V315" s="1008"/>
      <c r="W315" s="1008"/>
      <c r="X315" s="1008"/>
      <c r="Y315" s="1008"/>
      <c r="Z315" s="1008"/>
      <c r="AA315" s="1008"/>
      <c r="AD315" s="1008"/>
      <c r="AE315" s="8"/>
      <c r="AF315" s="8"/>
      <c r="AG315" s="8"/>
      <c r="AH315" s="8"/>
      <c r="AI315" s="8"/>
      <c r="AJ315" s="8"/>
      <c r="AK315" s="8"/>
      <c r="AL315" s="8"/>
      <c r="AM315" s="8"/>
      <c r="AN315" s="8"/>
      <c r="AO315" s="8"/>
      <c r="AP315" s="8"/>
      <c r="AQ315" s="8"/>
      <c r="AR315" s="8"/>
    </row>
    <row r="316" spans="1:44" s="988" customFormat="1" ht="80.25" customHeight="1">
      <c r="A316" s="1008"/>
      <c r="B316" s="170" t="str">
        <f>IF(startRenewableEnergy="None","x","")</f>
        <v/>
      </c>
      <c r="C316" s="655">
        <v>705.5</v>
      </c>
      <c r="D316" s="1020"/>
      <c r="E316" s="1078"/>
      <c r="F316" s="3710" t="s">
        <v>2058</v>
      </c>
      <c r="G316" s="3710"/>
      <c r="H316" s="3710"/>
      <c r="I316" s="3710"/>
      <c r="J316" s="3710"/>
      <c r="K316" s="3710"/>
      <c r="L316" s="3710"/>
      <c r="M316" s="3710"/>
      <c r="N316" s="3710"/>
      <c r="O316" s="1101" t="s">
        <v>1978</v>
      </c>
      <c r="P316" s="959">
        <f>IF(OR(enter705.5="",startTotalFloorArea=""),0,ROUNDDOWN(enter705.5/(ROUNDUP(startTotalFloorArea/2000,0)*100),0))</f>
        <v>0</v>
      </c>
      <c r="Q316" s="3711"/>
      <c r="R316" s="3684"/>
      <c r="S316" s="3712"/>
      <c r="T316" s="1027" t="s">
        <v>20</v>
      </c>
      <c r="V316" s="1008"/>
      <c r="W316" s="1008"/>
      <c r="X316" s="1008"/>
      <c r="Y316" s="1008"/>
      <c r="Z316" s="1008"/>
      <c r="AA316" s="1008"/>
      <c r="AD316" s="1008"/>
      <c r="AE316" s="8"/>
      <c r="AF316" s="8"/>
      <c r="AG316" s="8"/>
      <c r="AH316" s="8"/>
      <c r="AI316" s="8"/>
      <c r="AJ316" s="8"/>
      <c r="AK316" s="8"/>
      <c r="AL316" s="8"/>
      <c r="AM316" s="8"/>
      <c r="AN316" s="8"/>
      <c r="AO316" s="8"/>
      <c r="AP316" s="8"/>
      <c r="AQ316" s="8"/>
      <c r="AR316" s="8"/>
    </row>
    <row r="317" spans="1:44" s="988" customFormat="1" ht="47.25" customHeight="1">
      <c r="A317" s="1008"/>
      <c r="B317" s="170" t="str">
        <f>IF(startRenewableEnergy="None","x","")</f>
        <v/>
      </c>
      <c r="C317" s="1091"/>
      <c r="D317" s="1016"/>
      <c r="E317" s="163"/>
      <c r="F317" s="3690" t="str">
        <f>IF(startTotalFloorArea="","You haven't entered the Total Floor Area on the Start Here! worksheet",CONCATENATE("This calculation is based on ",startTotalFloorArea," sf total floor area entered on the Start Here! Page."))</f>
        <v>You haven't entered the Total Floor Area on the Start Here! worksheet</v>
      </c>
      <c r="G317" s="3691"/>
      <c r="H317" s="3691"/>
      <c r="I317" s="3691"/>
      <c r="J317" s="3691"/>
      <c r="K317" s="3691"/>
      <c r="L317" s="3691"/>
      <c r="M317" s="3691"/>
      <c r="N317" s="3692"/>
      <c r="O317" s="1823" t="str">
        <f>IF(startSingleorMulti="Multi-Unit","For multi-family, enter the average amount of renwable energy per unit (in watts):", "For single-family, enter the amount of renewable energy (in watts):")</f>
        <v>For single-family, enter the amount of renewable energy (in watts):</v>
      </c>
      <c r="P317" s="510"/>
      <c r="Q317" s="3677"/>
      <c r="R317" s="3678"/>
      <c r="S317" s="3679"/>
      <c r="T317" s="1220"/>
      <c r="V317" s="1008"/>
      <c r="W317" s="1008"/>
      <c r="X317" s="1008"/>
      <c r="Y317" s="1008"/>
      <c r="Z317" s="1008"/>
      <c r="AA317" s="1008"/>
      <c r="AD317" s="1008"/>
      <c r="AE317" s="8"/>
      <c r="AF317" s="8"/>
      <c r="AG317" s="8"/>
      <c r="AH317" s="8"/>
      <c r="AI317" s="8"/>
      <c r="AJ317" s="8"/>
      <c r="AK317" s="8"/>
      <c r="AL317" s="8"/>
      <c r="AM317" s="8"/>
      <c r="AN317" s="8"/>
      <c r="AO317" s="8"/>
      <c r="AP317" s="8"/>
      <c r="AQ317" s="8"/>
      <c r="AR317" s="8"/>
    </row>
    <row r="318" spans="1:44" s="988" customFormat="1" ht="30" customHeight="1" thickBot="1">
      <c r="A318" s="1008"/>
      <c r="B318" s="170"/>
      <c r="C318" s="655">
        <v>705.6</v>
      </c>
      <c r="D318" s="809"/>
      <c r="E318" s="1210"/>
      <c r="F318" s="3681" t="s">
        <v>1960</v>
      </c>
      <c r="G318" s="3682"/>
      <c r="H318" s="3682"/>
      <c r="I318" s="3682"/>
      <c r="J318" s="3682"/>
      <c r="K318" s="3682"/>
      <c r="L318" s="3682"/>
      <c r="M318" s="3682"/>
      <c r="N318" s="3682"/>
      <c r="O318" s="2843">
        <v>2</v>
      </c>
      <c r="P318" s="729"/>
      <c r="Q318" s="3683"/>
      <c r="R318" s="3684"/>
      <c r="S318" s="3684"/>
      <c r="T318" s="1251" t="s">
        <v>20</v>
      </c>
      <c r="V318" s="1008"/>
      <c r="W318" s="1008"/>
      <c r="X318" s="1008"/>
      <c r="Y318" s="1008"/>
      <c r="Z318" s="1008"/>
      <c r="AA318" s="1008"/>
      <c r="AD318" s="1008"/>
      <c r="AE318" s="8"/>
      <c r="AF318" s="8"/>
      <c r="AG318" s="8"/>
      <c r="AH318" s="8"/>
      <c r="AI318" s="8"/>
      <c r="AJ318" s="8"/>
      <c r="AK318" s="8"/>
      <c r="AL318" s="8"/>
      <c r="AM318" s="8"/>
      <c r="AN318" s="8"/>
      <c r="AO318" s="8"/>
      <c r="AP318" s="8"/>
      <c r="AQ318" s="8"/>
      <c r="AR318" s="8"/>
    </row>
    <row r="319" spans="1:44" s="1008" customFormat="1" ht="40.5" customHeight="1" thickBot="1">
      <c r="B319" s="170"/>
      <c r="C319" s="2854">
        <v>705.7</v>
      </c>
      <c r="D319" s="2853"/>
      <c r="E319" s="2852"/>
      <c r="F319" s="3664" t="s">
        <v>3128</v>
      </c>
      <c r="G319" s="3664"/>
      <c r="H319" s="3664"/>
      <c r="I319" s="3664"/>
      <c r="J319" s="3664"/>
      <c r="K319" s="3664"/>
      <c r="L319" s="3664"/>
      <c r="M319" s="3664"/>
      <c r="N319" s="3664"/>
      <c r="O319" s="2851">
        <v>2</v>
      </c>
      <c r="P319" s="2850"/>
      <c r="Q319" s="3665"/>
      <c r="R319" s="3666"/>
      <c r="S319" s="3666"/>
      <c r="T319" s="1251" t="s">
        <v>20</v>
      </c>
      <c r="AE319" s="8"/>
      <c r="AF319" s="8"/>
      <c r="AG319" s="8"/>
      <c r="AH319" s="8"/>
      <c r="AI319" s="8"/>
      <c r="AJ319" s="8"/>
      <c r="AK319" s="8"/>
      <c r="AL319" s="8"/>
      <c r="AM319" s="8"/>
      <c r="AN319" s="8"/>
      <c r="AO319" s="8"/>
      <c r="AP319" s="8"/>
      <c r="AQ319" s="8"/>
      <c r="AR319" s="8"/>
    </row>
    <row r="320" spans="1:44" customFormat="1" ht="16" thickBot="1">
      <c r="A320" s="1813"/>
      <c r="B320" s="1742"/>
      <c r="C320" s="3815"/>
      <c r="D320" s="3815"/>
      <c r="E320" s="3815"/>
      <c r="F320" s="3815"/>
      <c r="G320" s="3815"/>
      <c r="H320" s="3815"/>
      <c r="I320" s="3815"/>
      <c r="J320" s="3815"/>
      <c r="K320" s="3815"/>
      <c r="L320" s="3815"/>
      <c r="M320" s="3815"/>
      <c r="N320" s="3815"/>
      <c r="O320" s="3815"/>
      <c r="P320" s="3815"/>
      <c r="Q320" s="3815"/>
      <c r="R320" s="3815"/>
      <c r="S320" s="3815"/>
      <c r="T320" s="3815"/>
      <c r="V320" s="1809"/>
      <c r="W320" s="1809"/>
      <c r="X320" s="1809"/>
      <c r="Y320" s="1809"/>
      <c r="Z320" s="1809"/>
      <c r="AA320" s="1809"/>
      <c r="AD320" s="1809"/>
    </row>
    <row r="321" spans="1:30" customFormat="1" ht="20" customHeight="1" thickBot="1">
      <c r="A321" s="1813"/>
      <c r="B321" s="1742"/>
      <c r="C321" s="3103" t="s">
        <v>401</v>
      </c>
      <c r="D321" s="3104"/>
      <c r="E321" s="3104"/>
      <c r="F321" s="3104"/>
      <c r="G321" s="3104"/>
      <c r="H321" s="3104"/>
      <c r="I321" s="3104"/>
      <c r="J321" s="3104"/>
      <c r="K321" s="3104"/>
      <c r="L321" s="3104"/>
      <c r="M321" s="3104"/>
      <c r="N321" s="3104"/>
      <c r="O321" s="3104"/>
      <c r="P321" s="3105" t="s">
        <v>402</v>
      </c>
      <c r="Q321" s="3105"/>
      <c r="R321" s="3105"/>
      <c r="S321" s="3105"/>
      <c r="T321" s="3106"/>
      <c r="V321" s="1809"/>
      <c r="W321" s="1809"/>
      <c r="X321" s="1809"/>
      <c r="Y321" s="1809"/>
      <c r="Z321" s="1809"/>
      <c r="AA321" s="1809"/>
      <c r="AD321" s="1809"/>
    </row>
    <row r="322" spans="1:30">
      <c r="C322" s="4100" t="str">
        <f>CONCATENATE(copyright," All rights reserved.  This document is protected by U.S. copyright law. Requirements from ICC700-2012 National Green Building Standard™ © 2013 National Association of Home Builders of the U.S. - used by permission."," Home Innovation authorizes use of this document only by those individuals/organizations participating in Home Innovation's Green Building Certification and solely for purpose of seeking project certification from the Home Innovation Research Labs.")</f>
        <v>© 2020 Home Innovation Research Labs, Inc. All rights reserved.  This document is protected by U.S. copyright law. Requirements from ICC700-2012 National Green Building Standard™ © 2013 National Association of Home Builders of the U.S. - used by permission. Home Innovation authorizes use of this document only by those individuals/organizations participating in Home Innovation's Green Building Certification and solely for purpose of seeking project certification from the Home Innovation Research Labs.</v>
      </c>
      <c r="D322" s="4100"/>
      <c r="E322" s="4100"/>
      <c r="F322" s="4100"/>
      <c r="G322" s="4100"/>
      <c r="H322" s="4100"/>
      <c r="I322" s="4100"/>
      <c r="J322" s="4100"/>
      <c r="K322" s="4100"/>
      <c r="L322" s="4100"/>
      <c r="M322" s="4100"/>
      <c r="N322" s="4100"/>
      <c r="O322" s="4100"/>
      <c r="P322" s="4100"/>
      <c r="Q322" s="4100"/>
      <c r="R322" s="4100"/>
      <c r="S322" s="4100"/>
      <c r="T322" s="4100"/>
    </row>
    <row r="323" spans="1:30">
      <c r="C323" s="3065"/>
      <c r="D323" s="3065"/>
      <c r="E323" s="3065"/>
      <c r="F323" s="3065"/>
      <c r="G323" s="3065"/>
      <c r="H323" s="3065"/>
      <c r="I323" s="3065"/>
      <c r="J323" s="3065"/>
      <c r="K323" s="3065"/>
      <c r="L323" s="3065"/>
      <c r="M323" s="3065"/>
      <c r="N323" s="3065"/>
      <c r="O323" s="3065"/>
      <c r="P323" s="3065"/>
      <c r="Q323" s="3065"/>
      <c r="R323" s="3065"/>
      <c r="S323" s="3065"/>
      <c r="T323" s="3065"/>
    </row>
    <row r="324" spans="1:30">
      <c r="C324" s="3065"/>
      <c r="D324" s="3065"/>
      <c r="E324" s="3065"/>
      <c r="F324" s="3065"/>
      <c r="G324" s="3065"/>
      <c r="H324" s="3065"/>
      <c r="I324" s="3065"/>
      <c r="J324" s="3065"/>
      <c r="K324" s="3065"/>
      <c r="L324" s="3065"/>
      <c r="M324" s="3065"/>
      <c r="N324" s="3065"/>
      <c r="O324" s="3065"/>
      <c r="P324" s="3065"/>
      <c r="Q324" s="3065"/>
      <c r="R324" s="3065"/>
      <c r="S324" s="3065"/>
      <c r="T324" s="3065"/>
    </row>
  </sheetData>
  <sheetProtection algorithmName="SHA-512" hashValue="XqxSepSXBXi7x53QwOtOjCg4akMqULuYpdaTm1yfREqNkcib6zDF++WIBdIYxWRCRfUWq5+9E66KPepWZcTi4Q==" saltValue="3xyXVHbXU/j6tpN7K+RdIA==" spinCount="100000" sheet="1" objects="1" scenarios="1" formatRows="0" selectLockedCells="1"/>
  <autoFilter ref="B7:B172" xr:uid="{00000000-0009-0000-0000-000003000000}"/>
  <mergeCells count="676">
    <mergeCell ref="C322:T324"/>
    <mergeCell ref="C260:N260"/>
    <mergeCell ref="C291:N291"/>
    <mergeCell ref="O130:O133"/>
    <mergeCell ref="T164:T165"/>
    <mergeCell ref="F165:N165"/>
    <mergeCell ref="Q120:S120"/>
    <mergeCell ref="Q121:S121"/>
    <mergeCell ref="Q122:S122"/>
    <mergeCell ref="Q123:S123"/>
    <mergeCell ref="Q124:S124"/>
    <mergeCell ref="F136:J136"/>
    <mergeCell ref="F137:J137"/>
    <mergeCell ref="F146:J146"/>
    <mergeCell ref="F147:J147"/>
    <mergeCell ref="G138:H138"/>
    <mergeCell ref="I138:J138"/>
    <mergeCell ref="Q145:S145"/>
    <mergeCell ref="Q144:S144"/>
    <mergeCell ref="G139:H139"/>
    <mergeCell ref="I139:J139"/>
    <mergeCell ref="F129:N129"/>
    <mergeCell ref="F126:N126"/>
    <mergeCell ref="Q126:R126"/>
    <mergeCell ref="F127:N127"/>
    <mergeCell ref="F128:N128"/>
    <mergeCell ref="G148:H148"/>
    <mergeCell ref="C181:D183"/>
    <mergeCell ref="E181:E183"/>
    <mergeCell ref="C184:D186"/>
    <mergeCell ref="E184:E186"/>
    <mergeCell ref="F182:N182"/>
    <mergeCell ref="F185:N185"/>
    <mergeCell ref="O181:O183"/>
    <mergeCell ref="O184:O186"/>
    <mergeCell ref="I148:J148"/>
    <mergeCell ref="F158:N158"/>
    <mergeCell ref="F184:N184"/>
    <mergeCell ref="F186:N186"/>
    <mergeCell ref="T216:T217"/>
    <mergeCell ref="P216:P217"/>
    <mergeCell ref="O216:O217"/>
    <mergeCell ref="F217:N217"/>
    <mergeCell ref="Q148:S148"/>
    <mergeCell ref="F159:K159"/>
    <mergeCell ref="F160:K160"/>
    <mergeCell ref="Q159:S159"/>
    <mergeCell ref="Q160:S160"/>
    <mergeCell ref="Q161:S161"/>
    <mergeCell ref="Q163:S163"/>
    <mergeCell ref="F171:N171"/>
    <mergeCell ref="Q173:S174"/>
    <mergeCell ref="Q171:S171"/>
    <mergeCell ref="Q176:S176"/>
    <mergeCell ref="F166:N166"/>
    <mergeCell ref="F172:N172"/>
    <mergeCell ref="F173:N173"/>
    <mergeCell ref="Q226:S231"/>
    <mergeCell ref="Q224:S224"/>
    <mergeCell ref="Q225:S225"/>
    <mergeCell ref="T226:T233"/>
    <mergeCell ref="F233:N233"/>
    <mergeCell ref="F245:N245"/>
    <mergeCell ref="P243:P244"/>
    <mergeCell ref="O243:O244"/>
    <mergeCell ref="T234:T235"/>
    <mergeCell ref="F235:N235"/>
    <mergeCell ref="Q234:S235"/>
    <mergeCell ref="F234:N234"/>
    <mergeCell ref="Q243:S244"/>
    <mergeCell ref="F242:N242"/>
    <mergeCell ref="Q242:S242"/>
    <mergeCell ref="T243:T244"/>
    <mergeCell ref="Q245:S245"/>
    <mergeCell ref="F243:N243"/>
    <mergeCell ref="F244:N244"/>
    <mergeCell ref="F241:N241"/>
    <mergeCell ref="Q241:S241"/>
    <mergeCell ref="T265:T266"/>
    <mergeCell ref="F267:N267"/>
    <mergeCell ref="F268:N268"/>
    <mergeCell ref="F265:N265"/>
    <mergeCell ref="F266:N266"/>
    <mergeCell ref="C261:T261"/>
    <mergeCell ref="F262:N262"/>
    <mergeCell ref="Q262:R262"/>
    <mergeCell ref="F263:N263"/>
    <mergeCell ref="F256:N256"/>
    <mergeCell ref="Q256:S256"/>
    <mergeCell ref="F255:N255"/>
    <mergeCell ref="Q255:R255"/>
    <mergeCell ref="Q248:S254"/>
    <mergeCell ref="F246:N246"/>
    <mergeCell ref="F247:N247"/>
    <mergeCell ref="F248:N248"/>
    <mergeCell ref="T248:T254"/>
    <mergeCell ref="F249:N249"/>
    <mergeCell ref="O249:O250"/>
    <mergeCell ref="F254:N254"/>
    <mergeCell ref="Q247:S247"/>
    <mergeCell ref="P249:P250"/>
    <mergeCell ref="Q246:S246"/>
    <mergeCell ref="F250:N250"/>
    <mergeCell ref="F251:N251"/>
    <mergeCell ref="F252:N252"/>
    <mergeCell ref="F253:N253"/>
    <mergeCell ref="Q75:S77"/>
    <mergeCell ref="T75:T77"/>
    <mergeCell ref="Q114:S114"/>
    <mergeCell ref="Q115:S115"/>
    <mergeCell ref="Q116:S116"/>
    <mergeCell ref="Q117:S117"/>
    <mergeCell ref="Q118:S118"/>
    <mergeCell ref="Q119:S119"/>
    <mergeCell ref="T92:T96"/>
    <mergeCell ref="Q78:S78"/>
    <mergeCell ref="Q91:S91"/>
    <mergeCell ref="Q104:S104"/>
    <mergeCell ref="Q101:S101"/>
    <mergeCell ref="Q87:S87"/>
    <mergeCell ref="Q88:S89"/>
    <mergeCell ref="F112:N112"/>
    <mergeCell ref="F141:J141"/>
    <mergeCell ref="Q112:S112"/>
    <mergeCell ref="G124:H124"/>
    <mergeCell ref="I124:J124"/>
    <mergeCell ref="K124:L124"/>
    <mergeCell ref="O113:O114"/>
    <mergeCell ref="Q127:S127"/>
    <mergeCell ref="Q130:S130"/>
    <mergeCell ref="Q128:S128"/>
    <mergeCell ref="Q129:S129"/>
    <mergeCell ref="Q134:S134"/>
    <mergeCell ref="Q133:S133"/>
    <mergeCell ref="G115:H115"/>
    <mergeCell ref="I115:J115"/>
    <mergeCell ref="K115:L115"/>
    <mergeCell ref="G116:H116"/>
    <mergeCell ref="I116:J116"/>
    <mergeCell ref="K116:L116"/>
    <mergeCell ref="F117:N117"/>
    <mergeCell ref="F132:K132"/>
    <mergeCell ref="F125:N125"/>
    <mergeCell ref="Q125:S125"/>
    <mergeCell ref="Q139:S139"/>
    <mergeCell ref="F113:N113"/>
    <mergeCell ref="Q113:S113"/>
    <mergeCell ref="F114:N114"/>
    <mergeCell ref="Q146:S146"/>
    <mergeCell ref="Q138:S138"/>
    <mergeCell ref="F118:N118"/>
    <mergeCell ref="G119:H119"/>
    <mergeCell ref="I119:J119"/>
    <mergeCell ref="K119:L119"/>
    <mergeCell ref="G120:H120"/>
    <mergeCell ref="I120:J120"/>
    <mergeCell ref="K120:L120"/>
    <mergeCell ref="F122:N122"/>
    <mergeCell ref="G123:H123"/>
    <mergeCell ref="I123:J123"/>
    <mergeCell ref="K123:L123"/>
    <mergeCell ref="F142:J142"/>
    <mergeCell ref="Q142:S142"/>
    <mergeCell ref="Q135:S135"/>
    <mergeCell ref="Q140:S140"/>
    <mergeCell ref="Q136:S136"/>
    <mergeCell ref="Q141:S141"/>
    <mergeCell ref="Q143:S143"/>
    <mergeCell ref="F131:K131"/>
    <mergeCell ref="G109:J109"/>
    <mergeCell ref="K109:N109"/>
    <mergeCell ref="G110:H110"/>
    <mergeCell ref="I110:J110"/>
    <mergeCell ref="K110:L110"/>
    <mergeCell ref="M110:N110"/>
    <mergeCell ref="F109:F110"/>
    <mergeCell ref="F108:N108"/>
    <mergeCell ref="M111:N111"/>
    <mergeCell ref="F101:F102"/>
    <mergeCell ref="F100:K100"/>
    <mergeCell ref="G101:K101"/>
    <mergeCell ref="Q102:S102"/>
    <mergeCell ref="F106:N106"/>
    <mergeCell ref="Q106:S106"/>
    <mergeCell ref="F107:N107"/>
    <mergeCell ref="Q107:S107"/>
    <mergeCell ref="F105:N105"/>
    <mergeCell ref="Q105:S105"/>
    <mergeCell ref="F103:F104"/>
    <mergeCell ref="C7:E7"/>
    <mergeCell ref="F7:N7"/>
    <mergeCell ref="C8:T8"/>
    <mergeCell ref="F9:N9"/>
    <mergeCell ref="O9:S9"/>
    <mergeCell ref="N1:N2"/>
    <mergeCell ref="O1:P1"/>
    <mergeCell ref="Q1:T1"/>
    <mergeCell ref="N5:O5"/>
    <mergeCell ref="P5:T5"/>
    <mergeCell ref="Q7:S7"/>
    <mergeCell ref="J1:M3"/>
    <mergeCell ref="J4:M4"/>
    <mergeCell ref="A1:I4"/>
    <mergeCell ref="C5:I6"/>
    <mergeCell ref="J6:P6"/>
    <mergeCell ref="S6:T6"/>
    <mergeCell ref="F10:N10"/>
    <mergeCell ref="P10:P12"/>
    <mergeCell ref="F11:N11"/>
    <mergeCell ref="C12:D12"/>
    <mergeCell ref="E12:E13"/>
    <mergeCell ref="F12:N12"/>
    <mergeCell ref="F17:N17"/>
    <mergeCell ref="F18:N18"/>
    <mergeCell ref="C15:S15"/>
    <mergeCell ref="F16:N16"/>
    <mergeCell ref="O16:O17"/>
    <mergeCell ref="P16:P17"/>
    <mergeCell ref="Q12:S13"/>
    <mergeCell ref="Q14:S14"/>
    <mergeCell ref="C13:D13"/>
    <mergeCell ref="F13:N13"/>
    <mergeCell ref="F14:N14"/>
    <mergeCell ref="T16:T17"/>
    <mergeCell ref="Q16:S17"/>
    <mergeCell ref="E16:E17"/>
    <mergeCell ref="C16:C17"/>
    <mergeCell ref="D16:D17"/>
    <mergeCell ref="Q18:S18"/>
    <mergeCell ref="F22:N22"/>
    <mergeCell ref="F23:N23"/>
    <mergeCell ref="F24:N24"/>
    <mergeCell ref="F19:N19"/>
    <mergeCell ref="C20:D20"/>
    <mergeCell ref="F20:N20"/>
    <mergeCell ref="C21:D21"/>
    <mergeCell ref="F21:N21"/>
    <mergeCell ref="Q19:S19"/>
    <mergeCell ref="Q20:S20"/>
    <mergeCell ref="Q21:S21"/>
    <mergeCell ref="Q23:S23"/>
    <mergeCell ref="C23:D23"/>
    <mergeCell ref="Q22:S22"/>
    <mergeCell ref="C24:D24"/>
    <mergeCell ref="Q24:S24"/>
    <mergeCell ref="F46:H46"/>
    <mergeCell ref="I46:N46"/>
    <mergeCell ref="Q46:S46"/>
    <mergeCell ref="F47:H47"/>
    <mergeCell ref="I47:N47"/>
    <mergeCell ref="Q47:S47"/>
    <mergeCell ref="F48:H48"/>
    <mergeCell ref="I48:N48"/>
    <mergeCell ref="Q48:S48"/>
    <mergeCell ref="F92:J92"/>
    <mergeCell ref="F91:N91"/>
    <mergeCell ref="F87:N87"/>
    <mergeCell ref="F88:N88"/>
    <mergeCell ref="F89:N89"/>
    <mergeCell ref="F83:G83"/>
    <mergeCell ref="F84:G84"/>
    <mergeCell ref="F85:N85"/>
    <mergeCell ref="F86:N86"/>
    <mergeCell ref="L83:M83"/>
    <mergeCell ref="F80:N80"/>
    <mergeCell ref="F82:M82"/>
    <mergeCell ref="Q82:S82"/>
    <mergeCell ref="Q90:S90"/>
    <mergeCell ref="J83:K83"/>
    <mergeCell ref="H83:I83"/>
    <mergeCell ref="H84:I84"/>
    <mergeCell ref="J84:K84"/>
    <mergeCell ref="L84:M84"/>
    <mergeCell ref="F81:M81"/>
    <mergeCell ref="F90:N90"/>
    <mergeCell ref="Q80:S80"/>
    <mergeCell ref="Q81:S81"/>
    <mergeCell ref="Q83:S83"/>
    <mergeCell ref="Q84:S84"/>
    <mergeCell ref="Q85:S85"/>
    <mergeCell ref="Q86:S86"/>
    <mergeCell ref="F97:N97"/>
    <mergeCell ref="Q97:S97"/>
    <mergeCell ref="F98:N98"/>
    <mergeCell ref="Q98:S98"/>
    <mergeCell ref="Q103:S103"/>
    <mergeCell ref="G111:H111"/>
    <mergeCell ref="I111:J111"/>
    <mergeCell ref="K111:L111"/>
    <mergeCell ref="Q92:S92"/>
    <mergeCell ref="Q93:S93"/>
    <mergeCell ref="Q94:S94"/>
    <mergeCell ref="Q95:S95"/>
    <mergeCell ref="F96:N96"/>
    <mergeCell ref="F93:G93"/>
    <mergeCell ref="F94:G94"/>
    <mergeCell ref="F95:G95"/>
    <mergeCell ref="Q96:S96"/>
    <mergeCell ref="H93:J93"/>
    <mergeCell ref="H94:J94"/>
    <mergeCell ref="F99:N99"/>
    <mergeCell ref="Q99:S99"/>
    <mergeCell ref="P100:P101"/>
    <mergeCell ref="Q100:S100"/>
    <mergeCell ref="H95:J95"/>
    <mergeCell ref="Q147:S147"/>
    <mergeCell ref="G149:H149"/>
    <mergeCell ref="I149:J149"/>
    <mergeCell ref="Q149:S149"/>
    <mergeCell ref="F152:J152"/>
    <mergeCell ref="F164:N164"/>
    <mergeCell ref="F153:J153"/>
    <mergeCell ref="Q151:S151"/>
    <mergeCell ref="Q152:S152"/>
    <mergeCell ref="Q153:S153"/>
    <mergeCell ref="Q154:S154"/>
    <mergeCell ref="Q162:S162"/>
    <mergeCell ref="P164:P165"/>
    <mergeCell ref="Q164:S165"/>
    <mergeCell ref="F150:N150"/>
    <mergeCell ref="Q150:S150"/>
    <mergeCell ref="F157:N157"/>
    <mergeCell ref="Q157:S157"/>
    <mergeCell ref="F151:N151"/>
    <mergeCell ref="Q155:S155"/>
    <mergeCell ref="Q156:S156"/>
    <mergeCell ref="F156:N156"/>
    <mergeCell ref="F163:N163"/>
    <mergeCell ref="Q158:S158"/>
    <mergeCell ref="O173:O174"/>
    <mergeCell ref="P173:P174"/>
    <mergeCell ref="F167:K167"/>
    <mergeCell ref="Q167:S167"/>
    <mergeCell ref="F168:K168"/>
    <mergeCell ref="Q168:S168"/>
    <mergeCell ref="Q169:S169"/>
    <mergeCell ref="Q166:S166"/>
    <mergeCell ref="Q170:S170"/>
    <mergeCell ref="Q172:S172"/>
    <mergeCell ref="P200:P201"/>
    <mergeCell ref="Q196:R196"/>
    <mergeCell ref="F194:N194"/>
    <mergeCell ref="G193:H193"/>
    <mergeCell ref="I193:J193"/>
    <mergeCell ref="K193:L193"/>
    <mergeCell ref="F196:N196"/>
    <mergeCell ref="M190:N193"/>
    <mergeCell ref="T173:T174"/>
    <mergeCell ref="F180:N180"/>
    <mergeCell ref="F174:N174"/>
    <mergeCell ref="F175:N175"/>
    <mergeCell ref="F176:N176"/>
    <mergeCell ref="F177:N177"/>
    <mergeCell ref="Q177:S177"/>
    <mergeCell ref="Q178:S178"/>
    <mergeCell ref="Q180:S180"/>
    <mergeCell ref="F178:N178"/>
    <mergeCell ref="Q181:S183"/>
    <mergeCell ref="T181:T183"/>
    <mergeCell ref="Q184:S186"/>
    <mergeCell ref="T184:T186"/>
    <mergeCell ref="O193:T194"/>
    <mergeCell ref="Q175:S175"/>
    <mergeCell ref="Q197:S197"/>
    <mergeCell ref="F181:N181"/>
    <mergeCell ref="C179:E179"/>
    <mergeCell ref="F179:N179"/>
    <mergeCell ref="O179:S179"/>
    <mergeCell ref="F195:N195"/>
    <mergeCell ref="Q195:R195"/>
    <mergeCell ref="F188:N188"/>
    <mergeCell ref="Q188:S188"/>
    <mergeCell ref="F189:N189"/>
    <mergeCell ref="Q189:S189"/>
    <mergeCell ref="Q190:S190"/>
    <mergeCell ref="Q191:S191"/>
    <mergeCell ref="Q192:S192"/>
    <mergeCell ref="G192:H192"/>
    <mergeCell ref="I192:J192"/>
    <mergeCell ref="K192:L192"/>
    <mergeCell ref="F190:L190"/>
    <mergeCell ref="F191:L191"/>
    <mergeCell ref="F183:N183"/>
    <mergeCell ref="F187:N187"/>
    <mergeCell ref="Q187:S187"/>
    <mergeCell ref="P181:P183"/>
    <mergeCell ref="P184:P186"/>
    <mergeCell ref="F204:G204"/>
    <mergeCell ref="F205:G205"/>
    <mergeCell ref="O197:O200"/>
    <mergeCell ref="F197:I197"/>
    <mergeCell ref="K197:N197"/>
    <mergeCell ref="G199:H199"/>
    <mergeCell ref="G200:H200"/>
    <mergeCell ref="L199:N199"/>
    <mergeCell ref="F208:M208"/>
    <mergeCell ref="L200:N200"/>
    <mergeCell ref="F202:H202"/>
    <mergeCell ref="F203:H203"/>
    <mergeCell ref="K202:N202"/>
    <mergeCell ref="K203:N203"/>
    <mergeCell ref="L204:M204"/>
    <mergeCell ref="L205:M205"/>
    <mergeCell ref="F198:I198"/>
    <mergeCell ref="K198:N198"/>
    <mergeCell ref="F207:M207"/>
    <mergeCell ref="C215:E215"/>
    <mergeCell ref="F215:N215"/>
    <mergeCell ref="O215:S215"/>
    <mergeCell ref="F216:N216"/>
    <mergeCell ref="F240:N240"/>
    <mergeCell ref="Q240:S240"/>
    <mergeCell ref="Q218:S218"/>
    <mergeCell ref="F219:K219"/>
    <mergeCell ref="Q219:S219"/>
    <mergeCell ref="F220:K220"/>
    <mergeCell ref="Q220:S220"/>
    <mergeCell ref="F224:N224"/>
    <mergeCell ref="F226:N226"/>
    <mergeCell ref="F229:I229"/>
    <mergeCell ref="F230:I230"/>
    <mergeCell ref="Q221:S221"/>
    <mergeCell ref="F218:N218"/>
    <mergeCell ref="F231:N231"/>
    <mergeCell ref="Q216:S217"/>
    <mergeCell ref="F236:N236"/>
    <mergeCell ref="Q238:S238"/>
    <mergeCell ref="F238:N238"/>
    <mergeCell ref="P226:P230"/>
    <mergeCell ref="Q233:S233"/>
    <mergeCell ref="Q273:S273"/>
    <mergeCell ref="F271:N271"/>
    <mergeCell ref="F272:N272"/>
    <mergeCell ref="F269:N269"/>
    <mergeCell ref="F270:N270"/>
    <mergeCell ref="Q269:S269"/>
    <mergeCell ref="Q271:S271"/>
    <mergeCell ref="F273:N273"/>
    <mergeCell ref="Q270:S270"/>
    <mergeCell ref="F257:N257"/>
    <mergeCell ref="Q257:R257"/>
    <mergeCell ref="F259:N259"/>
    <mergeCell ref="Q259:R259"/>
    <mergeCell ref="F264:N264"/>
    <mergeCell ref="Q263:R263"/>
    <mergeCell ref="F258:N258"/>
    <mergeCell ref="Q258:S258"/>
    <mergeCell ref="F281:N281"/>
    <mergeCell ref="F276:N276"/>
    <mergeCell ref="F277:N277"/>
    <mergeCell ref="Q280:S281"/>
    <mergeCell ref="O280:O281"/>
    <mergeCell ref="P280:P281"/>
    <mergeCell ref="Q278:S279"/>
    <mergeCell ref="F278:N279"/>
    <mergeCell ref="Q274:R274"/>
    <mergeCell ref="F275:N275"/>
    <mergeCell ref="Q275:S275"/>
    <mergeCell ref="F274:N274"/>
    <mergeCell ref="Q272:S272"/>
    <mergeCell ref="Q265:S266"/>
    <mergeCell ref="Q267:S267"/>
    <mergeCell ref="Q268:S268"/>
    <mergeCell ref="T278:T281"/>
    <mergeCell ref="Q276:S276"/>
    <mergeCell ref="Q277:S277"/>
    <mergeCell ref="F280:N280"/>
    <mergeCell ref="C321:O321"/>
    <mergeCell ref="P321:T321"/>
    <mergeCell ref="F295:N295"/>
    <mergeCell ref="F296:N296"/>
    <mergeCell ref="F297:N297"/>
    <mergeCell ref="F298:N298"/>
    <mergeCell ref="F299:N299"/>
    <mergeCell ref="F302:N302"/>
    <mergeCell ref="F303:N303"/>
    <mergeCell ref="F304:N304"/>
    <mergeCell ref="F305:N305"/>
    <mergeCell ref="F306:N306"/>
    <mergeCell ref="F307:N307"/>
    <mergeCell ref="F308:N308"/>
    <mergeCell ref="F309:N309"/>
    <mergeCell ref="F310:N310"/>
    <mergeCell ref="O302:O310"/>
    <mergeCell ref="Q302:S310"/>
    <mergeCell ref="T293:T296"/>
    <mergeCell ref="F294:N294"/>
    <mergeCell ref="C320:T320"/>
    <mergeCell ref="F300:N300"/>
    <mergeCell ref="F301:N301"/>
    <mergeCell ref="Q298:S298"/>
    <mergeCell ref="C25:D25"/>
    <mergeCell ref="F25:N25"/>
    <mergeCell ref="Q25:S25"/>
    <mergeCell ref="F29:N29"/>
    <mergeCell ref="F30:N30"/>
    <mergeCell ref="F31:N31"/>
    <mergeCell ref="F32:N32"/>
    <mergeCell ref="F33:N33"/>
    <mergeCell ref="O27:O39"/>
    <mergeCell ref="P27:P39"/>
    <mergeCell ref="Q27:S39"/>
    <mergeCell ref="F26:N26"/>
    <mergeCell ref="F27:N27"/>
    <mergeCell ref="F28:N28"/>
    <mergeCell ref="Q26:S26"/>
    <mergeCell ref="F34:N34"/>
    <mergeCell ref="F35:N35"/>
    <mergeCell ref="F36:N36"/>
    <mergeCell ref="F37:N37"/>
    <mergeCell ref="F38:N38"/>
    <mergeCell ref="F39:N39"/>
    <mergeCell ref="T27:T39"/>
    <mergeCell ref="C27:D39"/>
    <mergeCell ref="C40:D40"/>
    <mergeCell ref="F40:N40"/>
    <mergeCell ref="F41:N41"/>
    <mergeCell ref="Q41:S41"/>
    <mergeCell ref="Q40:S40"/>
    <mergeCell ref="F45:H45"/>
    <mergeCell ref="I45:N45"/>
    <mergeCell ref="Q45:S45"/>
    <mergeCell ref="Q43:S43"/>
    <mergeCell ref="F44:H44"/>
    <mergeCell ref="I44:N44"/>
    <mergeCell ref="Q44:S44"/>
    <mergeCell ref="F43:N43"/>
    <mergeCell ref="Q42:S42"/>
    <mergeCell ref="F42:O42"/>
    <mergeCell ref="F49:H49"/>
    <mergeCell ref="I49:N49"/>
    <mergeCell ref="Q49:S49"/>
    <mergeCell ref="F50:H50"/>
    <mergeCell ref="I50:N50"/>
    <mergeCell ref="Q50:S50"/>
    <mergeCell ref="F51:H51"/>
    <mergeCell ref="I51:N51"/>
    <mergeCell ref="Q51:S51"/>
    <mergeCell ref="Q55:S55"/>
    <mergeCell ref="F58:H58"/>
    <mergeCell ref="I58:N58"/>
    <mergeCell ref="Q58:S58"/>
    <mergeCell ref="F53:H53"/>
    <mergeCell ref="Q53:S53"/>
    <mergeCell ref="I53:N53"/>
    <mergeCell ref="F52:H52"/>
    <mergeCell ref="I52:N52"/>
    <mergeCell ref="Q52:S52"/>
    <mergeCell ref="C66:S66"/>
    <mergeCell ref="F67:N67"/>
    <mergeCell ref="C63:D63"/>
    <mergeCell ref="F63:N63"/>
    <mergeCell ref="F64:N64"/>
    <mergeCell ref="F62:N62"/>
    <mergeCell ref="F61:N61"/>
    <mergeCell ref="F54:H54"/>
    <mergeCell ref="I54:N54"/>
    <mergeCell ref="Q54:S54"/>
    <mergeCell ref="F59:H59"/>
    <mergeCell ref="I59:N59"/>
    <mergeCell ref="Q59:S59"/>
    <mergeCell ref="F60:H60"/>
    <mergeCell ref="I60:N60"/>
    <mergeCell ref="Q60:S60"/>
    <mergeCell ref="F57:H57"/>
    <mergeCell ref="I57:N57"/>
    <mergeCell ref="Q57:S57"/>
    <mergeCell ref="F56:H56"/>
    <mergeCell ref="I56:N56"/>
    <mergeCell ref="Q56:S56"/>
    <mergeCell ref="F55:H55"/>
    <mergeCell ref="I55:N55"/>
    <mergeCell ref="F76:N76"/>
    <mergeCell ref="P76:P77"/>
    <mergeCell ref="C61:D61"/>
    <mergeCell ref="C73:S73"/>
    <mergeCell ref="F74:N74"/>
    <mergeCell ref="F75:N75"/>
    <mergeCell ref="F71:N71"/>
    <mergeCell ref="C72:T72"/>
    <mergeCell ref="Q71:S71"/>
    <mergeCell ref="Q74:S74"/>
    <mergeCell ref="Q61:S61"/>
    <mergeCell ref="C62:D62"/>
    <mergeCell ref="Q62:S62"/>
    <mergeCell ref="Q63:S63"/>
    <mergeCell ref="C64:D64"/>
    <mergeCell ref="Q64:S64"/>
    <mergeCell ref="Q67:S67"/>
    <mergeCell ref="Q70:S70"/>
    <mergeCell ref="F69:N69"/>
    <mergeCell ref="Q69:S69"/>
    <mergeCell ref="F68:N68"/>
    <mergeCell ref="Q68:S68"/>
    <mergeCell ref="F70:N70"/>
    <mergeCell ref="C65:T65"/>
    <mergeCell ref="Q212:S212"/>
    <mergeCell ref="Q214:S214"/>
    <mergeCell ref="F211:N211"/>
    <mergeCell ref="Q211:S211"/>
    <mergeCell ref="L209:M209"/>
    <mergeCell ref="Q223:S223"/>
    <mergeCell ref="F225:N225"/>
    <mergeCell ref="F227:K227"/>
    <mergeCell ref="F209:G209"/>
    <mergeCell ref="H209:I209"/>
    <mergeCell ref="J209:K209"/>
    <mergeCell ref="F212:N212"/>
    <mergeCell ref="F213:N213"/>
    <mergeCell ref="Q213:R213"/>
    <mergeCell ref="F214:N214"/>
    <mergeCell ref="H210:I210"/>
    <mergeCell ref="J210:K210"/>
    <mergeCell ref="L210:M210"/>
    <mergeCell ref="F210:G210"/>
    <mergeCell ref="L219:N222"/>
    <mergeCell ref="O226:O231"/>
    <mergeCell ref="F228:K228"/>
    <mergeCell ref="Q222:S222"/>
    <mergeCell ref="F223:N223"/>
    <mergeCell ref="Q293:S296"/>
    <mergeCell ref="F316:N316"/>
    <mergeCell ref="Q316:S316"/>
    <mergeCell ref="Q297:S297"/>
    <mergeCell ref="P299:P300"/>
    <mergeCell ref="Q299:S301"/>
    <mergeCell ref="C292:T292"/>
    <mergeCell ref="F293:N293"/>
    <mergeCell ref="Q284:S284"/>
    <mergeCell ref="F286:H286"/>
    <mergeCell ref="I286:K286"/>
    <mergeCell ref="F287:H287"/>
    <mergeCell ref="F288:H288"/>
    <mergeCell ref="Q288:S288"/>
    <mergeCell ref="Q289:S289"/>
    <mergeCell ref="F284:N284"/>
    <mergeCell ref="F289:H289"/>
    <mergeCell ref="I287:K287"/>
    <mergeCell ref="I288:K288"/>
    <mergeCell ref="T282:T283"/>
    <mergeCell ref="I289:K289"/>
    <mergeCell ref="F285:K285"/>
    <mergeCell ref="Q290:S290"/>
    <mergeCell ref="F290:N290"/>
    <mergeCell ref="Q285:S285"/>
    <mergeCell ref="Q286:S286"/>
    <mergeCell ref="Q287:S287"/>
    <mergeCell ref="F282:N282"/>
    <mergeCell ref="O282:O283"/>
    <mergeCell ref="P282:P283"/>
    <mergeCell ref="F283:N283"/>
    <mergeCell ref="Q282:S283"/>
    <mergeCell ref="F319:N319"/>
    <mergeCell ref="Q319:S319"/>
    <mergeCell ref="T10:T13"/>
    <mergeCell ref="Q10:S11"/>
    <mergeCell ref="Q131:S132"/>
    <mergeCell ref="O164:O165"/>
    <mergeCell ref="Q317:S317"/>
    <mergeCell ref="T298:T301"/>
    <mergeCell ref="F318:N318"/>
    <mergeCell ref="Q318:S318"/>
    <mergeCell ref="T302:T310"/>
    <mergeCell ref="F312:N312"/>
    <mergeCell ref="Q312:S314"/>
    <mergeCell ref="F313:N313"/>
    <mergeCell ref="F314:N314"/>
    <mergeCell ref="F311:N311"/>
    <mergeCell ref="T312:T314"/>
    <mergeCell ref="F315:N315"/>
    <mergeCell ref="Q315:S315"/>
    <mergeCell ref="F317:N317"/>
    <mergeCell ref="F237:N237"/>
    <mergeCell ref="Q237:S237"/>
    <mergeCell ref="F239:N239"/>
    <mergeCell ref="Q239:S239"/>
  </mergeCells>
  <conditionalFormatting sqref="P261">
    <cfRule type="expression" dxfId="2068" priority="555" stopIfTrue="1">
      <formula>AND(P261&lt;&gt;0,COUNTBLANK(P261:P262)&lt;1)</formula>
    </cfRule>
  </conditionalFormatting>
  <conditionalFormatting sqref="P262">
    <cfRule type="expression" dxfId="2067" priority="554" stopIfTrue="1">
      <formula>AND(P262&lt;&gt;0,COUNTBLANK(P261:P262)&lt;1)</formula>
    </cfRule>
  </conditionalFormatting>
  <conditionalFormatting sqref="P256">
    <cfRule type="expression" dxfId="2066" priority="76">
      <formula>AND(claim703.6.4&lt;&gt;"",claim703.6.4&lt;&gt;$O$256)</formula>
    </cfRule>
    <cfRule type="expression" dxfId="2065" priority="163" stopIfTrue="1">
      <formula>AND(P256&gt;0,$P$243="")</formula>
    </cfRule>
    <cfRule type="expression" dxfId="2064" priority="379">
      <formula>AND($P$256&lt;&gt;"", OR(choice701.1="Alternative Bronze", choice701.1="Performance Path",choice701.1=0))</formula>
    </cfRule>
    <cfRule type="expression" dxfId="2063" priority="550" stopIfTrue="1">
      <formula>OR($P$243="",OR(choice701.1="Alternative Bronze",choice701.1="Performance Path",choice701.1=0))</formula>
    </cfRule>
  </conditionalFormatting>
  <conditionalFormatting sqref="P248">
    <cfRule type="expression" dxfId="2062" priority="169">
      <formula>AND($P$248&lt;&gt;"", OR(choice701.1="Alternative Bronze", choice701.1="Performance Path",choice701.1=0))</formula>
    </cfRule>
    <cfRule type="expression" dxfId="2061" priority="385" stopIfTrue="1">
      <formula>AND(P248&lt;&gt;0,OR(SUM(P248:P254)&gt;4, SUM(P248:P254)&lt;3))</formula>
    </cfRule>
    <cfRule type="expression" dxfId="2060" priority="532" stopIfTrue="1">
      <formula>OR(choice701.1="Alternative Bronze",choice701.1="Performance Path",choice701.1=0)</formula>
    </cfRule>
  </conditionalFormatting>
  <conditionalFormatting sqref="P252">
    <cfRule type="expression" dxfId="2059" priority="166">
      <formula>AND($P$252&lt;&gt;"", OR(choice701.1="Alternative Bronze", choice701.1="Performance Path",choice701.1=0))</formula>
    </cfRule>
    <cfRule type="expression" dxfId="2058" priority="382" stopIfTrue="1">
      <formula>AND(P252&lt;&gt;0,OR(SUM(P248:P254)&gt;4, SUM(P248:P254)&lt;3))</formula>
    </cfRule>
    <cfRule type="expression" dxfId="2057" priority="531" stopIfTrue="1">
      <formula>OR(choice701.1="Alternative Bronze",choice701.1="Performance Path",choice701.1=0)</formula>
    </cfRule>
  </conditionalFormatting>
  <conditionalFormatting sqref="P251">
    <cfRule type="expression" dxfId="2056" priority="167" stopIfTrue="1">
      <formula>AND(P251&lt;&gt;0,OR(SUM(P248:P254)&gt;4, SUM(P248:P254)&lt;3))</formula>
    </cfRule>
    <cfRule type="expression" dxfId="2055" priority="383">
      <formula>AND($P$251&lt;&gt;"", OR(choice701.1="Alternative Bronze", choice701.1="Performance Path",choice701.1=0))</formula>
    </cfRule>
    <cfRule type="expression" dxfId="2054" priority="530" stopIfTrue="1">
      <formula>OR(choice701.1="Alternative Bronze",choice701.1="Performance Path",choice701.1=0)</formula>
    </cfRule>
  </conditionalFormatting>
  <conditionalFormatting sqref="P253">
    <cfRule type="expression" dxfId="2053" priority="165" stopIfTrue="1">
      <formula>AND(P253&lt;&gt;0,OR(SUM(P248:P254)&gt;4, SUM(P248:P254)&lt;3))</formula>
    </cfRule>
    <cfRule type="expression" dxfId="2052" priority="381">
      <formula>AND($P$253&lt;&gt;"", OR(choice701.1="Alternative Bronze", choice701.1="Performance Path",choice701.1=0))</formula>
    </cfRule>
    <cfRule type="expression" dxfId="2051" priority="529" stopIfTrue="1">
      <formula>OR(choice701.1="Alternative Bronze",choice701.1="Performance Path",choice701.1=0)</formula>
    </cfRule>
  </conditionalFormatting>
  <conditionalFormatting sqref="P254">
    <cfRule type="expression" dxfId="2050" priority="164">
      <formula>AND($P$254&lt;&gt;"", OR(choice701.1="Alternative Bronze", choice701.1="Performance Path",choice701.1=0))</formula>
    </cfRule>
    <cfRule type="expression" dxfId="2049" priority="380" stopIfTrue="1">
      <formula>AND(P254&lt;&gt;0,OR(SUM(P248:P254)&gt;4, SUM(P248:P254)&lt;3))</formula>
    </cfRule>
    <cfRule type="expression" dxfId="2048" priority="528" stopIfTrue="1">
      <formula>OR(choice701.1="Alternative Bronze",choice701.1="Performance Path",choice701.1=0)</formula>
    </cfRule>
  </conditionalFormatting>
  <conditionalFormatting sqref="P16 P20 P27 P61 P63 P24:P25">
    <cfRule type="expression" dxfId="2047" priority="518" stopIfTrue="1">
      <formula>OR(claim701.1=30,  choice701.1="")</formula>
    </cfRule>
    <cfRule type="expression" dxfId="2046" priority="519" stopIfTrue="1">
      <formula>OR(P16="Not Met", P16="")</formula>
    </cfRule>
  </conditionalFormatting>
  <conditionalFormatting sqref="P21 P23 P62">
    <cfRule type="expression" dxfId="2045" priority="506" stopIfTrue="1">
      <formula>OR(claim701.1=30, choice701.1=0)</formula>
    </cfRule>
    <cfRule type="expression" dxfId="2044" priority="507" stopIfTrue="1">
      <formula>OR(P21="Not Met",P21="")</formula>
    </cfRule>
  </conditionalFormatting>
  <conditionalFormatting sqref="P269">
    <cfRule type="expression" dxfId="2043" priority="370" stopIfTrue="1">
      <formula>AND($P$269&lt;&gt;"",choice701.1=0)</formula>
    </cfRule>
    <cfRule type="expression" dxfId="2042" priority="475" stopIfTrue="1">
      <formula>choice701.1=0</formula>
    </cfRule>
  </conditionalFormatting>
  <conditionalFormatting sqref="P151">
    <cfRule type="expression" dxfId="2041" priority="5">
      <formula>AND($P$152&gt;0, SUM($P$164,$P$167)&gt;0)</formula>
    </cfRule>
    <cfRule type="expression" dxfId="2040" priority="25">
      <formula>$P$133&lt;&gt;0</formula>
    </cfRule>
    <cfRule type="expression" dxfId="2039" priority="57">
      <formula>AND($B$151="x")</formula>
    </cfRule>
    <cfRule type="expression" dxfId="2038" priority="459" stopIfTrue="1">
      <formula>AND($P$151&lt;&gt;"", OR(choice701.1="Alternative Bronze",choice701.1="Performance Path",choice701.1=0))</formula>
    </cfRule>
    <cfRule type="expression" dxfId="2037" priority="472" stopIfTrue="1">
      <formula>OR(choice701.1="Alternative Bronze", choice701.1="Performance Path", choice701.1=0)</formula>
    </cfRule>
  </conditionalFormatting>
  <conditionalFormatting sqref="P214">
    <cfRule type="expression" dxfId="2036" priority="442" stopIfTrue="1">
      <formula>OR(AND($P$214&lt;&gt;"",OR(startMultiUnits&lt;2,startSingleorMulti&lt;&gt;"Multi-Unit")), AND($P$214&lt;&gt;"", OR(choice701.1="Alternative Bronze", choice701.1="Performance Path",choice701.1=0)))</formula>
    </cfRule>
    <cfRule type="expression" dxfId="2035" priority="449" stopIfTrue="1">
      <formula>OR(startSingleorMulti&lt;&gt;"Multi-Unit", startMultiUnits&lt;2)</formula>
    </cfRule>
    <cfRule type="expression" dxfId="2034" priority="471" stopIfTrue="1">
      <formula>OR(choice701.1="Alternative Bronze", choice701.1="Performance Path", choice701.1=0)</formula>
    </cfRule>
  </conditionalFormatting>
  <conditionalFormatting sqref="P216">
    <cfRule type="expression" dxfId="2033" priority="221" stopIfTrue="1">
      <formula>OR(AND($P$216&lt;&gt;"",AND(startHVAC1&lt;&gt;"Boiler",startHVAC2&lt;&gt;"Boiler",startHVAC3&lt;&gt;"Boiler")), AND($P$216&lt;&gt;"", OR(choice701.1="Alternative Bronze",choice701.1="Performance Path",choice701.1=0)))</formula>
    </cfRule>
    <cfRule type="expression" dxfId="2032" priority="448">
      <formula>AND(startHVAC1&lt;&gt;"Boiler",startHVAC2&lt;&gt;"Boiler",startHVAC3&lt;&gt;"Boiler")</formula>
    </cfRule>
    <cfRule type="expression" dxfId="2031" priority="469" stopIfTrue="1">
      <formula>OR(choice701.1="Alternative Bronze", choice701.1="Performance Path", choice701.1=0)</formula>
    </cfRule>
  </conditionalFormatting>
  <conditionalFormatting sqref="P274">
    <cfRule type="expression" dxfId="2030" priority="565" stopIfTrue="1">
      <formula>AND(P274&lt;&gt;0,COUNTBLANK(P274:P277)&lt;4)</formula>
    </cfRule>
  </conditionalFormatting>
  <conditionalFormatting sqref="P276">
    <cfRule type="expression" dxfId="2029" priority="566" stopIfTrue="1">
      <formula>AND(P276&lt;&gt;0,COUNTBLANK(P274:P277)&lt;4)</formula>
    </cfRule>
  </conditionalFormatting>
  <conditionalFormatting sqref="P277">
    <cfRule type="expression" dxfId="2028" priority="567" stopIfTrue="1">
      <formula>AND(P277&lt;&gt;0,COUNTBLANK(P274:P277)&lt;4)</formula>
    </cfRule>
  </conditionalFormatting>
  <conditionalFormatting sqref="P127">
    <cfRule type="expression" dxfId="2027" priority="429" stopIfTrue="1">
      <formula>AND($P$127&gt;0, OR(choice701.1="Alternative Bronze",choice701.1="Performance Path",choice701.1=0))</formula>
    </cfRule>
    <cfRule type="expression" dxfId="2026" priority="435" stopIfTrue="1">
      <formula>OR(choice701.1="Alternative Bronze",choice701.1="Performance Path",choice701.1=0)</formula>
    </cfRule>
  </conditionalFormatting>
  <conditionalFormatting sqref="P173">
    <cfRule type="expression" dxfId="2025" priority="425" stopIfTrue="1">
      <formula>AND($P$173&lt;&gt;"", OR(choice701.1="Alternative Bronze", choice701.1="Performance Path",choice701.1=0))</formula>
    </cfRule>
    <cfRule type="expression" dxfId="2024" priority="458" stopIfTrue="1">
      <formula xml:space="preserve"> OR(choice701.1="Alternative Bronze", choice701.1="Performance Path",choice701.1=0)</formula>
    </cfRule>
  </conditionalFormatting>
  <conditionalFormatting sqref="P175">
    <cfRule type="expression" dxfId="2023" priority="83">
      <formula>AND(claim703.2.8&lt;&gt;"",claim703.2.8&lt;&gt;$O$175)</formula>
    </cfRule>
    <cfRule type="expression" dxfId="2022" priority="423" stopIfTrue="1">
      <formula>AND($P$175&lt;&gt;"", OR(choice701.1="Alternative Bronze", choice701.1="Performance Path",choice701.1=0))</formula>
    </cfRule>
    <cfRule type="expression" dxfId="2021" priority="424" stopIfTrue="1">
      <formula xml:space="preserve"> OR(choice701.1="Alternative Bronze", choice701.1="Performance Path", choice701.1=0)</formula>
    </cfRule>
  </conditionalFormatting>
  <conditionalFormatting sqref="O215:S215">
    <cfRule type="expression" dxfId="2020" priority="418" stopIfTrue="1">
      <formula>$O$215="Projects must be labelled Multi-Unit and have 2 or more units to claim points for 703.5.3. See the Start Here! worksheet."</formula>
    </cfRule>
    <cfRule type="expression" dxfId="2019" priority="446" stopIfTrue="1">
      <formula>$O$215="This project is labelled Multi-Unit &amp; has 2 or more units AND follows the Prescriptive Path for Energy Efficiency. It is eligible for points in 703.5.3."</formula>
    </cfRule>
  </conditionalFormatting>
  <conditionalFormatting sqref="P4">
    <cfRule type="expression" dxfId="2018" priority="416" stopIfTrue="1">
      <formula>$P$4="Not Met"</formula>
    </cfRule>
  </conditionalFormatting>
  <conditionalFormatting sqref="P3">
    <cfRule type="expression" dxfId="2017" priority="415" stopIfTrue="1">
      <formula>$P$3="Not Met"</formula>
    </cfRule>
  </conditionalFormatting>
  <conditionalFormatting sqref="O179:S179">
    <cfRule type="expression" dxfId="2016" priority="408" stopIfTrue="1">
      <formula>$O$179="This project is labelled Multi-Unit &amp; has 2 or more units AND follows the Prescriptive Path for Energy Efficiency. It is eligible for points in 703.4.9."</formula>
    </cfRule>
  </conditionalFormatting>
  <conditionalFormatting sqref="P267">
    <cfRule type="expression" dxfId="2015" priority="161">
      <formula>AND($P$267&lt;&gt;"",choice701.1=0)</formula>
    </cfRule>
    <cfRule type="expression" dxfId="2014" priority="393" stopIfTrue="1">
      <formula>choice701.1=0</formula>
    </cfRule>
  </conditionalFormatting>
  <conditionalFormatting sqref="P243">
    <cfRule type="expression" dxfId="2013" priority="171">
      <formula>AND($P$243&lt;&gt;"", OR(choice701.1="Alternative Bronze", choice701.1="Performance Path",choice701.1=0))</formula>
    </cfRule>
    <cfRule type="expression" dxfId="2012" priority="387" stopIfTrue="1">
      <formula>OR(choice701.1="Alternative Bronze",choice701.1="Performance Path",choice701.1=0)</formula>
    </cfRule>
  </conditionalFormatting>
  <conditionalFormatting sqref="P246">
    <cfRule type="expression" dxfId="2011" priority="170">
      <formula>AND($P$246&lt;&gt;"", OR(choice701.1="Alternative Bronze", choice701.1="Performance Path",choice701.1=0))</formula>
    </cfRule>
    <cfRule type="expression" dxfId="2010" priority="386" stopIfTrue="1">
      <formula>OR(choice701.1="Alternative Bronze",choice701.1="Performance Path",choice701.1=0)</formula>
    </cfRule>
  </conditionalFormatting>
  <conditionalFormatting sqref="P271">
    <cfRule type="expression" dxfId="2009" priority="158">
      <formula>AND($P$271&lt;&gt;"",choice701.1=0)</formula>
    </cfRule>
    <cfRule type="expression" dxfId="2008" priority="369" stopIfTrue="1">
      <formula>choice701.1=0</formula>
    </cfRule>
  </conditionalFormatting>
  <conditionalFormatting sqref="P272">
    <cfRule type="expression" dxfId="2007" priority="157">
      <formula>AND($P$272&lt;&gt;"",choice701.1=0)</formula>
    </cfRule>
    <cfRule type="expression" dxfId="2006" priority="368" stopIfTrue="1">
      <formula>choice701.1=0</formula>
    </cfRule>
  </conditionalFormatting>
  <conditionalFormatting sqref="P273">
    <cfRule type="expression" dxfId="2005" priority="156">
      <formula>AND($P$273&lt;&gt;"",choice701.1=0)</formula>
    </cfRule>
    <cfRule type="expression" dxfId="2004" priority="366" stopIfTrue="1">
      <formula>choice701.1=0</formula>
    </cfRule>
  </conditionalFormatting>
  <conditionalFormatting sqref="P275">
    <cfRule type="expression" dxfId="2003" priority="155">
      <formula>AND($P$275&lt;&gt;"",choice701.1=0)</formula>
    </cfRule>
    <cfRule type="expression" dxfId="2002" priority="365" stopIfTrue="1">
      <formula>choice701.1=0</formula>
    </cfRule>
  </conditionalFormatting>
  <conditionalFormatting sqref="P282:P283">
    <cfRule type="expression" dxfId="2001" priority="153">
      <formula>AND($P$282&lt;&gt;"",choice701.1=0)</formula>
    </cfRule>
    <cfRule type="expression" dxfId="2000" priority="356" stopIfTrue="1">
      <formula>choice701.1=0</formula>
    </cfRule>
  </conditionalFormatting>
  <conditionalFormatting sqref="P294">
    <cfRule type="expression" dxfId="1999" priority="150">
      <formula>AND($P$294&lt;&gt;"",choice701.1=0)</formula>
    </cfRule>
    <cfRule type="expression" dxfId="1998" priority="355" stopIfTrue="1">
      <formula>choice701.1=0</formula>
    </cfRule>
  </conditionalFormatting>
  <conditionalFormatting sqref="P295">
    <cfRule type="expression" dxfId="1997" priority="149">
      <formula>AND($P$295&lt;&gt;"",choice701.1=0)</formula>
    </cfRule>
    <cfRule type="expression" dxfId="1996" priority="354" stopIfTrue="1">
      <formula>choice701.1=0</formula>
    </cfRule>
  </conditionalFormatting>
  <conditionalFormatting sqref="P296">
    <cfRule type="expression" dxfId="1995" priority="148">
      <formula>AND($P$296&lt;&gt;"",choice701.1=0)</formula>
    </cfRule>
    <cfRule type="expression" dxfId="1994" priority="353" stopIfTrue="1">
      <formula>choice701.1=0</formula>
    </cfRule>
  </conditionalFormatting>
  <conditionalFormatting sqref="P298">
    <cfRule type="expression" dxfId="1993" priority="147">
      <formula>AND($P$298&lt;&gt;"",choice701.1=0)</formula>
    </cfRule>
    <cfRule type="expression" dxfId="1992" priority="352" stopIfTrue="1">
      <formula>choice701.1=0</formula>
    </cfRule>
  </conditionalFormatting>
  <conditionalFormatting sqref="P64">
    <cfRule type="expression" dxfId="1991" priority="37">
      <formula>AND(B64&lt;&gt;"x",$P$64="No Boiler")</formula>
    </cfRule>
    <cfRule type="expression" dxfId="1990" priority="67">
      <formula>AND($P$64&lt;&gt;"",$P$64&lt;&gt;"Met",$P$64&lt;&gt;"No Boiler")</formula>
    </cfRule>
    <cfRule type="expression" dxfId="1989" priority="346" stopIfTrue="1">
      <formula>OR(claim701.1=30, choice701.1=0)</formula>
    </cfRule>
    <cfRule type="expression" dxfId="1988" priority="347" stopIfTrue="1">
      <formula>AND(B64&lt;&gt;"x",OR(P64="Not Met", P64=""))</formula>
    </cfRule>
  </conditionalFormatting>
  <conditionalFormatting sqref="P69">
    <cfRule type="expression" dxfId="1987" priority="52">
      <formula>AND($P$69="Not Performance", choice701.1="Performance Path")</formula>
    </cfRule>
    <cfRule type="expression" dxfId="1986" priority="53">
      <formula>OR(claim701.1=30, choice701.1="", choice701.1="Prescriptive Path")</formula>
    </cfRule>
    <cfRule type="expression" dxfId="1985" priority="71">
      <formula>AND($P$69="Met",OR($P$10="Prescriptive Path",P10="Alternative Bronze"))</formula>
    </cfRule>
    <cfRule type="expression" dxfId="1984" priority="72">
      <formula>OR(P69="Not Met", P69="")</formula>
    </cfRule>
  </conditionalFormatting>
  <conditionalFormatting sqref="P67:P68">
    <cfRule type="expression" dxfId="1983" priority="790" stopIfTrue="1">
      <formula>AND(P67&gt;0,COUNTBLANK(P66:P70)&lt;3)</formula>
    </cfRule>
  </conditionalFormatting>
  <conditionalFormatting sqref="P70">
    <cfRule type="expression" dxfId="1982" priority="7">
      <formula>AND(choice701.1="Performance Path",choice702.2.2="")</formula>
    </cfRule>
    <cfRule type="expression" dxfId="1981" priority="73">
      <formula>AND($P$70&lt;&gt;"",OR(choice701.1="Alternative Bronze",choice701.1="Prescriptive Path",choice701.1=0))</formula>
    </cfRule>
    <cfRule type="expression" dxfId="1980" priority="74">
      <formula>choice701.1&lt;&gt;"Performance Path"</formula>
    </cfRule>
  </conditionalFormatting>
  <conditionalFormatting sqref="Q10:S10 Q113:S113 Q218:S218 Q226 Q41:S41 Q12:S13 Q20:S21 Q23:S25 Q27:S39 Q42 Q43:S43 Q61:S64 Q69:S69 Q75:S75 Q88:S88 Q91:S91 Q97:S97 Q99:S99 Q107:S111 Q114:Q124 Q130:S130 Q151 Q156 Q158:S158 Q164:S164 Q166:S166 Q173:S175 Q178:S178 Q181:S181 Q184:S184 Q187:S187 Q189 Q197:S197 Q212:S212 Q214:S214 Q216:S216 Q237:S239 Q241:S241 Q243:S243 Q246 Q248:S254 Q256:S256 Q265:S269 Q271:S271 Q273:S273 Q275:S275 Q302:S316 Q318:S318 Q233:S234 Q298:S298 AC272:AD272 Q319">
    <cfRule type="beginsWith" dxfId="1979" priority="339" operator="beginsWith" text="*">
      <formula>LEFT(Q10,LEN("*"))="*"</formula>
    </cfRule>
  </conditionalFormatting>
  <conditionalFormatting sqref="Q16:S17">
    <cfRule type="beginsWith" dxfId="1978" priority="335" operator="beginsWith" text="*">
      <formula>LEFT(Q16,LEN("*"))="*"</formula>
    </cfRule>
    <cfRule type="containsBlanks" dxfId="1977" priority="828">
      <formula>LEN(TRIM(Q16))=0</formula>
    </cfRule>
  </conditionalFormatting>
  <conditionalFormatting sqref="Q70:S70">
    <cfRule type="containsBlanks" dxfId="1976" priority="320">
      <formula>LEN(TRIM(Q70))=0</formula>
    </cfRule>
    <cfRule type="beginsWith" dxfId="1975" priority="321" operator="beginsWith" text="*">
      <formula>LEFT(Q70,LEN("*"))="*"</formula>
    </cfRule>
  </conditionalFormatting>
  <conditionalFormatting sqref="P88">
    <cfRule type="expression" dxfId="1974" priority="791" stopIfTrue="1">
      <formula>OR(AND($P$76&gt;0,$P$88&lt;&gt;""), AND($P$88&gt;0, OR(choice701.1="Alternative Bronze",choice701.1="Performance Path",choice701.1=0)))</formula>
    </cfRule>
    <cfRule type="expression" dxfId="1973" priority="792" stopIfTrue="1">
      <formula>OR(AND(claim703.1.1&lt;&gt;0,choice701.1="Prescriptive Path"),choice701.1="Alternative Bronze",choice701.1="Performance Path",choice701.1=0)</formula>
    </cfRule>
  </conditionalFormatting>
  <conditionalFormatting sqref="P107">
    <cfRule type="expression" dxfId="1972" priority="206">
      <formula>OR(choice701.1="Alternative Bronze",choice701.1="Performance Path",choice701.1="")</formula>
    </cfRule>
    <cfRule type="expression" dxfId="1971" priority="303" stopIfTrue="1">
      <formula>OR(P107="Not Met", P107="")</formula>
    </cfRule>
  </conditionalFormatting>
  <conditionalFormatting sqref="Q127:S127">
    <cfRule type="containsBlanks" dxfId="1970" priority="217">
      <formula>LEN(TRIM(Q127))=0</formula>
    </cfRule>
    <cfRule type="beginsWith" dxfId="1969" priority="296" operator="beginsWith" text="*">
      <formula>LEFT(Q127,LEN("*"))="*"</formula>
    </cfRule>
  </conditionalFormatting>
  <conditionalFormatting sqref="P178">
    <cfRule type="expression" dxfId="1968" priority="188">
      <formula>AND(OR(startSingleorMulti="Single-Family",startSingleorMulti=""),$P$178&lt;&gt;"")</formula>
    </cfRule>
    <cfRule type="expression" dxfId="1967" priority="189">
      <formula>AND($P$178&lt;&gt;"", OR(choice701.1="Alternative Bronze", choice701.1="Performance Path",choice701.1=0))</formula>
    </cfRule>
    <cfRule type="expression" dxfId="1966" priority="190">
      <formula>OR(choice701.1="Alternative Bronze",choice701.1="Performance Path",choice701.1=0)</formula>
    </cfRule>
    <cfRule type="expression" dxfId="1965" priority="287">
      <formula>OR(startSingleorMulti="Single-Family",startSingleorMulti="",AND(startSingleorMulti="Multi-Unit",startMultiUnits&lt;2))</formula>
    </cfRule>
  </conditionalFormatting>
  <conditionalFormatting sqref="P189">
    <cfRule type="expression" dxfId="1964" priority="282" stopIfTrue="1">
      <formula>AND($P$189&lt;&gt;"",OR(choice701.1="Alternative Bronze",choice701.1="Performance Path",choice701.1=0))</formula>
    </cfRule>
    <cfRule type="expression" dxfId="1963" priority="283" stopIfTrue="1">
      <formula xml:space="preserve"> OR(choice701.1="Alternative Bronze", choice701.1="Performance Path", choice701.1=0)</formula>
    </cfRule>
  </conditionalFormatting>
  <conditionalFormatting sqref="P197">
    <cfRule type="expression" dxfId="1962" priority="102">
      <formula>AND(claim703.4.5&gt;0,claim703.4.1&gt;0)</formula>
    </cfRule>
    <cfRule type="expression" dxfId="1961" priority="803" stopIfTrue="1">
      <formula xml:space="preserve"> AND($P$197&lt;&gt;"", OR(choice701.1="Alternative Bronze", choice701.1="Performance Path",choice701.1=0))</formula>
    </cfRule>
    <cfRule type="expression" dxfId="1960" priority="804" stopIfTrue="1">
      <formula xml:space="preserve"> OR(choice701.1="Alternative Bronze", choice701.1="Performance Path", choice701.1=0)</formula>
    </cfRule>
  </conditionalFormatting>
  <conditionalFormatting sqref="P235">
    <cfRule type="expression" dxfId="1959" priority="274" stopIfTrue="1">
      <formula>OR(choice701.1="Alternative Bronze",choice701.1="Performance Path",choice701.1=0)</formula>
    </cfRule>
  </conditionalFormatting>
  <conditionalFormatting sqref="P238">
    <cfRule type="expression" dxfId="1958" priority="269" stopIfTrue="1">
      <formula>AND($P$238&lt;&gt;"", OR(choice701.1="Alternative Bronze",choice701.1="Performance Path",choice701.1=0))</formula>
    </cfRule>
    <cfRule type="expression" dxfId="1957" priority="270" stopIfTrue="1">
      <formula>OR(choice701.1="Alternative Bronze",choice701.1="Performance Path",choice701.1=0)</formula>
    </cfRule>
  </conditionalFormatting>
  <conditionalFormatting sqref="P237">
    <cfRule type="expression" dxfId="1956" priority="78">
      <formula>AND(claim703.5.3_1&lt;&gt;"",claim703.5.3_1&lt;&gt;$O$237)</formula>
    </cfRule>
    <cfRule type="expression" dxfId="1955" priority="264" stopIfTrue="1">
      <formula>AND($P$237&lt;&gt;"", OR(choice701.1="Alternative Bronze",choice701.1="Performance Path",choice701.1=0))</formula>
    </cfRule>
    <cfRule type="expression" dxfId="1954" priority="266" stopIfTrue="1">
      <formula>OR(choice701.1="Alternative Bronze",choice701.1="Performance Path",choice701.1=0)</formula>
    </cfRule>
  </conditionalFormatting>
  <conditionalFormatting sqref="P239">
    <cfRule type="expression" dxfId="1953" priority="257" stopIfTrue="1">
      <formula>AND($P$239&lt;&gt;"", OR(choice701.1="Alternative Bronze",choice701.1="Performance Path",choice701.1=0))</formula>
    </cfRule>
    <cfRule type="expression" dxfId="1952" priority="258" stopIfTrue="1">
      <formula>OR(choice701.1="Alternative Bronze",choice701.1="Performance Path",choice701.1=0)</formula>
    </cfRule>
  </conditionalFormatting>
  <conditionalFormatting sqref="P241">
    <cfRule type="expression" dxfId="1951" priority="253" stopIfTrue="1">
      <formula>AND($P$241&lt;&gt;"", OR(choice701.1="Alternative Bronze",choice701.1="Performance Path",choice701.1=0))</formula>
    </cfRule>
    <cfRule type="expression" dxfId="1950" priority="254" stopIfTrue="1">
      <formula>OR(choice701.1="Alternative Bronze",choice701.1="Performance Path",choice701.1=0)</formula>
    </cfRule>
  </conditionalFormatting>
  <conditionalFormatting sqref="P265">
    <cfRule type="expression" dxfId="1949" priority="162">
      <formula>AND($P$265&lt;&gt;"",choice701.1=0)</formula>
    </cfRule>
    <cfRule type="expression" dxfId="1948" priority="807" stopIfTrue="1">
      <formula>choice701.1=0</formula>
    </cfRule>
  </conditionalFormatting>
  <conditionalFormatting sqref="P279">
    <cfRule type="expression" dxfId="1947" priority="808" stopIfTrue="1">
      <formula>choice701.1=0</formula>
    </cfRule>
  </conditionalFormatting>
  <conditionalFormatting sqref="P280">
    <cfRule type="expression" dxfId="1946" priority="234">
      <formula>OR(AND(claim704.5.2.1_2&lt;&gt;"",claim704.5.2.1_1=""),AND($P$280&lt;&gt;"",choice701.1=0))</formula>
    </cfRule>
    <cfRule type="expression" dxfId="1945" priority="237">
      <formula>claim704.5.2.1_1&lt;&gt;5</formula>
    </cfRule>
    <cfRule type="expression" dxfId="1944" priority="810" stopIfTrue="1">
      <formula>choice701.1=0</formula>
    </cfRule>
  </conditionalFormatting>
  <conditionalFormatting sqref="Q282:S283">
    <cfRule type="beginsWith" dxfId="1943" priority="235" operator="beginsWith" text="*">
      <formula>LEFT(Q282,LEN("*"))="*"</formula>
    </cfRule>
    <cfRule type="containsBlanks" dxfId="1942" priority="827">
      <formula>LEN(TRIM(Q282))=0</formula>
    </cfRule>
  </conditionalFormatting>
  <conditionalFormatting sqref="Q284:S284 Q285:Q291 Q293:S296">
    <cfRule type="beginsWith" dxfId="1941" priority="231" operator="beginsWith" text="*">
      <formula>LEFT(Q284,LEN("*"))="*"</formula>
    </cfRule>
  </conditionalFormatting>
  <conditionalFormatting sqref="Q88:S89">
    <cfRule type="containsBlanks" dxfId="1940" priority="218">
      <formula>LEN(TRIM(Q88))=0</formula>
    </cfRule>
  </conditionalFormatting>
  <conditionalFormatting sqref="Q299:S301">
    <cfRule type="beginsWith" dxfId="1939" priority="215" operator="beginsWith" text="*">
      <formula>LEFT(Q299,LEN("*"))="*"</formula>
    </cfRule>
  </conditionalFormatting>
  <conditionalFormatting sqref="P130">
    <cfRule type="expression" dxfId="1938" priority="23">
      <formula>$P$152&gt;0</formula>
    </cfRule>
    <cfRule type="expression" dxfId="1937" priority="43">
      <formula>AND($P$130&lt;&gt;"",AND($A$134="O",AND($P$130&lt;&gt;"Oil Boiler",$P$130&lt;&gt;"Oil Furnace")))</formula>
    </cfRule>
    <cfRule type="expression" dxfId="1936" priority="45">
      <formula>AND($P$130&lt;&gt;"",AND($A$133="G",AND($P$130&lt;&gt;"Gas Heaters",$P$130&lt;&gt;"Gas Boiler")))</formula>
    </cfRule>
    <cfRule type="expression" dxfId="1935" priority="47">
      <formula>$A$130="x"</formula>
    </cfRule>
    <cfRule type="expression" dxfId="1934" priority="210">
      <formula>AND($P$130&lt;&gt;"", OR(choice701.1="Alternative Bronze", choice701.1="Performance Path",choice701.1=0))</formula>
    </cfRule>
    <cfRule type="expression" dxfId="1933" priority="213">
      <formula>OR(choice701.1="Alternative Bronze",choice701.1="Performance Path",choice701.1=0)</formula>
    </cfRule>
  </conditionalFormatting>
  <conditionalFormatting sqref="P132">
    <cfRule type="expression" dxfId="1932" priority="22">
      <formula>$P$152&gt;0</formula>
    </cfRule>
    <cfRule type="expression" dxfId="1931" priority="46">
      <formula>$A$132="x"</formula>
    </cfRule>
    <cfRule type="expression" dxfId="1930" priority="209">
      <formula>AND($P$132&lt;&gt;"", OR(choice701.1="Alternative Bronze", choice701.1="Performance Path",choice701.1=0))</formula>
    </cfRule>
    <cfRule type="expression" dxfId="1929" priority="212">
      <formula>OR(choice701.1="Alternative Bronze",choice701.1="Performance Path",choice701.1=0)</formula>
    </cfRule>
  </conditionalFormatting>
  <conditionalFormatting sqref="P113">
    <cfRule type="expression" dxfId="1928" priority="207">
      <formula>AND($P$113&lt;&gt;"", OR(choice701.1="Alternative Bronze", choice701.1="Performance Path",choice701.1=0))</formula>
    </cfRule>
    <cfRule type="expression" dxfId="1927" priority="208">
      <formula>OR(choice701.1="Alternative Bronze",choice701.1="Performance Path",choice701.1=0)</formula>
    </cfRule>
  </conditionalFormatting>
  <conditionalFormatting sqref="P99">
    <cfRule type="expression" dxfId="1926" priority="203">
      <formula>AND($P$99&lt;&gt;"", OR(choice701.1="Alternative Bronze", choice701.1="Performance Path",choice701.1=0))</formula>
    </cfRule>
    <cfRule type="expression" dxfId="1925" priority="204">
      <formula>OR(choice701.1="Alternative Bronze",choice701.1="Performance Path",choice701.1=0)</formula>
    </cfRule>
  </conditionalFormatting>
  <conditionalFormatting sqref="P97">
    <cfRule type="expression" dxfId="1924" priority="85">
      <formula>AND(claim703.1.4&lt;&gt;"",claim703.1.4&lt;&gt;$O$97)</formula>
    </cfRule>
    <cfRule type="expression" dxfId="1923" priority="201">
      <formula>AND($P$97&lt;&gt;"", OR(choice701.1="Alternative Bronze", choice701.1="Performance Path",choice701.1=0))</formula>
    </cfRule>
    <cfRule type="expression" dxfId="1922" priority="202">
      <formula>OR(choice701.1="Alternative Bronze",choice701.1="Performance Path",choice701.1=0)</formula>
    </cfRule>
  </conditionalFormatting>
  <conditionalFormatting sqref="P91">
    <cfRule type="expression" dxfId="1921" priority="199">
      <formula>AND($P$91&lt;&gt;"", OR(choice701.1="Alternative Bronze", choice701.1="Performance Path",choice701.1=0))</formula>
    </cfRule>
    <cfRule type="expression" dxfId="1920" priority="200">
      <formula>OR(choice701.1="Alternative Bronze",choice701.1="Performance Path",choice701.1=0)</formula>
    </cfRule>
  </conditionalFormatting>
  <conditionalFormatting sqref="P75">
    <cfRule type="expression" dxfId="1919" priority="48">
      <formula>AND($P$76&gt;0,$P$89&gt;0)</formula>
    </cfRule>
    <cfRule type="expression" dxfId="1918" priority="197">
      <formula>AND($P$75&lt;&gt;"", OR(choice701.1="Alternative Bronze", choice701.1="Performance Path",choice701.1=0))</formula>
    </cfRule>
    <cfRule type="expression" dxfId="1917" priority="198">
      <formula>OR(choice701.1="Alternative Bronze",choice701.1="Performance Path",choice701.1=0)</formula>
    </cfRule>
  </conditionalFormatting>
  <conditionalFormatting sqref="P158">
    <cfRule type="expression" dxfId="1916" priority="4">
      <formula>AND($P$159&gt;0,SUM($P$164,$P$167)&gt;0)</formula>
    </cfRule>
    <cfRule type="expression" dxfId="1915" priority="195">
      <formula>AND($P$158&lt;&gt;"", OR(choice701.1="Alternative Bronze", choice701.1="Performance Path",choice701.1=0))</formula>
    </cfRule>
    <cfRule type="expression" dxfId="1914" priority="196">
      <formula>OR(choice701.1="Alternative Bronze",choice701.1="Performance Path",choice701.1=0)</formula>
    </cfRule>
  </conditionalFormatting>
  <conditionalFormatting sqref="P164:P165">
    <cfRule type="expression" dxfId="1913" priority="19">
      <formula>AND($P$164&gt;0,OR($P$167&gt;0,$P$159&gt;0,$P$152&gt;0,$P$133&gt;0))</formula>
    </cfRule>
    <cfRule type="expression" dxfId="1912" priority="20">
      <formula>OR($P$167&gt;0,$P$159&gt;0,$P$152&gt;0,$P$133&gt;0)</formula>
    </cfRule>
    <cfRule type="expression" dxfId="1911" priority="84">
      <formula>AND(claim703.2.5&lt;&gt;"",claim703.2.5&lt;&gt;$O$164)</formula>
    </cfRule>
    <cfRule type="expression" dxfId="1910" priority="193">
      <formula>AND($P$164&lt;&gt;"", OR(choice701.1="Alternative Bronze", choice701.1="Performance Path",choice701.1=0))</formula>
    </cfRule>
    <cfRule type="expression" dxfId="1909" priority="194">
      <formula>OR(choice701.1="Alternative Bronze",choice701.1="Performance Path",choice701.1=0)</formula>
    </cfRule>
  </conditionalFormatting>
  <conditionalFormatting sqref="P166">
    <cfRule type="expression" dxfId="1908" priority="3">
      <formula>AND($P$167&gt;0, SUM($P$164,$P$159,$P$152)&gt;0)</formula>
    </cfRule>
    <cfRule type="expression" dxfId="1907" priority="191">
      <formula>AND($P$166&lt;&gt;"", OR(choice701.1="Alternative Bronze", choice701.1="Performance Path",choice701.1=0))</formula>
    </cfRule>
    <cfRule type="expression" dxfId="1906" priority="192">
      <formula>OR(choice701.1="Alternative Bronze",choice701.1="Performance Path",choice701.1=0)</formula>
    </cfRule>
  </conditionalFormatting>
  <conditionalFormatting sqref="P181">
    <cfRule type="expression" dxfId="1905" priority="82">
      <formula>AND(claim703.3.1&lt;&gt;"",claim703.3.1&lt;&gt;$O$181)</formula>
    </cfRule>
    <cfRule type="expression" dxfId="1904" priority="186">
      <formula>AND($P$181&lt;&gt;"", OR(choice701.1="Alternative Bronze", choice701.1="Performance Path",choice701.1=0))</formula>
    </cfRule>
    <cfRule type="expression" dxfId="1903" priority="187">
      <formula>OR(choice701.1="Alternative Bronze",choice701.1="Performance Path",choice701.1=0)</formula>
    </cfRule>
  </conditionalFormatting>
  <conditionalFormatting sqref="P184">
    <cfRule type="expression" dxfId="1902" priority="81">
      <formula>AND(claim703.3.2&lt;&gt;"",claim703.3.2&lt;&gt;$O$184)</formula>
    </cfRule>
    <cfRule type="expression" dxfId="1901" priority="184">
      <formula>AND($P$184&lt;&gt;"", OR(choice701.1="Alternative Bronze", choice701.1="Performance Path",choice701.1=0))</formula>
    </cfRule>
    <cfRule type="expression" dxfId="1900" priority="185">
      <formula>OR(choice701.1="Alternative Bronze",choice701.1="Performance Path",choice701.1=0)</formula>
    </cfRule>
  </conditionalFormatting>
  <conditionalFormatting sqref="P187">
    <cfRule type="expression" dxfId="1899" priority="15">
      <formula>AND($P$187&gt;0,AND($P$184&gt;0,$P$181&gt;0))</formula>
    </cfRule>
    <cfRule type="expression" dxfId="1898" priority="80">
      <formula>AND(claim703.3.3&lt;&gt;"",claim703.3.3&lt;&gt;$O$187)</formula>
    </cfRule>
    <cfRule type="expression" dxfId="1897" priority="182">
      <formula>AND($P$187&lt;&gt;"", OR(choice701.1="Alternative Bronze", choice701.1="Performance Path",choice701.1=0))</formula>
    </cfRule>
    <cfRule type="expression" dxfId="1896" priority="183">
      <formula>OR(choice701.1="Alternative Bronze",choice701.1="Performance Path",choice701.1=0)</formula>
    </cfRule>
  </conditionalFormatting>
  <conditionalFormatting sqref="P200:P201">
    <cfRule type="expression" dxfId="1895" priority="101">
      <formula>AND(claim703.4.5&gt;0,claim703.4.1&gt;0)</formula>
    </cfRule>
    <cfRule type="expression" dxfId="1894" priority="180">
      <formula>AND($P$200&lt;&gt;"", OR(choice701.1="Alternative Bronze", choice701.1="Performance Path",choice701.1=0))</formula>
    </cfRule>
    <cfRule type="expression" dxfId="1893" priority="181">
      <formula>OR(choice701.1="Alternative Bronze",choice701.1="Performance Path",choice701.1=0)</formula>
    </cfRule>
  </conditionalFormatting>
  <conditionalFormatting sqref="P212">
    <cfRule type="expression" dxfId="1892" priority="79">
      <formula>AND(claim703.4.2&lt;&gt;"",claim703.4.2&lt;&gt;$O$212)</formula>
    </cfRule>
    <cfRule type="expression" dxfId="1891" priority="178">
      <formula>AND($P$212&lt;&gt;"", OR(choice701.1="Alternative Bronze", choice701.1="Performance Path",choice701.1=0))</formula>
    </cfRule>
    <cfRule type="expression" dxfId="1890" priority="179">
      <formula>OR(choice701.1="Alternative Bronze",choice701.1="Performance Path",choice701.1=0)</formula>
    </cfRule>
  </conditionalFormatting>
  <conditionalFormatting sqref="P218">
    <cfRule type="expression" dxfId="1889" priority="103">
      <formula>AND(claim703.4.5&gt;0,claim703.4.1&gt;0)</formula>
    </cfRule>
    <cfRule type="expression" dxfId="1888" priority="176">
      <formula>AND($P$218&lt;&gt;"", OR(choice701.1="Alternative Bronze", choice701.1="Performance Path",choice701.1=0))</formula>
    </cfRule>
    <cfRule type="expression" dxfId="1887" priority="177">
      <formula>OR(choice701.1="Alternative Bronze",choice701.1="Performance Path",choice701.1=0)</formula>
    </cfRule>
  </conditionalFormatting>
  <conditionalFormatting sqref="P226:P230">
    <cfRule type="expression" dxfId="1886" priority="174">
      <formula>AND($P$226&lt;&gt;"", OR(choice701.1="Alternative Bronze", choice701.1="Performance Path",choice701.1=0))</formula>
    </cfRule>
    <cfRule type="expression" dxfId="1885" priority="175">
      <formula>OR(choice701.1="Alternative Bronze",choice701.1="Performance Path",choice701.1=0)</formula>
    </cfRule>
  </conditionalFormatting>
  <conditionalFormatting sqref="P233">
    <cfRule type="expression" dxfId="1884" priority="172">
      <formula>AND($P$233&lt;&gt;"", OR(choice701.1="Alternative Bronze", choice701.1="Performance Path",choice701.1=0))</formula>
    </cfRule>
    <cfRule type="expression" dxfId="1883" priority="173">
      <formula>OR(choice701.1="Alternative Bronze",choice701.1="Performance Path",choice701.1=0)</formula>
    </cfRule>
  </conditionalFormatting>
  <conditionalFormatting sqref="P242">
    <cfRule type="expression" dxfId="1882" priority="819" stopIfTrue="1">
      <formula>AND(P242&lt;&gt;0,OR(SUM(P242:P249)&gt;4, SUM(P242:P249)&lt;3))</formula>
    </cfRule>
  </conditionalFormatting>
  <conditionalFormatting sqref="P247">
    <cfRule type="expression" dxfId="1881" priority="820" stopIfTrue="1">
      <formula>AND(P247&lt;&gt;0,OR(SUM(P243:P249)&gt;4, SUM(P243:P249)&lt;3))</formula>
    </cfRule>
  </conditionalFormatting>
  <conditionalFormatting sqref="P249">
    <cfRule type="expression" dxfId="1880" priority="821" stopIfTrue="1">
      <formula>AND(P249&lt;&gt;0,P243&gt;0)</formula>
    </cfRule>
    <cfRule type="expression" dxfId="1879" priority="822" stopIfTrue="1">
      <formula>AND(P249&lt;&gt;0,OR(SUM(P248:P254)&gt;4, SUM(P248:P254)&lt;3))</formula>
    </cfRule>
    <cfRule type="expression" dxfId="1878" priority="823" stopIfTrue="1">
      <formula>OR($P$243&gt;0,OR(choice701.1="Alternative Bronze",choice701.1="Performance Path",choice701.1=0))</formula>
    </cfRule>
  </conditionalFormatting>
  <conditionalFormatting sqref="P249:P250">
    <cfRule type="expression" dxfId="1877" priority="168">
      <formula>AND($P$249&lt;&gt;"", OR(choice701.1="Alternative Bronze", choice701.1="Performance Path",choice701.1=0))</formula>
    </cfRule>
  </conditionalFormatting>
  <conditionalFormatting sqref="P268">
    <cfRule type="expression" dxfId="1876" priority="159">
      <formula>AND($P$268&lt;&gt;"",choice701.1=0)</formula>
    </cfRule>
    <cfRule type="expression" dxfId="1875" priority="160">
      <formula>choice701.1=0</formula>
    </cfRule>
  </conditionalFormatting>
  <conditionalFormatting sqref="P284">
    <cfRule type="expression" dxfId="1874" priority="151">
      <formula>AND($P$284&lt;&gt;"",choice701.1=0)</formula>
    </cfRule>
    <cfRule type="expression" dxfId="1873" priority="152">
      <formula>choice701.1=0</formula>
    </cfRule>
  </conditionalFormatting>
  <conditionalFormatting sqref="P299:P300">
    <cfRule type="expression" dxfId="1872" priority="145">
      <formula>AND($P$299&lt;&gt;"",choice701.1=0)</formula>
    </cfRule>
    <cfRule type="expression" dxfId="1871" priority="146">
      <formula>choice701.1=0</formula>
    </cfRule>
  </conditionalFormatting>
  <conditionalFormatting sqref="P303">
    <cfRule type="expression" dxfId="1870" priority="136">
      <formula>AND($P$303&lt;&gt;"",choice701.1=0)</formula>
    </cfRule>
    <cfRule type="expression" dxfId="1869" priority="144">
      <formula>choice701.1=0</formula>
    </cfRule>
  </conditionalFormatting>
  <conditionalFormatting sqref="P304">
    <cfRule type="expression" dxfId="1868" priority="135">
      <formula>AND($P$304&lt;&gt;"",choice701.1=0)</formula>
    </cfRule>
    <cfRule type="expression" dxfId="1867" priority="143">
      <formula>choice701.1=0</formula>
    </cfRule>
  </conditionalFormatting>
  <conditionalFormatting sqref="P305">
    <cfRule type="expression" dxfId="1866" priority="134">
      <formula>AND($P$305&lt;&gt;"",choice701.1=0)</formula>
    </cfRule>
    <cfRule type="expression" dxfId="1865" priority="142">
      <formula>choice701.1=0</formula>
    </cfRule>
  </conditionalFormatting>
  <conditionalFormatting sqref="P306">
    <cfRule type="expression" dxfId="1864" priority="133">
      <formula>AND($P$306&lt;&gt;"",choice701.1=0)</formula>
    </cfRule>
    <cfRule type="expression" dxfId="1863" priority="141">
      <formula>choice701.1=0</formula>
    </cfRule>
  </conditionalFormatting>
  <conditionalFormatting sqref="P307">
    <cfRule type="expression" dxfId="1862" priority="132">
      <formula>AND($P$307&lt;&gt;"",choice701.1=0)</formula>
    </cfRule>
    <cfRule type="expression" dxfId="1861" priority="140">
      <formula>choice701.1=0</formula>
    </cfRule>
  </conditionalFormatting>
  <conditionalFormatting sqref="P308">
    <cfRule type="expression" dxfId="1860" priority="131">
      <formula>AND($P$308&lt;&gt;"",choice701.1=0)</formula>
    </cfRule>
    <cfRule type="expression" dxfId="1859" priority="139">
      <formula>choice701.1=0</formula>
    </cfRule>
  </conditionalFormatting>
  <conditionalFormatting sqref="P309">
    <cfRule type="expression" dxfId="1858" priority="130">
      <formula>AND($P$309&lt;&gt;"",choice701.1=0)</formula>
    </cfRule>
    <cfRule type="expression" dxfId="1857" priority="138">
      <formula>choice701.1=0</formula>
    </cfRule>
  </conditionalFormatting>
  <conditionalFormatting sqref="P310">
    <cfRule type="expression" dxfId="1856" priority="129">
      <formula>AND($P$310&lt;&gt;"",choice701.1=0)</formula>
    </cfRule>
    <cfRule type="expression" dxfId="1855" priority="137">
      <formula>choice701.1=0</formula>
    </cfRule>
  </conditionalFormatting>
  <conditionalFormatting sqref="P313">
    <cfRule type="expression" dxfId="1854" priority="127">
      <formula>AND($P$313&lt;&gt;"",choice701.1=0)</formula>
    </cfRule>
    <cfRule type="expression" dxfId="1853" priority="128">
      <formula>choice701.1=0</formula>
    </cfRule>
  </conditionalFormatting>
  <conditionalFormatting sqref="P314">
    <cfRule type="expression" dxfId="1852" priority="125">
      <formula>AND($P$314&lt;&gt;"",choice701.1=0)</formula>
    </cfRule>
    <cfRule type="expression" dxfId="1851" priority="126">
      <formula>choice701.1=0</formula>
    </cfRule>
  </conditionalFormatting>
  <conditionalFormatting sqref="P315">
    <cfRule type="expression" dxfId="1850" priority="123">
      <formula>AND($P$315&lt;&gt;"",choice701.1=0)</formula>
    </cfRule>
    <cfRule type="expression" dxfId="1849" priority="124">
      <formula>choice701.1=0</formula>
    </cfRule>
  </conditionalFormatting>
  <conditionalFormatting sqref="P317">
    <cfRule type="expression" dxfId="1848" priority="121">
      <formula>AND($P$317&lt;&gt;"",choice701.1=0)</formula>
    </cfRule>
    <cfRule type="expression" dxfId="1847" priority="122">
      <formula>choice701.1=0</formula>
    </cfRule>
  </conditionalFormatting>
  <conditionalFormatting sqref="P106">
    <cfRule type="expression" dxfId="1846" priority="825" stopIfTrue="1">
      <formula>AND(P106&gt;0,COUNTBLANK(P103:P125)&lt;3)</formula>
    </cfRule>
  </conditionalFormatting>
  <conditionalFormatting sqref="Q280:S281">
    <cfRule type="beginsWith" dxfId="1845" priority="111" operator="beginsWith" text="*">
      <formula>LEFT(Q280,LEN("*"))="*"</formula>
    </cfRule>
    <cfRule type="containsBlanks" dxfId="1844" priority="112">
      <formula>LEN(TRIM(Q280))=0</formula>
    </cfRule>
  </conditionalFormatting>
  <conditionalFormatting sqref="P40">
    <cfRule type="expression" dxfId="1843" priority="92">
      <formula>OR(claim701.1=30, choice701.1=0)</formula>
    </cfRule>
    <cfRule type="containsText" dxfId="1842" priority="110" operator="containsText" text="Not Met">
      <formula>NOT(ISERROR(SEARCH("Not Met",P40)))</formula>
    </cfRule>
  </conditionalFormatting>
  <conditionalFormatting sqref="P10:P12">
    <cfRule type="expression" dxfId="1841" priority="100">
      <formula>$P$10=""</formula>
    </cfRule>
  </conditionalFormatting>
  <conditionalFormatting sqref="P41">
    <cfRule type="expression" dxfId="1840" priority="93">
      <formula>OR(claim701.1=30, choice701.1=0)</formula>
    </cfRule>
    <cfRule type="expression" dxfId="1839" priority="99">
      <formula>$P$41=""</formula>
    </cfRule>
  </conditionalFormatting>
  <conditionalFormatting sqref="P181 P184 P189">
    <cfRule type="expression" dxfId="1838" priority="105">
      <formula>AND($P$189&lt;&gt;"",$P$181&gt;0,$P$184&gt;0)</formula>
    </cfRule>
  </conditionalFormatting>
  <conditionalFormatting sqref="P234">
    <cfRule type="expression" dxfId="1837" priority="41">
      <formula>AND($B$234="x",$P$235&gt;0)</formula>
    </cfRule>
    <cfRule type="expression" dxfId="1836" priority="42">
      <formula>$B$234="x"</formula>
    </cfRule>
    <cfRule type="expression" dxfId="1835" priority="88">
      <formula>AND($P$234&lt;&gt;"",OR(choice701.1="Alternative Bronze",choice701.1="Performance Path",choice701.1=0))</formula>
    </cfRule>
    <cfRule type="expression" dxfId="1834" priority="91">
      <formula>OR(choice701.1="Alternative Bronze",choice701.1="Performance Path",choice701.1=0)</formula>
    </cfRule>
  </conditionalFormatting>
  <conditionalFormatting sqref="P189">
    <cfRule type="expression" dxfId="1833" priority="107">
      <formula>AND($P$187&lt;&gt;"",OR($P$189="Entirely outside",$P$189="Inside &amp; outside"))</formula>
    </cfRule>
  </conditionalFormatting>
  <conditionalFormatting sqref="P42">
    <cfRule type="expression" dxfId="1832" priority="98">
      <formula>AND(ch7ACH50="",choice701.4.3.2="Testing Option")</formula>
    </cfRule>
    <cfRule type="expression" dxfId="1831" priority="108">
      <formula>AND($P$41&lt;&gt;"Testing Option",$P$42&lt;&gt;"")</formula>
    </cfRule>
    <cfRule type="expression" dxfId="1830" priority="109">
      <formula>$P$41&lt;&gt;"Testing Option"</formula>
    </cfRule>
  </conditionalFormatting>
  <conditionalFormatting sqref="P243:P244">
    <cfRule type="expression" dxfId="1829" priority="40">
      <formula>$B$243="x"</formula>
    </cfRule>
    <cfRule type="expression" dxfId="1828" priority="77">
      <formula>AND(claim703.6.1&lt;&gt;"",claim703.6.1&lt;&gt;$O$243)</formula>
    </cfRule>
  </conditionalFormatting>
  <conditionalFormatting sqref="F79:N79">
    <cfRule type="containsBlanks" dxfId="1827" priority="75">
      <formula>LEN(TRIM(F79))=0</formula>
    </cfRule>
  </conditionalFormatting>
  <conditionalFormatting sqref="P181:P186">
    <cfRule type="expression" dxfId="1826" priority="69">
      <formula>AND(claim902.2.3=3,claim703.3.1&gt;0,claim703.3.2&gt;0)</formula>
    </cfRule>
  </conditionalFormatting>
  <conditionalFormatting sqref="C64:P64">
    <cfRule type="expression" dxfId="1825" priority="68">
      <formula>AND($B$64="x")</formula>
    </cfRule>
  </conditionalFormatting>
  <conditionalFormatting sqref="P159">
    <cfRule type="expression" dxfId="1824" priority="64">
      <formula>AND($B$158:$B$161="x",$P$159&lt;&gt;0)</formula>
    </cfRule>
  </conditionalFormatting>
  <conditionalFormatting sqref="C158:P162">
    <cfRule type="expression" dxfId="1823" priority="63">
      <formula>AND($B$158:$B$162="x")</formula>
    </cfRule>
  </conditionalFormatting>
  <conditionalFormatting sqref="P166:P167">
    <cfRule type="expression" dxfId="1822" priority="62">
      <formula>AND($B$166:$B$171="x")</formula>
    </cfRule>
  </conditionalFormatting>
  <conditionalFormatting sqref="P167">
    <cfRule type="expression" dxfId="1821" priority="16">
      <formula>AND($P$167&gt;0,OR($P$164&gt;0,$P$159&gt;0,$P$152&gt;0,$P$133&gt;0))</formula>
    </cfRule>
    <cfRule type="expression" dxfId="1820" priority="61">
      <formula>AND($B$166:$B$171="x",$P$167&lt;&gt;0)</formula>
    </cfRule>
  </conditionalFormatting>
  <conditionalFormatting sqref="P316">
    <cfRule type="expression" dxfId="1819" priority="60" stopIfTrue="1">
      <formula>AND($B$316="x")</formula>
    </cfRule>
  </conditionalFormatting>
  <conditionalFormatting sqref="P317">
    <cfRule type="expression" dxfId="1818" priority="58" stopIfTrue="1">
      <formula>AND($B$317="x")</formula>
    </cfRule>
  </conditionalFormatting>
  <conditionalFormatting sqref="F13:N13">
    <cfRule type="expression" dxfId="1817" priority="51">
      <formula>$F$13&lt;&gt;""</formula>
    </cfRule>
  </conditionalFormatting>
  <conditionalFormatting sqref="P21">
    <cfRule type="expression" dxfId="1816" priority="49" stopIfTrue="1">
      <formula>AND($A$21="x",$P$21="N/A")</formula>
    </cfRule>
    <cfRule type="expression" dxfId="1815" priority="50" stopIfTrue="1">
      <formula>$B$21="x"</formula>
    </cfRule>
  </conditionalFormatting>
  <conditionalFormatting sqref="O260">
    <cfRule type="expression" dxfId="1814" priority="36">
      <formula>AND($O$260&lt;30,$C$260&lt;&gt;"")</formula>
    </cfRule>
  </conditionalFormatting>
  <conditionalFormatting sqref="C260:N260">
    <cfRule type="expression" dxfId="1813" priority="35">
      <formula>$C$260&lt;&gt;""</formula>
    </cfRule>
  </conditionalFormatting>
  <conditionalFormatting sqref="O291">
    <cfRule type="expression" dxfId="1812" priority="33">
      <formula>$O$291&lt;&gt;"been met."</formula>
    </cfRule>
    <cfRule type="expression" dxfId="1811" priority="34">
      <formula>$O$291="been met."</formula>
    </cfRule>
  </conditionalFormatting>
  <conditionalFormatting sqref="F42:O42">
    <cfRule type="expression" dxfId="1810" priority="32">
      <formula>AND($P$41="Testing Option",OR($P$42="",$P$42&gt;7))</formula>
    </cfRule>
  </conditionalFormatting>
  <conditionalFormatting sqref="P24">
    <cfRule type="expression" dxfId="1809" priority="31">
      <formula>$B$24="x"</formula>
    </cfRule>
  </conditionalFormatting>
  <conditionalFormatting sqref="P25">
    <cfRule type="expression" dxfId="1808" priority="27">
      <formula>AND($P$25="Met",$P$23="No duct system installed")</formula>
    </cfRule>
    <cfRule type="expression" dxfId="1807" priority="28">
      <formula>AND($P$25="No Duct System",$P$23="Met")</formula>
    </cfRule>
    <cfRule type="expression" dxfId="1806" priority="30">
      <formula>$B$25="x"</formula>
    </cfRule>
  </conditionalFormatting>
  <conditionalFormatting sqref="P23">
    <cfRule type="expression" dxfId="1805" priority="26">
      <formula>AND($P$23="No duct system installed",$P$25="Met")</formula>
    </cfRule>
    <cfRule type="expression" dxfId="1804" priority="29">
      <formula>AND($P$23="Met",$P$25="No Duct System")</formula>
    </cfRule>
  </conditionalFormatting>
  <conditionalFormatting sqref="P152">
    <cfRule type="expression" dxfId="1803" priority="24">
      <formula>$P$133&gt;0</formula>
    </cfRule>
  </conditionalFormatting>
  <conditionalFormatting sqref="P133">
    <cfRule type="expression" dxfId="1802" priority="21">
      <formula>AND($P$152&gt;0,$P$133&gt;0)</formula>
    </cfRule>
  </conditionalFormatting>
  <conditionalFormatting sqref="P181:P183">
    <cfRule type="expression" dxfId="1801" priority="11">
      <formula>AND($P$181&gt;0,$P$184&gt;0,$P$23="Met",$P$25="Met")</formula>
    </cfRule>
    <cfRule type="expression" dxfId="1800" priority="14">
      <formula>AND($P$181&gt;0,$P$184&gt;0,$P$187&gt;0)</formula>
    </cfRule>
  </conditionalFormatting>
  <conditionalFormatting sqref="P184:P186">
    <cfRule type="expression" dxfId="1799" priority="10">
      <formula>AND($P$181&gt;0,$P$184&gt;0,$P$23="Met",$P$25="Met")</formula>
    </cfRule>
    <cfRule type="expression" dxfId="1798" priority="13">
      <formula>AND($P$181&gt;0,$P$184&gt;0,$P$187&gt;0)</formula>
    </cfRule>
  </conditionalFormatting>
  <conditionalFormatting sqref="J1">
    <cfRule type="expression" dxfId="1797" priority="8" stopIfTrue="1">
      <formula>levelStatement="This project has not met all the requirements for Bronze, Silver, Gold, or Emerald."</formula>
    </cfRule>
  </conditionalFormatting>
  <conditionalFormatting sqref="P318">
    <cfRule type="expression" dxfId="1796" priority="119">
      <formula>AND($P$318&lt;&gt;"",choice701.1=0)</formula>
    </cfRule>
    <cfRule type="expression" dxfId="1795" priority="120">
      <formula>choice701.1=0</formula>
    </cfRule>
  </conditionalFormatting>
  <conditionalFormatting sqref="P319">
    <cfRule type="expression" dxfId="1794" priority="1">
      <formula>AND($P$319&lt;&gt;"",choice701.1=0)</formula>
    </cfRule>
    <cfRule type="expression" dxfId="1793" priority="2">
      <formula>choice701.1=0</formula>
    </cfRule>
  </conditionalFormatting>
  <dataValidations count="50">
    <dataValidation type="whole" operator="equal" allowBlank="1" showInputMessage="1" showErrorMessage="1" errorTitle="Invalid entry" error="Leave cell blank or enter the number of points available for this practice." sqref="P212 P187 P164:P165 P181 P184" xr:uid="{00000000-0002-0000-0300-000000000000}">
      <formula1>O164</formula1>
    </dataValidation>
    <dataValidation type="whole" operator="equal" allowBlank="1" showInputMessage="1" showErrorMessage="1" errorTitle="Invalid entry" error="Enter the number of points available for this practice or leave cell blank." sqref="P97" xr:uid="{00000000-0002-0000-0300-000001000000}">
      <formula1>O97</formula1>
    </dataValidation>
    <dataValidation type="whole" operator="equal" allowBlank="1" showInputMessage="1" showErrorMessage="1" errorTitle="Invalid value" error="Leave cell blank or enter the number of points available for this practice." sqref="P175 P243:P244 P256" xr:uid="{00000000-0002-0000-0300-000002000000}">
      <formula1>O175</formula1>
    </dataValidation>
    <dataValidation type="whole" operator="equal" allowBlank="1" showInputMessage="1" showErrorMessage="1" errorTitle="Invalid value" error="Leave cell blank or enter the number of available points for this practice." sqref="P237" xr:uid="{00000000-0002-0000-0300-000003000000}">
      <formula1>O237</formula1>
    </dataValidation>
    <dataValidation type="whole" operator="equal" allowBlank="1" showInputMessage="1" showErrorMessage="1" errorTitle="Invalid value" error="Leave cell blank or enter the number4." sqref="P239" xr:uid="{00000000-0002-0000-0300-000004000000}">
      <formula1>O239</formula1>
    </dataValidation>
    <dataValidation type="list" allowBlank="1" showInputMessage="1" showErrorMessage="1" errorTitle="Invalid entry" error="Select an option from the dropdown list provided." promptTitle="You must choose an Energy Path!" sqref="P10:P12" xr:uid="{00000000-0002-0000-0300-000005000000}">
      <formula1>dd701.1</formula1>
    </dataValidation>
    <dataValidation type="list" allowBlank="1" showInputMessage="1" showErrorMessage="1" errorTitle="Invalid Entry" error="Select an option from the dropdown list provided." sqref="P64" xr:uid="{00000000-0002-0000-0300-000006000000}">
      <formula1>dd701.4.5</formula1>
    </dataValidation>
    <dataValidation type="list" allowBlank="1" showInputMessage="1" showErrorMessage="1" errorTitle="Invalid Entry" error="Leave cell blank, or select a value from the dropdown list provided." sqref="P88" xr:uid="{00000000-0002-0000-0300-000007000000}">
      <formula1>dd703.1.2</formula1>
    </dataValidation>
    <dataValidation type="list" allowBlank="1" showInputMessage="1" showErrorMessage="1" errorTitle="Invalid Entry" error="Leave cell blank, or select a value from the dropdown list provided." sqref="P197" xr:uid="{00000000-0002-0000-0300-000008000000}">
      <formula1>dd703.4.1</formula1>
    </dataValidation>
    <dataValidation type="whole" operator="equal" allowBlank="1" showInputMessage="1" showErrorMessage="1" errorTitle="Invalid value" error="Leave cell blank or enter the number 1." sqref="P216 P173 P248:P249 P246 P178 P241 P251:P254 P238 P271 P294 P315 P313 P298" xr:uid="{00000000-0002-0000-0300-000009000000}">
      <formula1>1</formula1>
    </dataValidation>
    <dataValidation type="whole" operator="equal" allowBlank="1" showInputMessage="1" showErrorMessage="1" errorTitle="Invalid value" error="Leave cell blank or enter the number 4." sqref="P296 P273 P127" xr:uid="{00000000-0002-0000-0300-00000A000000}">
      <formula1>4</formula1>
    </dataValidation>
    <dataValidation type="whole" operator="equal" allowBlank="1" showInputMessage="1" showErrorMessage="1" errorTitle="Invalid value" error="Leave cell blank or enter the number 5." sqref="P275 P280 P269" xr:uid="{00000000-0002-0000-0300-00000B000000}">
      <formula1>5</formula1>
    </dataValidation>
    <dataValidation type="whole" operator="equal" allowBlank="1" showInputMessage="1" showErrorMessage="1" errorTitle="Invalid value" error="Leave cell blank or enter the number 8." sqref="P282" xr:uid="{00000000-0002-0000-0300-00000C000000}">
      <formula1>8</formula1>
    </dataValidation>
    <dataValidation type="whole" operator="equal" allowBlank="1" showInputMessage="1" showErrorMessage="1" errorTitle="Invalid value" error="Leave cell blank or enter the number 3." sqref="P272 P314" xr:uid="{00000000-0002-0000-0300-00000D000000}">
      <formula1>3</formula1>
    </dataValidation>
    <dataValidation type="whole" operator="equal" allowBlank="1" showInputMessage="1" showErrorMessage="1" errorTitle="Invalid value" error="Leave cell blank or enter the number 2." sqref="P295 P318:P319 P267 P214" xr:uid="{00000000-0002-0000-0300-00000E000000}">
      <formula1>2</formula1>
    </dataValidation>
    <dataValidation type="list" allowBlank="1" showInputMessage="1" showErrorMessage="1" errorTitle="Invalid Entry" error="Select an option from the dropdown list provided." sqref="P16:P17" xr:uid="{00000000-0002-0000-0300-00000F000000}">
      <formula1>dd701.3</formula1>
    </dataValidation>
    <dataValidation type="list" allowBlank="1" showInputMessage="1" showErrorMessage="1" errorTitle="Invalid Entry" error="Select an option from the dropdown list provided." sqref="P20" xr:uid="{00000000-0002-0000-0300-000010000000}">
      <formula1>dd701.4.1.1</formula1>
    </dataValidation>
    <dataValidation type="list" allowBlank="1" showInputMessage="1" showErrorMessage="1" errorTitle="Invalid Entry" error="Select an option from the dropdown list provided." sqref="P21" xr:uid="{00000000-0002-0000-0300-000011000000}">
      <formula1>dd701.4.1.2</formula1>
    </dataValidation>
    <dataValidation type="list" allowBlank="1" showInputMessage="1" showErrorMessage="1" errorTitle="Invalid Entry" error="Select an option from the dropdown list provided." sqref="P23" xr:uid="{00000000-0002-0000-0300-000012000000}">
      <formula1>dd701.4.2.1</formula1>
    </dataValidation>
    <dataValidation type="list" allowBlank="1" showInputMessage="1" showErrorMessage="1" errorTitle="Invalid Entry" error="Select an option from the dropdown list provided." sqref="P24" xr:uid="{00000000-0002-0000-0300-000013000000}">
      <formula1>dd701.4.2.2</formula1>
    </dataValidation>
    <dataValidation type="list" allowBlank="1" showInputMessage="1" showErrorMessage="1" errorTitle="Invalid Entry" error="Select an option from the dropdown list provided." sqref="P25" xr:uid="{00000000-0002-0000-0300-000014000000}">
      <formula1>dd701.4.2.3</formula1>
    </dataValidation>
    <dataValidation type="list" allowBlank="1" showInputMessage="1" showErrorMessage="1" errorTitle="Invalid Entry" error="Select an option from the dropdown list provided." sqref="P27:P39" xr:uid="{00000000-0002-0000-0300-000015000000}">
      <formula1>dd701.4.3.1</formula1>
    </dataValidation>
    <dataValidation type="list" allowBlank="1" showInputMessage="1" showErrorMessage="1" errorTitle="Invalid Entry" error="Select an option from the dropdown list provided." sqref="P61" xr:uid="{00000000-0002-0000-0300-000016000000}">
      <formula1>dd701.4.3.3</formula1>
    </dataValidation>
    <dataValidation type="list" allowBlank="1" showInputMessage="1" showErrorMessage="1" errorTitle="Invalid Entry" error="Select an option from the dropdown list provided." sqref="P62" xr:uid="{00000000-0002-0000-0300-000017000000}">
      <formula1>dd701.4.3.4</formula1>
    </dataValidation>
    <dataValidation type="list" allowBlank="1" showInputMessage="1" showErrorMessage="1" errorTitle="Invalid Entry" error="Select an option from the dropdown list provided." sqref="P63" xr:uid="{00000000-0002-0000-0300-000018000000}">
      <formula1>dd701.4.4</formula1>
    </dataValidation>
    <dataValidation type="decimal" allowBlank="1" showInputMessage="1" showErrorMessage="1" errorTitle="Invalid entry" error="Minimum 15% improvement is required.  Enter a number between 15 and 100." sqref="P70" xr:uid="{00000000-0002-0000-0300-000019000000}">
      <formula1>0.15</formula1>
      <formula2>1</formula2>
    </dataValidation>
    <dataValidation type="list" allowBlank="1" showInputMessage="1" showErrorMessage="1" sqref="P75" xr:uid="{00000000-0002-0000-0300-00001A000000}">
      <formula1>dd703.1.1</formula1>
    </dataValidation>
    <dataValidation type="list" allowBlank="1" showInputMessage="1" showErrorMessage="1" errorTitle="Invalid entry" error="Leave cell blank or select a value from the dropdown list provided." sqref="P91" xr:uid="{00000000-0002-0000-0300-00001B000000}">
      <formula1>dd703.1.3</formula1>
    </dataValidation>
    <dataValidation type="list" allowBlank="1" showInputMessage="1" showErrorMessage="1" errorTitle="Invalid entry" error="Leave cell blank or select an option from the dropdown list provided." sqref="P99" xr:uid="{00000000-0002-0000-0300-00001C000000}">
      <formula1>dd703.1.5</formula1>
    </dataValidation>
    <dataValidation type="list" allowBlank="1" showInputMessage="1" showErrorMessage="1" errorTitle="Invalid Entry" error="Select an option from the dropdown list provided." sqref="P113" xr:uid="{00000000-0002-0000-0300-00001D000000}">
      <formula1>dd703.1.6.2</formula1>
    </dataValidation>
    <dataValidation type="list" allowBlank="1" showInputMessage="1" showErrorMessage="1" errorTitle="Invalid entry" error="Leave cell blank or select an option from the dropdown list provided." sqref="P130" xr:uid="{00000000-0002-0000-0300-00001E000000}">
      <formula1>HVAC</formula1>
    </dataValidation>
    <dataValidation type="list" allowBlank="1" showInputMessage="1" showErrorMessage="1" sqref="P132" xr:uid="{00000000-0002-0000-0300-00001F000000}">
      <formula1>INDIRECT(SUBSTITUTE($P$130," ",""))</formula1>
    </dataValidation>
    <dataValidation type="list" operator="equal" allowBlank="1" showInputMessage="1" showErrorMessage="1" errorTitle="Invalid entry" error="Leave cell blank or select an option from the dropdown list provided." sqref="P151" xr:uid="{00000000-0002-0000-0300-000020000000}">
      <formula1>dd703.2.3</formula1>
    </dataValidation>
    <dataValidation type="list" allowBlank="1" showInputMessage="1" showErrorMessage="1" errorTitle="Invalid entry" error="Leave cell blank or select an option from the dropdown list provided." sqref="P158" xr:uid="{00000000-0002-0000-0300-000021000000}">
      <formula1>dd703.2.4</formula1>
    </dataValidation>
    <dataValidation type="list" allowBlank="1" showInputMessage="1" showErrorMessage="1" errorTitle="Invalid entry" error="Leave cell blank or select an option from the dropdown list provided." sqref="P166" xr:uid="{00000000-0002-0000-0300-000022000000}">
      <formula1>dd703.2.6</formula1>
    </dataValidation>
    <dataValidation type="list" operator="equal" allowBlank="1" showInputMessage="1" showErrorMessage="1" errorTitle="Invalid entry" error="Leave cell blank or select an option from the dropdown list provided." sqref="P189" xr:uid="{00000000-0002-0000-0300-000023000000}">
      <formula1>dd703.3.4</formula1>
    </dataValidation>
    <dataValidation type="list" allowBlank="1" showInputMessage="1" showErrorMessage="1" sqref="P200" xr:uid="{00000000-0002-0000-0300-000024000000}">
      <formula1>INDIRECT(SUBSTITUTE(choice703.4.1step1," ",""))</formula1>
    </dataValidation>
    <dataValidation type="list" allowBlank="1" showInputMessage="1" showErrorMessage="1" errorTitle="Invalid entry" error="Leave cell blank or select an option from the dropdown list provided." sqref="P218" xr:uid="{00000000-0002-0000-0300-000025000000}">
      <formula1>dd703.4.5</formula1>
    </dataValidation>
    <dataValidation type="list" allowBlank="1" showInputMessage="1" showErrorMessage="1" errorTitle="Invalid entry" error="Leave cell blank or select an option from the dropdown list provided." sqref="P226" xr:uid="{00000000-0002-0000-0300-000026000000}">
      <formula1>dd703.5.1</formula1>
    </dataValidation>
    <dataValidation type="list" operator="equal" allowBlank="1" showInputMessage="1" showErrorMessage="1" errorTitle="Invalid value" error="Leave cell blank or select an option from the dropdown list provided." sqref="P265" xr:uid="{00000000-0002-0000-0300-000027000000}">
      <formula1>dd704.2.1</formula1>
    </dataValidation>
    <dataValidation type="whole" operator="equal" allowBlank="1" showInputMessage="1" showErrorMessage="1" errorTitle="Invalid entry" error="Leave cell blank or enter the number 1." sqref="P268 P284:P291 P233" xr:uid="{00000000-0002-0000-0300-000028000000}">
      <formula1>1</formula1>
    </dataValidation>
    <dataValidation type="list" operator="equal" allowBlank="1" showInputMessage="1" showErrorMessage="1" errorTitle="Invalid entry" error="Leave cell blank or select an option from the dropdown list provided." sqref="P299:P300" xr:uid="{00000000-0002-0000-0300-000029000000}">
      <formula1>dd705.2_2</formula1>
    </dataValidation>
    <dataValidation type="list" allowBlank="1" showInputMessage="1" showErrorMessage="1" errorTitle="Invalid entry" error="Leave cell blank or select an option from the dropdown list provided." sqref="P303:P310" xr:uid="{00000000-0002-0000-0300-00002A000000}">
      <formula1>dd705.3</formula1>
    </dataValidation>
    <dataValidation type="whole" operator="greaterThan" allowBlank="1" showInputMessage="1" showErrorMessage="1" errorTitle="Invalid value" error="Leave cell blank or enter a whole number." sqref="P317" xr:uid="{00000000-0002-0000-0300-00002B000000}">
      <formula1>0</formula1>
    </dataValidation>
    <dataValidation type="decimal" allowBlank="1" showInputMessage="1" showErrorMessage="1" errorTitle="Invalid entry" error="Leave cell blank or enter a number greater than 0. If ACH50 is greater than or equal to 7.5, points are not available for this practice and the home cannot be certified (see 701.4.3.2(1))." sqref="P278" xr:uid="{00000000-0002-0000-0300-00002C000000}">
      <formula1>0.01</formula1>
      <formula2>7.49</formula2>
    </dataValidation>
    <dataValidation type="decimal" allowBlank="1" showInputMessage="1" showErrorMessage="1" errorTitle="Invalid entry" error="Enter a value greater than 0. If ACH50 is not less than 7, then this building does not comply with this option to meet this mandatory practice." sqref="P42" xr:uid="{00000000-0002-0000-0300-00002D000000}">
      <formula1>0</formula1>
      <formula2>7</formula2>
    </dataValidation>
    <dataValidation type="list" allowBlank="1" showInputMessage="1" showErrorMessage="1" errorTitle="Invalid entry" error="Select an option from the dropdown list provided." sqref="P41" xr:uid="{00000000-0002-0000-0300-00002E000000}">
      <formula1>dd701.4.3.2</formula1>
    </dataValidation>
    <dataValidation type="whole" operator="greaterThanOrEqual" allowBlank="1" showInputMessage="1" showErrorMessage="1" errorTitle="Invalid entry" error="Leave cell blank or enter a number greater than or equal to 0." sqref="P234" xr:uid="{00000000-0002-0000-0300-00002F000000}">
      <formula1>0</formula1>
    </dataValidation>
    <dataValidation type="list" allowBlank="1" showInputMessage="1" showErrorMessage="1" errorTitle="Invalid Entry" error="Select an option from the dropdown list provided." sqref="P107" xr:uid="{00000000-0002-0000-0300-000030000000}">
      <formula1>dd703.1.6.1</formula1>
    </dataValidation>
    <dataValidation type="list" allowBlank="1" showInputMessage="1" showErrorMessage="1" errorTitle="Invalid Entry" error="Select an option from the dropdown list provided." sqref="P69" xr:uid="{00000000-0002-0000-0300-000031000000}">
      <formula1>dd702.2.1</formula1>
    </dataValidation>
  </dataValidations>
  <hyperlinks>
    <hyperlink ref="F89" location="'Section 703.1.2'!A1" display="See  Sections 703.1.2.1, 703.1.2.2, 703.1.2.3, and/or 703.1.2.4" xr:uid="{00000000-0004-0000-0300-000000000000}"/>
    <hyperlink ref="F244" location="'Section 703.2'!A1" display="See Sections 703.2.1.1, 703.2.1.2, 703.2.1.3, 703.2.1.4" xr:uid="{00000000-0004-0000-0300-000001000000}"/>
    <hyperlink ref="F244:N244" location="app704_3_1_1" display="See Sections 704.3.1.1(1-9)" xr:uid="{00000000-0004-0000-0300-000002000000}"/>
    <hyperlink ref="F257" location="'Section 703.2'!A1" display="See Sections 703.2.1.1, 703.2.1.2, 703.2.1.3, 703.2.1.4" xr:uid="{00000000-0004-0000-0300-000003000000}"/>
    <hyperlink ref="F257:N257" location="app703.6.4" display="See Sections 703.6.4(1-3)" xr:uid="{00000000-0004-0000-0300-000004000000}"/>
    <hyperlink ref="F85:N85" location="figure6_1" display="See a map of Climate Zones by States &amp; Counties." xr:uid="{00000000-0004-0000-0300-000005000000}"/>
    <hyperlink ref="F89:N89" location="app703_1_2" display="See the grading criteria in Sections 703.1.2.1, 703.1.2.2, and/or 703.1.2.3" xr:uid="{00000000-0004-0000-0300-000006000000}"/>
    <hyperlink ref="P321:T321" location="'Ch8'!A1" display="Proceed to Chapter 8 &gt;&gt;" xr:uid="{00000000-0004-0000-0300-000007000000}"/>
  </hyperlinks>
  <pageMargins left="0.7" right="0.7" top="0.75" bottom="0.75" header="0.3" footer="0.3"/>
  <pageSetup scale="55" fitToHeight="15" orientation="portrait" r:id="rId1"/>
  <headerFooter>
    <oddFooter>&amp;C&amp;8© 2013 Home Innovation Research Labs.  Practices of ICC700-2012 © 2013 National Association of Home Builders- used by permission.   Home Innovation authorizes use by those persons participating in the Home Innovation’s Green Building Certification.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5124" r:id="rId4" name="Check Box 4">
              <controlPr defaultSize="0" autoFill="0" autoLine="0" autoPict="0">
                <anchor moveWithCells="1" sizeWithCells="1">
                  <from>
                    <xdr:col>29</xdr:col>
                    <xdr:colOff>0</xdr:colOff>
                    <xdr:row>271</xdr:row>
                    <xdr:rowOff>203200</xdr:rowOff>
                  </from>
                  <to>
                    <xdr:col>29</xdr:col>
                    <xdr:colOff>0</xdr:colOff>
                    <xdr:row>271</xdr:row>
                    <xdr:rowOff>330200</xdr:rowOff>
                  </to>
                </anchor>
              </controlPr>
            </control>
          </mc:Choice>
        </mc:AlternateContent>
        <mc:AlternateContent xmlns:mc="http://schemas.openxmlformats.org/markup-compatibility/2006">
          <mc:Choice Requires="x14">
            <control shapeId="5125" r:id="rId5" name="Check Box 5">
              <controlPr defaultSize="0" autoFill="0" autoLine="0" autoPict="0">
                <anchor moveWithCells="1" sizeWithCells="1">
                  <from>
                    <xdr:col>29</xdr:col>
                    <xdr:colOff>0</xdr:colOff>
                    <xdr:row>271</xdr:row>
                    <xdr:rowOff>215900</xdr:rowOff>
                  </from>
                  <to>
                    <xdr:col>29</xdr:col>
                    <xdr:colOff>0</xdr:colOff>
                    <xdr:row>271</xdr:row>
                    <xdr:rowOff>330200</xdr:rowOff>
                  </to>
                </anchor>
              </controlPr>
            </control>
          </mc:Choice>
        </mc:AlternateContent>
        <mc:AlternateContent xmlns:mc="http://schemas.openxmlformats.org/markup-compatibility/2006">
          <mc:Choice Requires="x14">
            <control shapeId="5126" r:id="rId6" name="Check Box 6">
              <controlPr defaultSize="0" autoFill="0" autoLine="0" autoPict="0">
                <anchor moveWithCells="1" sizeWithCells="1">
                  <from>
                    <xdr:col>29</xdr:col>
                    <xdr:colOff>0</xdr:colOff>
                    <xdr:row>271</xdr:row>
                    <xdr:rowOff>215900</xdr:rowOff>
                  </from>
                  <to>
                    <xdr:col>29</xdr:col>
                    <xdr:colOff>0</xdr:colOff>
                    <xdr:row>271</xdr:row>
                    <xdr:rowOff>342900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Y95"/>
  <sheetViews>
    <sheetView zoomScaleNormal="100" workbookViewId="0">
      <pane ySplit="6" topLeftCell="A7" activePane="bottomLeft" state="frozen"/>
      <selection activeCell="A3" sqref="A1:K3"/>
      <selection pane="bottomLeft" activeCell="O12" sqref="O12:O15"/>
    </sheetView>
  </sheetViews>
  <sheetFormatPr baseColWidth="10" defaultColWidth="9.1640625" defaultRowHeight="15"/>
  <cols>
    <col min="1" max="1" width="5.6640625" style="182" hidden="1" customWidth="1"/>
    <col min="2" max="2" width="6.6640625" style="182" customWidth="1"/>
    <col min="3" max="3" width="4.33203125" style="201" customWidth="1"/>
    <col min="4" max="4" width="3.6640625" style="201" customWidth="1"/>
    <col min="5" max="12" width="8.6640625" style="182" customWidth="1"/>
    <col min="13" max="13" width="10.6640625" style="182" bestFit="1" customWidth="1"/>
    <col min="14" max="15" width="15.6640625" style="182" customWidth="1"/>
    <col min="16" max="17" width="11.6640625" style="182" customWidth="1"/>
    <col min="18" max="18" width="11.6640625" style="202" customWidth="1"/>
    <col min="19" max="19" width="11.6640625" style="182" customWidth="1"/>
    <col min="20" max="20" width="9.1640625" style="182"/>
    <col min="21" max="25" width="9.1640625" style="32"/>
    <col min="26" max="16384" width="9.1640625" style="182"/>
  </cols>
  <sheetData>
    <row r="1" spans="1:19" s="32" customFormat="1" ht="15" customHeight="1">
      <c r="B1" s="4113"/>
      <c r="C1" s="4113"/>
      <c r="D1" s="4113"/>
      <c r="E1" s="4113"/>
      <c r="F1" s="4113"/>
      <c r="G1" s="4113"/>
      <c r="H1" s="4113"/>
      <c r="I1" s="4111" t="str">
        <f>levelStatement</f>
        <v>This project has not met all the requirements for Bronze, Silver, Gold, or Emerald.</v>
      </c>
      <c r="J1" s="4111"/>
      <c r="K1" s="4111"/>
      <c r="L1" s="4112"/>
      <c r="M1" s="2877">
        <v>2012</v>
      </c>
      <c r="N1" s="4236" t="s">
        <v>0</v>
      </c>
      <c r="O1" s="4236"/>
      <c r="P1" s="4236" t="s">
        <v>1</v>
      </c>
      <c r="Q1" s="4236"/>
      <c r="R1" s="4236"/>
      <c r="S1" s="4236"/>
    </row>
    <row r="2" spans="1:19" s="32" customFormat="1" ht="15" customHeight="1">
      <c r="B2" s="4113"/>
      <c r="C2" s="4113"/>
      <c r="D2" s="4113"/>
      <c r="E2" s="4113"/>
      <c r="F2" s="4113"/>
      <c r="G2" s="4113"/>
      <c r="H2" s="4113"/>
      <c r="I2" s="4111"/>
      <c r="J2" s="4111"/>
      <c r="K2" s="4111"/>
      <c r="L2" s="4112"/>
      <c r="M2" s="2878"/>
      <c r="N2" s="1" t="s">
        <v>2</v>
      </c>
      <c r="O2" s="1" t="s">
        <v>3</v>
      </c>
      <c r="P2" s="2" t="s">
        <v>4</v>
      </c>
      <c r="Q2" s="3" t="s">
        <v>5</v>
      </c>
      <c r="R2" s="4" t="s">
        <v>6</v>
      </c>
      <c r="S2" s="5" t="s">
        <v>7</v>
      </c>
    </row>
    <row r="3" spans="1:19" s="32" customFormat="1" ht="15" customHeight="1">
      <c r="B3" s="4113"/>
      <c r="C3" s="4113"/>
      <c r="D3" s="4113"/>
      <c r="E3" s="4113"/>
      <c r="F3" s="4113"/>
      <c r="G3" s="4113"/>
      <c r="H3" s="4113"/>
      <c r="I3" s="4111"/>
      <c r="J3" s="4111"/>
      <c r="K3" s="4111"/>
      <c r="L3" s="4112"/>
      <c r="M3" s="6" t="s">
        <v>8</v>
      </c>
      <c r="N3" s="971">
        <f>SUM(O10:O95)-SUM(0)</f>
        <v>0</v>
      </c>
      <c r="O3" s="970" t="s">
        <v>9</v>
      </c>
      <c r="P3" s="7">
        <v>25</v>
      </c>
      <c r="Q3" s="7">
        <v>39</v>
      </c>
      <c r="R3" s="7">
        <v>67</v>
      </c>
      <c r="S3" s="7">
        <v>92</v>
      </c>
    </row>
    <row r="4" spans="1:19" s="32" customFormat="1" ht="15" customHeight="1">
      <c r="B4" s="3649" t="s">
        <v>2982</v>
      </c>
      <c r="C4" s="3649"/>
      <c r="D4" s="3649"/>
      <c r="E4" s="3649"/>
      <c r="F4" s="3649"/>
      <c r="G4" s="3649"/>
      <c r="H4" s="3649"/>
      <c r="I4" s="2874" t="str">
        <f>CONCATENATE("Revised ",TEXT(startRevisionDate,"mmmm dd, yyyy"))</f>
        <v>Revised August 21, 2020</v>
      </c>
      <c r="J4" s="2874"/>
      <c r="K4" s="2874"/>
      <c r="L4" s="2875"/>
      <c r="M4" s="2287" t="s">
        <v>10</v>
      </c>
      <c r="N4" s="2288">
        <f>projectTotal</f>
        <v>0</v>
      </c>
      <c r="O4" s="2289" t="str">
        <f>IF(SUM(projectMandatoryCount)=4,"Met","Not Met")</f>
        <v>Not Met</v>
      </c>
      <c r="P4" s="2283">
        <f>SUM(bronzeMinimum)</f>
        <v>231</v>
      </c>
      <c r="Q4" s="2283">
        <f>SUM(silverMinimum)</f>
        <v>349</v>
      </c>
      <c r="R4" s="2283">
        <f>SUM(goldMinimum)</f>
        <v>509</v>
      </c>
      <c r="S4" s="2283">
        <f>SUM(emeraldMinimum)</f>
        <v>641</v>
      </c>
    </row>
    <row r="5" spans="1:19" s="32" customFormat="1" ht="16.5" customHeight="1" thickBot="1">
      <c r="B5" s="3650"/>
      <c r="C5" s="3650"/>
      <c r="D5" s="3650"/>
      <c r="E5" s="3650"/>
      <c r="F5" s="3650"/>
      <c r="G5" s="3650"/>
      <c r="H5" s="3650"/>
      <c r="I5" s="3024" t="str">
        <f>CONCATENATE(copyright," All rights reserved.  See full notice at bottom of this sheet")</f>
        <v>© 2020 Home Innovation Research Labs, Inc. All rights reserved.  See full notice at bottom of this sheet</v>
      </c>
      <c r="J5" s="3024"/>
      <c r="K5" s="3024"/>
      <c r="L5" s="3024"/>
      <c r="M5" s="3024"/>
      <c r="N5" s="3024"/>
      <c r="O5" s="3024"/>
      <c r="P5" s="3024"/>
      <c r="Q5" s="3024"/>
      <c r="R5" s="3024"/>
      <c r="S5" s="3024"/>
    </row>
    <row r="6" spans="1:19" s="32" customFormat="1" ht="27" thickBot="1">
      <c r="B6" s="4237" t="s">
        <v>11</v>
      </c>
      <c r="C6" s="4238"/>
      <c r="D6" s="4239"/>
      <c r="E6" s="4240" t="s">
        <v>403</v>
      </c>
      <c r="F6" s="4240"/>
      <c r="G6" s="4240"/>
      <c r="H6" s="4240"/>
      <c r="I6" s="4240"/>
      <c r="J6" s="4240"/>
      <c r="K6" s="4240"/>
      <c r="L6" s="4240"/>
      <c r="M6" s="4240"/>
      <c r="N6" s="2668" t="s">
        <v>2986</v>
      </c>
      <c r="O6" s="2668" t="s">
        <v>232</v>
      </c>
      <c r="P6" s="4242" t="s">
        <v>16</v>
      </c>
      <c r="Q6" s="4238"/>
      <c r="R6" s="4239"/>
      <c r="S6" s="2667" t="s">
        <v>15</v>
      </c>
    </row>
    <row r="7" spans="1:19" s="32" customFormat="1" ht="17.25" customHeight="1">
      <c r="A7" s="621"/>
      <c r="B7" s="3011" t="s">
        <v>404</v>
      </c>
      <c r="C7" s="3011"/>
      <c r="D7" s="3011"/>
      <c r="E7" s="3011"/>
      <c r="F7" s="3011"/>
      <c r="G7" s="3011"/>
      <c r="H7" s="3011"/>
      <c r="I7" s="3011"/>
      <c r="J7" s="3011"/>
      <c r="K7" s="3011"/>
      <c r="L7" s="3011"/>
      <c r="M7" s="3011"/>
      <c r="N7" s="3011"/>
      <c r="O7" s="3011"/>
      <c r="P7" s="3011"/>
      <c r="Q7" s="3011"/>
      <c r="R7" s="3011"/>
      <c r="S7" s="3011"/>
    </row>
    <row r="8" spans="1:19" s="32" customFormat="1" ht="15" customHeight="1">
      <c r="A8" s="621"/>
      <c r="B8" s="9">
        <v>801</v>
      </c>
      <c r="C8" s="10"/>
      <c r="D8" s="10"/>
      <c r="E8" s="4234" t="s">
        <v>1109</v>
      </c>
      <c r="F8" s="4234"/>
      <c r="G8" s="4234"/>
      <c r="H8" s="4234"/>
      <c r="I8" s="4234"/>
      <c r="J8" s="4234"/>
      <c r="K8" s="4234"/>
      <c r="L8" s="4234"/>
      <c r="M8" s="4234"/>
      <c r="N8" s="1432"/>
      <c r="O8" s="4220"/>
      <c r="P8" s="4234"/>
      <c r="Q8" s="4234"/>
      <c r="R8" s="4234"/>
      <c r="S8" s="91"/>
    </row>
    <row r="9" spans="1:19" s="32" customFormat="1" ht="15" customHeight="1">
      <c r="A9" s="621"/>
      <c r="B9" s="9">
        <v>801.1</v>
      </c>
      <c r="C9" s="10"/>
      <c r="D9" s="10"/>
      <c r="E9" s="4234" t="s">
        <v>2821</v>
      </c>
      <c r="F9" s="4234"/>
      <c r="G9" s="4234"/>
      <c r="H9" s="4234"/>
      <c r="I9" s="4234"/>
      <c r="J9" s="4234"/>
      <c r="K9" s="4234"/>
      <c r="L9" s="4234"/>
      <c r="M9" s="4234"/>
      <c r="N9" s="4234"/>
      <c r="O9" s="4220"/>
      <c r="P9" s="4234"/>
      <c r="Q9" s="4234"/>
      <c r="R9" s="4234"/>
      <c r="S9" s="91"/>
    </row>
    <row r="10" spans="1:19" s="32" customFormat="1" ht="102" customHeight="1">
      <c r="A10" s="621"/>
      <c r="B10" s="178"/>
      <c r="C10" s="179"/>
      <c r="D10" s="179"/>
      <c r="E10" s="4234"/>
      <c r="F10" s="4234"/>
      <c r="G10" s="4234"/>
      <c r="H10" s="4234"/>
      <c r="I10" s="4234"/>
      <c r="J10" s="4234"/>
      <c r="K10" s="4234"/>
      <c r="L10" s="4234"/>
      <c r="M10" s="4234"/>
      <c r="N10" s="4234"/>
      <c r="O10" s="4220"/>
      <c r="P10" s="4234"/>
      <c r="Q10" s="4234"/>
      <c r="R10" s="4234"/>
      <c r="S10" s="91"/>
    </row>
    <row r="11" spans="1:19" s="32" customFormat="1" ht="18.75" customHeight="1" thickBot="1">
      <c r="A11" s="621"/>
      <c r="B11" s="178"/>
      <c r="C11" s="179"/>
      <c r="D11" s="179"/>
      <c r="E11" s="4208" t="s">
        <v>1238</v>
      </c>
      <c r="F11" s="4208"/>
      <c r="G11" s="4208"/>
      <c r="H11" s="4208"/>
      <c r="I11" s="4208"/>
      <c r="J11" s="4208"/>
      <c r="K11" s="4208"/>
      <c r="L11" s="4208"/>
      <c r="M11" s="4208"/>
      <c r="N11" s="1432"/>
      <c r="O11" s="1465"/>
      <c r="P11" s="4234"/>
      <c r="Q11" s="4234"/>
      <c r="R11" s="4234"/>
      <c r="S11" s="91"/>
    </row>
    <row r="12" spans="1:19" s="32" customFormat="1" ht="30" customHeight="1">
      <c r="A12" s="621"/>
      <c r="B12" s="180"/>
      <c r="C12" s="1433"/>
      <c r="D12" s="1433"/>
      <c r="E12" s="705">
        <v>1</v>
      </c>
      <c r="F12" s="4175" t="s">
        <v>1110</v>
      </c>
      <c r="G12" s="4176"/>
      <c r="H12" s="4176"/>
      <c r="I12" s="4176"/>
      <c r="J12" s="4176"/>
      <c r="K12" s="4176"/>
      <c r="L12" s="4177"/>
      <c r="M12" s="708" t="s">
        <v>126</v>
      </c>
      <c r="N12" s="4183" t="str">
        <f>IF(AND(choice801.1.1_1thru4a&lt;&gt;"",OR(claim704.5.3="",claim704.5.3=0)),"POINTS MUST BE CLAIMED IN 704.5.3 FOR POINTS HERE!","")</f>
        <v/>
      </c>
      <c r="O12" s="4171"/>
      <c r="P12" s="3486"/>
      <c r="Q12" s="3486"/>
      <c r="R12" s="3486"/>
      <c r="S12" s="4244" t="s">
        <v>20</v>
      </c>
    </row>
    <row r="13" spans="1:19" s="32" customFormat="1" ht="30" customHeight="1">
      <c r="A13" s="621"/>
      <c r="B13" s="180"/>
      <c r="C13" s="1433"/>
      <c r="D13" s="1433"/>
      <c r="E13" s="706">
        <v>2</v>
      </c>
      <c r="F13" s="4178" t="s">
        <v>1111</v>
      </c>
      <c r="G13" s="3064"/>
      <c r="H13" s="3064"/>
      <c r="I13" s="3064"/>
      <c r="J13" s="3064"/>
      <c r="K13" s="3064"/>
      <c r="L13" s="4179"/>
      <c r="M13" s="1524" t="s">
        <v>1113</v>
      </c>
      <c r="N13" s="4183"/>
      <c r="O13" s="4172"/>
      <c r="P13" s="3486"/>
      <c r="Q13" s="3486"/>
      <c r="R13" s="3486"/>
      <c r="S13" s="4244"/>
    </row>
    <row r="14" spans="1:19" s="32" customFormat="1" ht="39.75" customHeight="1">
      <c r="A14" s="621"/>
      <c r="B14" s="180"/>
      <c r="C14" s="1433"/>
      <c r="D14" s="1433"/>
      <c r="E14" s="706">
        <v>3</v>
      </c>
      <c r="F14" s="4178" t="s">
        <v>1112</v>
      </c>
      <c r="G14" s="3064"/>
      <c r="H14" s="3064"/>
      <c r="I14" s="3064"/>
      <c r="J14" s="3064"/>
      <c r="K14" s="3064"/>
      <c r="L14" s="4179"/>
      <c r="M14" s="1524" t="s">
        <v>1114</v>
      </c>
      <c r="N14" s="4183"/>
      <c r="O14" s="4172"/>
      <c r="P14" s="3486"/>
      <c r="Q14" s="3486"/>
      <c r="R14" s="3486"/>
      <c r="S14" s="4244"/>
    </row>
    <row r="15" spans="1:19" s="32" customFormat="1" ht="53.25" customHeight="1">
      <c r="A15" s="621"/>
      <c r="B15" s="180"/>
      <c r="C15" s="1433"/>
      <c r="D15" s="1433"/>
      <c r="E15" s="706">
        <v>4</v>
      </c>
      <c r="F15" s="4178" t="s">
        <v>1115</v>
      </c>
      <c r="G15" s="3064"/>
      <c r="H15" s="3064"/>
      <c r="I15" s="3064"/>
      <c r="J15" s="3064"/>
      <c r="K15" s="3064"/>
      <c r="L15" s="4179"/>
      <c r="M15" s="1524" t="s">
        <v>1116</v>
      </c>
      <c r="N15" s="4183"/>
      <c r="O15" s="4173"/>
      <c r="P15" s="3486"/>
      <c r="Q15" s="3486"/>
      <c r="R15" s="3486"/>
      <c r="S15" s="4244"/>
    </row>
    <row r="16" spans="1:19" s="32" customFormat="1" ht="45" customHeight="1" thickBot="1">
      <c r="A16" s="621"/>
      <c r="B16" s="180"/>
      <c r="C16" s="1433"/>
      <c r="D16" s="1433"/>
      <c r="E16" s="707" t="s">
        <v>1117</v>
      </c>
      <c r="F16" s="4180" t="s">
        <v>1366</v>
      </c>
      <c r="G16" s="4181"/>
      <c r="H16" s="4181"/>
      <c r="I16" s="4181"/>
      <c r="J16" s="4181"/>
      <c r="K16" s="4181"/>
      <c r="L16" s="4182"/>
      <c r="M16" s="709" t="s">
        <v>1118</v>
      </c>
      <c r="N16" s="4183"/>
      <c r="O16" s="3248">
        <f>score801.1.1</f>
        <v>0</v>
      </c>
      <c r="P16" s="3486"/>
      <c r="Q16" s="3486"/>
      <c r="R16" s="3486"/>
      <c r="S16" s="4244"/>
    </row>
    <row r="17" spans="1:19" s="32" customFormat="1">
      <c r="A17" s="621"/>
      <c r="B17" s="180"/>
      <c r="C17" s="1433"/>
      <c r="D17" s="1433"/>
      <c r="E17" s="4243" t="s">
        <v>2070</v>
      </c>
      <c r="F17" s="4243"/>
      <c r="G17" s="4243"/>
      <c r="H17" s="4243"/>
      <c r="I17" s="4243"/>
      <c r="J17" s="4243"/>
      <c r="K17" s="4243"/>
      <c r="L17" s="4243"/>
      <c r="M17" s="4243"/>
      <c r="N17" s="1433"/>
      <c r="O17" s="3248"/>
      <c r="P17" s="3486"/>
      <c r="Q17" s="3486"/>
      <c r="R17" s="3486"/>
      <c r="S17" s="4245"/>
    </row>
    <row r="18" spans="1:19" s="32" customFormat="1" ht="60" customHeight="1">
      <c r="A18" s="621"/>
      <c r="B18" s="180"/>
      <c r="C18" s="869">
        <v>5</v>
      </c>
      <c r="D18" s="716"/>
      <c r="E18" s="4241" t="s">
        <v>1367</v>
      </c>
      <c r="F18" s="4241"/>
      <c r="G18" s="4241"/>
      <c r="H18" s="4241"/>
      <c r="I18" s="4241"/>
      <c r="J18" s="4241"/>
      <c r="K18" s="4241"/>
      <c r="L18" s="4241"/>
      <c r="M18" s="4241"/>
      <c r="N18" s="4204">
        <v>9</v>
      </c>
      <c r="O18" s="4206"/>
      <c r="P18" s="3683"/>
      <c r="Q18" s="3684"/>
      <c r="R18" s="3684"/>
      <c r="S18" s="4232" t="s">
        <v>20</v>
      </c>
    </row>
    <row r="19" spans="1:19" s="32" customFormat="1" ht="15" customHeight="1">
      <c r="A19" s="621"/>
      <c r="B19" s="180"/>
      <c r="C19" s="548"/>
      <c r="D19" s="1386"/>
      <c r="E19" s="4203" t="str">
        <f>IF(startSingleorMulti&lt;&gt;"Multi-Unit","Multi-unit not chosen. Points not available for this practice. See Start Here! worksheet.","Multi-unit chosen. Points possibly available for this practice.")</f>
        <v>Multi-unit not chosen. Points not available for this practice. See Start Here! worksheet.</v>
      </c>
      <c r="F19" s="4203"/>
      <c r="G19" s="4203"/>
      <c r="H19" s="4203"/>
      <c r="I19" s="4203"/>
      <c r="J19" s="4203"/>
      <c r="K19" s="4203"/>
      <c r="L19" s="4203"/>
      <c r="M19" s="4203"/>
      <c r="N19" s="4205"/>
      <c r="O19" s="4207"/>
      <c r="P19" s="3935"/>
      <c r="Q19" s="3307"/>
      <c r="R19" s="3307"/>
      <c r="S19" s="4233"/>
    </row>
    <row r="20" spans="1:19" s="32" customFormat="1" ht="45" customHeight="1">
      <c r="A20" s="621" t="str">
        <f>IF(startTanklessWH="No","x","")</f>
        <v/>
      </c>
      <c r="B20" s="180"/>
      <c r="C20" s="869">
        <v>6</v>
      </c>
      <c r="D20" s="717"/>
      <c r="E20" s="3107" t="s">
        <v>2998</v>
      </c>
      <c r="F20" s="3107"/>
      <c r="G20" s="3107"/>
      <c r="H20" s="3107"/>
      <c r="I20" s="3107"/>
      <c r="J20" s="3107"/>
      <c r="K20" s="3107"/>
      <c r="L20" s="3107"/>
      <c r="M20" s="3107"/>
      <c r="N20" s="4156">
        <v>4</v>
      </c>
      <c r="O20" s="3176"/>
      <c r="P20" s="3683"/>
      <c r="Q20" s="3684"/>
      <c r="R20" s="3684"/>
      <c r="S20" s="4158" t="s">
        <v>20</v>
      </c>
    </row>
    <row r="21" spans="1:19" s="32" customFormat="1" ht="25" customHeight="1" thickBot="1">
      <c r="A21" s="621"/>
      <c r="B21" s="189"/>
      <c r="C21" s="190"/>
      <c r="D21" s="1458"/>
      <c r="E21" s="3548" t="s">
        <v>1147</v>
      </c>
      <c r="F21" s="3548"/>
      <c r="G21" s="3548"/>
      <c r="H21" s="3548"/>
      <c r="I21" s="3548"/>
      <c r="J21" s="3548"/>
      <c r="K21" s="3548"/>
      <c r="L21" s="3548"/>
      <c r="M21" s="3548"/>
      <c r="N21" s="4157"/>
      <c r="O21" s="4174"/>
      <c r="P21" s="3935"/>
      <c r="Q21" s="3307"/>
      <c r="R21" s="3307"/>
      <c r="S21" s="4159"/>
    </row>
    <row r="22" spans="1:19" s="32" customFormat="1" ht="45" customHeight="1" thickTop="1">
      <c r="A22" s="621"/>
      <c r="B22" s="1442">
        <v>801.2</v>
      </c>
      <c r="C22" s="1443"/>
      <c r="D22" s="1443"/>
      <c r="E22" s="3585" t="s">
        <v>1129</v>
      </c>
      <c r="F22" s="3585"/>
      <c r="G22" s="3585"/>
      <c r="H22" s="3585"/>
      <c r="I22" s="3585"/>
      <c r="J22" s="3585"/>
      <c r="K22" s="3585"/>
      <c r="L22" s="3585"/>
      <c r="M22" s="3585"/>
      <c r="N22" s="1439"/>
      <c r="O22" s="181"/>
      <c r="P22" s="4144"/>
      <c r="Q22" s="4144"/>
      <c r="R22" s="4144"/>
      <c r="S22" s="1527"/>
    </row>
    <row r="23" spans="1:19" ht="20" customHeight="1">
      <c r="B23" s="1429"/>
      <c r="C23" s="1425">
        <v>1</v>
      </c>
      <c r="D23" s="1425"/>
      <c r="E23" s="3065" t="s">
        <v>406</v>
      </c>
      <c r="F23" s="3065"/>
      <c r="G23" s="3065"/>
      <c r="H23" s="3065"/>
      <c r="I23" s="3065"/>
      <c r="J23" s="3065"/>
      <c r="K23" s="3065"/>
      <c r="L23" s="3065"/>
      <c r="M23" s="3065"/>
      <c r="N23" s="1430">
        <v>2</v>
      </c>
      <c r="O23" s="696"/>
      <c r="P23" s="3683"/>
      <c r="Q23" s="3684"/>
      <c r="R23" s="3684"/>
      <c r="S23" s="1434" t="s">
        <v>20</v>
      </c>
    </row>
    <row r="24" spans="1:19" ht="20" customHeight="1">
      <c r="B24" s="1429"/>
      <c r="C24" s="1428">
        <v>2</v>
      </c>
      <c r="D24" s="183"/>
      <c r="E24" s="3086" t="s">
        <v>407</v>
      </c>
      <c r="F24" s="3086"/>
      <c r="G24" s="3086"/>
      <c r="H24" s="3086"/>
      <c r="I24" s="3086"/>
      <c r="J24" s="3086"/>
      <c r="K24" s="3086"/>
      <c r="L24" s="3086"/>
      <c r="M24" s="3086"/>
      <c r="N24" s="3042" t="s">
        <v>1128</v>
      </c>
      <c r="O24" s="1765"/>
      <c r="P24" s="3683"/>
      <c r="Q24" s="3684"/>
      <c r="R24" s="3684"/>
      <c r="S24" s="3082" t="s">
        <v>20</v>
      </c>
    </row>
    <row r="25" spans="1:19" s="32" customFormat="1" ht="54" customHeight="1" thickBot="1">
      <c r="A25" s="621"/>
      <c r="B25" s="89"/>
      <c r="C25" s="1468"/>
      <c r="D25" s="1433"/>
      <c r="E25" s="2993" t="s">
        <v>1130</v>
      </c>
      <c r="F25" s="2993"/>
      <c r="G25" s="2993"/>
      <c r="H25" s="2993"/>
      <c r="I25" s="2993"/>
      <c r="J25" s="2993"/>
      <c r="K25" s="2993"/>
      <c r="L25" s="2993"/>
      <c r="M25" s="2993"/>
      <c r="N25" s="3198"/>
      <c r="O25" s="1449">
        <f>score801.2_2</f>
        <v>0</v>
      </c>
      <c r="P25" s="3935"/>
      <c r="Q25" s="3307"/>
      <c r="R25" s="3307"/>
      <c r="S25" s="3205"/>
    </row>
    <row r="26" spans="1:19" s="32" customFormat="1" ht="15" customHeight="1" thickTop="1">
      <c r="A26" s="621"/>
      <c r="B26" s="185">
        <v>801.3</v>
      </c>
      <c r="C26" s="186"/>
      <c r="D26" s="186"/>
      <c r="E26" s="3081" t="s">
        <v>409</v>
      </c>
      <c r="F26" s="3081"/>
      <c r="G26" s="3081"/>
      <c r="H26" s="3081"/>
      <c r="I26" s="3081"/>
      <c r="J26" s="3081"/>
      <c r="K26" s="3081"/>
      <c r="L26" s="3081"/>
      <c r="M26" s="3081"/>
      <c r="N26" s="1438"/>
      <c r="O26" s="1438"/>
      <c r="P26" s="4168"/>
      <c r="Q26" s="4168"/>
      <c r="R26" s="4168"/>
      <c r="S26" s="1527"/>
    </row>
    <row r="27" spans="1:19" ht="90" customHeight="1">
      <c r="B27" s="1462"/>
      <c r="C27" s="55">
        <v>1</v>
      </c>
      <c r="D27" s="55"/>
      <c r="E27" s="3101" t="s">
        <v>1148</v>
      </c>
      <c r="F27" s="3101"/>
      <c r="G27" s="3101"/>
      <c r="H27" s="3101"/>
      <c r="I27" s="3101"/>
      <c r="J27" s="3101"/>
      <c r="K27" s="3101"/>
      <c r="L27" s="3101"/>
      <c r="M27" s="3101"/>
      <c r="N27" s="3149" t="s">
        <v>1132</v>
      </c>
      <c r="O27" s="1766"/>
      <c r="P27" s="3683"/>
      <c r="Q27" s="3684"/>
      <c r="R27" s="3684"/>
      <c r="S27" s="4166" t="s">
        <v>20</v>
      </c>
    </row>
    <row r="28" spans="1:19" ht="45" customHeight="1">
      <c r="B28" s="1462"/>
      <c r="C28" s="55"/>
      <c r="D28" s="55"/>
      <c r="E28" s="4189" t="s">
        <v>1131</v>
      </c>
      <c r="F28" s="4189"/>
      <c r="G28" s="4189"/>
      <c r="H28" s="4189"/>
      <c r="I28" s="4189"/>
      <c r="J28" s="4189"/>
      <c r="K28" s="4189"/>
      <c r="L28" s="4189"/>
      <c r="M28" s="4189"/>
      <c r="N28" s="4152"/>
      <c r="O28" s="1452">
        <f>score801.3_1</f>
        <v>0</v>
      </c>
      <c r="P28" s="3935"/>
      <c r="Q28" s="3307"/>
      <c r="R28" s="3307"/>
      <c r="S28" s="4167"/>
    </row>
    <row r="29" spans="1:19" ht="45" customHeight="1">
      <c r="B29" s="1462"/>
      <c r="C29" s="187">
        <v>2</v>
      </c>
      <c r="D29" s="187"/>
      <c r="E29" s="4070" t="s">
        <v>1368</v>
      </c>
      <c r="F29" s="4070"/>
      <c r="G29" s="4070"/>
      <c r="H29" s="4070"/>
      <c r="I29" s="4070"/>
      <c r="J29" s="4070"/>
      <c r="K29" s="4070"/>
      <c r="L29" s="4070"/>
      <c r="M29" s="4070"/>
      <c r="N29" s="4146" t="s">
        <v>1138</v>
      </c>
      <c r="O29" s="1767"/>
      <c r="P29" s="3683"/>
      <c r="Q29" s="3684"/>
      <c r="R29" s="3684"/>
      <c r="S29" s="3082" t="s">
        <v>20</v>
      </c>
    </row>
    <row r="30" spans="1:19" s="32" customFormat="1" ht="30" customHeight="1">
      <c r="A30" s="621"/>
      <c r="B30" s="189"/>
      <c r="C30" s="190"/>
      <c r="D30" s="1458"/>
      <c r="E30" s="3548" t="s">
        <v>1369</v>
      </c>
      <c r="F30" s="3548"/>
      <c r="G30" s="3548"/>
      <c r="H30" s="3548"/>
      <c r="I30" s="3548"/>
      <c r="J30" s="3548"/>
      <c r="K30" s="3548"/>
      <c r="L30" s="3548"/>
      <c r="M30" s="3548"/>
      <c r="N30" s="3149"/>
      <c r="O30" s="1452">
        <f>score801.3_2</f>
        <v>0</v>
      </c>
      <c r="P30" s="3935"/>
      <c r="Q30" s="3307"/>
      <c r="R30" s="3307"/>
      <c r="S30" s="3055"/>
    </row>
    <row r="31" spans="1:19" ht="25" customHeight="1">
      <c r="B31" s="1462"/>
      <c r="C31" s="187">
        <v>3</v>
      </c>
      <c r="D31" s="187"/>
      <c r="E31" s="4070" t="s">
        <v>1140</v>
      </c>
      <c r="F31" s="4070"/>
      <c r="G31" s="4070"/>
      <c r="H31" s="4070"/>
      <c r="I31" s="4070"/>
      <c r="J31" s="4070"/>
      <c r="K31" s="4070"/>
      <c r="L31" s="4070"/>
      <c r="M31" s="4070"/>
      <c r="N31" s="4146" t="s">
        <v>1142</v>
      </c>
      <c r="O31" s="1768"/>
      <c r="P31" s="3683"/>
      <c r="Q31" s="3684"/>
      <c r="R31" s="3684"/>
      <c r="S31" s="3082" t="s">
        <v>20</v>
      </c>
    </row>
    <row r="32" spans="1:19" s="32" customFormat="1" ht="25" customHeight="1" thickBot="1">
      <c r="A32" s="621"/>
      <c r="B32" s="189"/>
      <c r="C32" s="719"/>
      <c r="D32" s="199"/>
      <c r="E32" s="4235" t="s">
        <v>1141</v>
      </c>
      <c r="F32" s="4235"/>
      <c r="G32" s="4235"/>
      <c r="H32" s="4235"/>
      <c r="I32" s="4235"/>
      <c r="J32" s="4235"/>
      <c r="K32" s="4235"/>
      <c r="L32" s="4235"/>
      <c r="M32" s="4235"/>
      <c r="N32" s="4147"/>
      <c r="O32" s="720">
        <f>score801.3_3</f>
        <v>0</v>
      </c>
      <c r="P32" s="3935"/>
      <c r="Q32" s="3307"/>
      <c r="R32" s="3307"/>
      <c r="S32" s="3205"/>
    </row>
    <row r="33" spans="1:19" ht="15" customHeight="1" thickTop="1">
      <c r="B33" s="191">
        <v>801.4</v>
      </c>
      <c r="C33" s="192"/>
      <c r="D33" s="192"/>
      <c r="E33" s="3203" t="s">
        <v>2822</v>
      </c>
      <c r="F33" s="3203"/>
      <c r="G33" s="3203"/>
      <c r="H33" s="3203"/>
      <c r="I33" s="3203"/>
      <c r="J33" s="3203"/>
      <c r="K33" s="3203"/>
      <c r="L33" s="3203"/>
      <c r="M33" s="3203"/>
      <c r="N33" s="193"/>
      <c r="O33" s="194"/>
      <c r="P33" s="4169"/>
      <c r="Q33" s="4169"/>
      <c r="R33" s="4170"/>
      <c r="S33" s="91"/>
    </row>
    <row r="34" spans="1:19" ht="30" customHeight="1">
      <c r="B34" s="4120" t="s">
        <v>2140</v>
      </c>
      <c r="C34" s="3101"/>
      <c r="D34" s="1466"/>
      <c r="E34" s="3154" t="s">
        <v>1149</v>
      </c>
      <c r="F34" s="3154"/>
      <c r="G34" s="3154"/>
      <c r="H34" s="3154"/>
      <c r="I34" s="3154"/>
      <c r="J34" s="3154"/>
      <c r="K34" s="3154"/>
      <c r="L34" s="3154"/>
      <c r="M34" s="3154"/>
      <c r="N34" s="1445"/>
      <c r="O34" s="1445"/>
      <c r="P34" s="4160"/>
      <c r="Q34" s="4160"/>
      <c r="R34" s="4161"/>
      <c r="S34" s="91"/>
    </row>
    <row r="35" spans="1:19" ht="25" customHeight="1">
      <c r="B35" s="1462"/>
      <c r="C35" s="55">
        <v>1</v>
      </c>
      <c r="D35" s="55"/>
      <c r="E35" s="3101" t="s">
        <v>413</v>
      </c>
      <c r="F35" s="3101"/>
      <c r="G35" s="3101"/>
      <c r="H35" s="3101"/>
      <c r="I35" s="3101"/>
      <c r="J35" s="3101"/>
      <c r="K35" s="3101"/>
      <c r="L35" s="3101"/>
      <c r="M35" s="3101"/>
      <c r="N35" s="4188" t="s">
        <v>1155</v>
      </c>
      <c r="O35" s="1769"/>
      <c r="P35" s="3683"/>
      <c r="Q35" s="3684"/>
      <c r="R35" s="3684"/>
      <c r="S35" s="3686" t="s">
        <v>20</v>
      </c>
    </row>
    <row r="36" spans="1:19" ht="45" customHeight="1">
      <c r="B36" s="1462"/>
      <c r="C36" s="55"/>
      <c r="D36" s="55"/>
      <c r="E36" s="4225" t="s">
        <v>1150</v>
      </c>
      <c r="F36" s="4225"/>
      <c r="G36" s="4225"/>
      <c r="H36" s="4225"/>
      <c r="I36" s="4225"/>
      <c r="J36" s="4225"/>
      <c r="K36" s="4225"/>
      <c r="L36" s="4225"/>
      <c r="M36" s="4225"/>
      <c r="N36" s="4188"/>
      <c r="O36" s="1452">
        <f>score801.4.1_1</f>
        <v>0</v>
      </c>
      <c r="P36" s="3935"/>
      <c r="Q36" s="3307"/>
      <c r="R36" s="3307"/>
      <c r="S36" s="3686"/>
    </row>
    <row r="37" spans="1:19">
      <c r="B37" s="1462"/>
      <c r="C37" s="187">
        <v>2</v>
      </c>
      <c r="D37" s="187"/>
      <c r="E37" s="4070" t="s">
        <v>2823</v>
      </c>
      <c r="F37" s="4070"/>
      <c r="G37" s="4070"/>
      <c r="H37" s="4070"/>
      <c r="I37" s="4070"/>
      <c r="J37" s="4070"/>
      <c r="K37" s="4070"/>
      <c r="L37" s="4070"/>
      <c r="M37" s="4070"/>
      <c r="N37" s="4146">
        <v>6</v>
      </c>
      <c r="O37" s="4162"/>
      <c r="P37" s="3683"/>
      <c r="Q37" s="3684"/>
      <c r="R37" s="3684"/>
      <c r="S37" s="4164" t="s">
        <v>20</v>
      </c>
    </row>
    <row r="38" spans="1:19" s="32" customFormat="1" ht="15" customHeight="1">
      <c r="A38" s="621"/>
      <c r="B38" s="189"/>
      <c r="C38" s="190"/>
      <c r="D38" s="1458"/>
      <c r="E38" s="3835" t="s">
        <v>2141</v>
      </c>
      <c r="F38" s="3835"/>
      <c r="G38" s="3835"/>
      <c r="H38" s="3835"/>
      <c r="I38" s="3835"/>
      <c r="J38" s="3835"/>
      <c r="K38" s="3835"/>
      <c r="L38" s="3835"/>
      <c r="M38" s="3835"/>
      <c r="N38" s="4152"/>
      <c r="O38" s="4163"/>
      <c r="P38" s="3935"/>
      <c r="Q38" s="3307"/>
      <c r="R38" s="3307"/>
      <c r="S38" s="4165"/>
    </row>
    <row r="39" spans="1:19" ht="30" customHeight="1">
      <c r="B39" s="4115" t="s">
        <v>2142</v>
      </c>
      <c r="C39" s="4070"/>
      <c r="D39" s="188"/>
      <c r="E39" s="4070" t="s">
        <v>415</v>
      </c>
      <c r="F39" s="4070"/>
      <c r="G39" s="4070"/>
      <c r="H39" s="4070"/>
      <c r="I39" s="4070"/>
      <c r="J39" s="4070"/>
      <c r="K39" s="4070"/>
      <c r="L39" s="4070"/>
      <c r="M39" s="4070"/>
      <c r="N39" s="4146" t="s">
        <v>416</v>
      </c>
      <c r="O39" s="1769"/>
      <c r="P39" s="3669"/>
      <c r="Q39" s="3669"/>
      <c r="R39" s="3669"/>
      <c r="S39" s="3082" t="s">
        <v>20</v>
      </c>
    </row>
    <row r="40" spans="1:19" s="32" customFormat="1" ht="15" customHeight="1" thickBot="1">
      <c r="A40" s="621"/>
      <c r="B40" s="189"/>
      <c r="C40" s="190"/>
      <c r="D40" s="1458"/>
      <c r="E40" s="3981"/>
      <c r="F40" s="3981"/>
      <c r="G40" s="3981"/>
      <c r="H40" s="3981"/>
      <c r="I40" s="3981"/>
      <c r="J40" s="3981"/>
      <c r="K40" s="3981"/>
      <c r="L40" s="3981"/>
      <c r="M40" s="3981"/>
      <c r="N40" s="4147"/>
      <c r="O40" s="1449">
        <f>score801.4.2</f>
        <v>0</v>
      </c>
      <c r="P40" s="3709"/>
      <c r="Q40" s="3709"/>
      <c r="R40" s="3709"/>
      <c r="S40" s="3205"/>
    </row>
    <row r="41" spans="1:19" ht="16" thickTop="1">
      <c r="B41" s="1447">
        <v>801.5</v>
      </c>
      <c r="C41" s="1448"/>
      <c r="D41" s="1448"/>
      <c r="E41" s="3585" t="s">
        <v>1157</v>
      </c>
      <c r="F41" s="3585"/>
      <c r="G41" s="3585"/>
      <c r="H41" s="3585"/>
      <c r="I41" s="3585"/>
      <c r="J41" s="3585"/>
      <c r="K41" s="3585"/>
      <c r="L41" s="3585"/>
      <c r="M41" s="3585"/>
      <c r="N41" s="1439"/>
      <c r="O41" s="1455"/>
      <c r="P41" s="4144"/>
      <c r="Q41" s="4144"/>
      <c r="R41" s="4144"/>
      <c r="S41" s="1527"/>
    </row>
    <row r="42" spans="1:19" ht="33" customHeight="1">
      <c r="B42" s="1429"/>
      <c r="C42" s="1425">
        <v>1</v>
      </c>
      <c r="D42" s="1425"/>
      <c r="E42" s="3065" t="s">
        <v>2976</v>
      </c>
      <c r="F42" s="3065"/>
      <c r="G42" s="3065"/>
      <c r="H42" s="3065"/>
      <c r="I42" s="3065"/>
      <c r="J42" s="3065"/>
      <c r="K42" s="3065"/>
      <c r="L42" s="3065"/>
      <c r="M42" s="3065"/>
      <c r="N42" s="870" t="s">
        <v>2824</v>
      </c>
      <c r="O42" s="1816" t="str">
        <f>IF(claim801.5_3="All fixtures comply","Met","Not Eligible for Gold or Emerald")</f>
        <v>Not Eligible for Gold or Emerald</v>
      </c>
      <c r="P42" s="3634"/>
      <c r="Q42" s="3635"/>
      <c r="R42" s="3635"/>
      <c r="S42" s="1526" t="s">
        <v>20</v>
      </c>
    </row>
    <row r="43" spans="1:19" ht="60" customHeight="1">
      <c r="B43" s="1462"/>
      <c r="C43" s="187">
        <v>2</v>
      </c>
      <c r="D43" s="1459"/>
      <c r="E43" s="3086" t="s">
        <v>1160</v>
      </c>
      <c r="F43" s="4108"/>
      <c r="G43" s="4108"/>
      <c r="H43" s="4108"/>
      <c r="I43" s="4108"/>
      <c r="J43" s="4108"/>
      <c r="K43" s="4108"/>
      <c r="L43" s="4108"/>
      <c r="M43" s="4108"/>
      <c r="N43" s="3042" t="s">
        <v>1158</v>
      </c>
      <c r="O43" s="1767"/>
      <c r="P43" s="3669"/>
      <c r="Q43" s="3669"/>
      <c r="R43" s="3669"/>
      <c r="S43" s="3082" t="s">
        <v>20</v>
      </c>
    </row>
    <row r="44" spans="1:19" ht="45" customHeight="1">
      <c r="B44" s="1462"/>
      <c r="C44" s="1466"/>
      <c r="D44" s="1433"/>
      <c r="E44" s="3411" t="s">
        <v>1159</v>
      </c>
      <c r="F44" s="2918"/>
      <c r="G44" s="2918"/>
      <c r="H44" s="2918"/>
      <c r="I44" s="2918"/>
      <c r="J44" s="2918"/>
      <c r="K44" s="2918"/>
      <c r="L44" s="2918"/>
      <c r="M44" s="2918"/>
      <c r="N44" s="2984"/>
      <c r="O44" s="1581">
        <f>score801.5_2</f>
        <v>0</v>
      </c>
      <c r="P44" s="3486"/>
      <c r="Q44" s="3486"/>
      <c r="R44" s="3486"/>
      <c r="S44" s="3055"/>
    </row>
    <row r="45" spans="1:19" ht="27" customHeight="1">
      <c r="B45" s="1462"/>
      <c r="C45" s="187">
        <v>3</v>
      </c>
      <c r="D45" s="188"/>
      <c r="E45" s="3155" t="s">
        <v>2143</v>
      </c>
      <c r="F45" s="3155"/>
      <c r="G45" s="3155"/>
      <c r="H45" s="3155"/>
      <c r="I45" s="3155"/>
      <c r="J45" s="3155"/>
      <c r="K45" s="3155"/>
      <c r="L45" s="3155"/>
      <c r="M45" s="3155"/>
      <c r="N45" s="1584">
        <v>11</v>
      </c>
      <c r="O45" s="2639"/>
      <c r="P45" s="3668"/>
      <c r="Q45" s="3669"/>
      <c r="R45" s="3669"/>
      <c r="S45" s="1583" t="s">
        <v>20</v>
      </c>
    </row>
    <row r="46" spans="1:19" ht="27" customHeight="1">
      <c r="B46" s="2101"/>
      <c r="C46" s="2128" t="s">
        <v>2826</v>
      </c>
      <c r="D46" s="2125"/>
      <c r="E46" s="4190" t="s">
        <v>2825</v>
      </c>
      <c r="F46" s="4190"/>
      <c r="G46" s="4190"/>
      <c r="H46" s="4190"/>
      <c r="I46" s="4190"/>
      <c r="J46" s="4190"/>
      <c r="K46" s="4190"/>
      <c r="L46" s="4190"/>
      <c r="M46" s="4190"/>
      <c r="N46" s="4190"/>
      <c r="O46" s="4191"/>
      <c r="P46" s="2126"/>
      <c r="Q46" s="2126"/>
      <c r="R46" s="2126"/>
      <c r="S46" s="2127"/>
    </row>
    <row r="47" spans="1:19" ht="30" customHeight="1">
      <c r="B47" s="1462"/>
      <c r="C47" s="1466"/>
      <c r="D47" s="188" t="s">
        <v>390</v>
      </c>
      <c r="E47" s="4070" t="s">
        <v>2144</v>
      </c>
      <c r="F47" s="4070"/>
      <c r="G47" s="4070"/>
      <c r="H47" s="4070"/>
      <c r="I47" s="4070"/>
      <c r="J47" s="4070"/>
      <c r="K47" s="4070"/>
      <c r="L47" s="4070"/>
      <c r="M47" s="4070"/>
      <c r="N47" s="4151" t="s">
        <v>410</v>
      </c>
      <c r="O47" s="1768"/>
      <c r="P47" s="3669"/>
      <c r="Q47" s="3669"/>
      <c r="R47" s="3669"/>
      <c r="S47" s="3082" t="s">
        <v>20</v>
      </c>
    </row>
    <row r="48" spans="1:19" ht="45" customHeight="1">
      <c r="B48" s="1462"/>
      <c r="C48" s="1466"/>
      <c r="D48" s="1466"/>
      <c r="E48" s="3191" t="s">
        <v>1161</v>
      </c>
      <c r="F48" s="3191"/>
      <c r="G48" s="3191"/>
      <c r="H48" s="3191"/>
      <c r="I48" s="3191"/>
      <c r="J48" s="3191"/>
      <c r="K48" s="3191"/>
      <c r="L48" s="3191"/>
      <c r="M48" s="3191"/>
      <c r="N48" s="3149"/>
      <c r="O48" s="3248">
        <f>score801.5_3a</f>
        <v>0</v>
      </c>
      <c r="P48" s="3486"/>
      <c r="Q48" s="3486"/>
      <c r="R48" s="3486"/>
      <c r="S48" s="3055"/>
    </row>
    <row r="49" spans="1:25" ht="15" customHeight="1">
      <c r="B49" s="1462"/>
      <c r="C49" s="1466"/>
      <c r="D49" s="1466"/>
      <c r="E49" s="3835" t="s">
        <v>2145</v>
      </c>
      <c r="F49" s="3835"/>
      <c r="G49" s="3835"/>
      <c r="H49" s="3835"/>
      <c r="I49" s="3835"/>
      <c r="J49" s="3835"/>
      <c r="K49" s="3835"/>
      <c r="L49" s="3835"/>
      <c r="M49" s="3835"/>
      <c r="N49" s="4152"/>
      <c r="O49" s="4145"/>
      <c r="P49" s="3635"/>
      <c r="Q49" s="3635"/>
      <c r="R49" s="3635"/>
      <c r="S49" s="3116"/>
    </row>
    <row r="50" spans="1:25" ht="30" customHeight="1">
      <c r="B50" s="1462"/>
      <c r="C50" s="1466"/>
      <c r="D50" s="188" t="s">
        <v>391</v>
      </c>
      <c r="E50" s="4150" t="s">
        <v>2146</v>
      </c>
      <c r="F50" s="4150"/>
      <c r="G50" s="4150"/>
      <c r="H50" s="4150"/>
      <c r="I50" s="4150"/>
      <c r="J50" s="4150"/>
      <c r="K50" s="4150"/>
      <c r="L50" s="4150"/>
      <c r="M50" s="4150"/>
      <c r="N50" s="4153">
        <v>1</v>
      </c>
      <c r="O50" s="4109"/>
      <c r="P50" s="3668"/>
      <c r="Q50" s="3669"/>
      <c r="R50" s="3669"/>
      <c r="S50" s="3117" t="s">
        <v>20</v>
      </c>
    </row>
    <row r="51" spans="1:25" ht="15" customHeight="1">
      <c r="B51" s="1462"/>
      <c r="C51" s="1466"/>
      <c r="D51" s="1466"/>
      <c r="E51" s="4121" t="s">
        <v>2147</v>
      </c>
      <c r="F51" s="4121"/>
      <c r="G51" s="4121"/>
      <c r="H51" s="4121"/>
      <c r="I51" s="4121"/>
      <c r="J51" s="4121"/>
      <c r="K51" s="4121"/>
      <c r="L51" s="4121"/>
      <c r="M51" s="4121"/>
      <c r="N51" s="4154"/>
      <c r="O51" s="4110"/>
      <c r="P51" s="3634"/>
      <c r="Q51" s="3635"/>
      <c r="R51" s="3635"/>
      <c r="S51" s="4155"/>
    </row>
    <row r="52" spans="1:25" ht="30" customHeight="1">
      <c r="A52" s="182" t="str">
        <f>IF(startCompostingToilet="No","x","")</f>
        <v/>
      </c>
      <c r="B52" s="1462"/>
      <c r="C52" s="1466"/>
      <c r="D52" s="188" t="s">
        <v>392</v>
      </c>
      <c r="E52" s="3101" t="s">
        <v>2148</v>
      </c>
      <c r="F52" s="3101"/>
      <c r="G52" s="3101"/>
      <c r="H52" s="3101"/>
      <c r="I52" s="3101"/>
      <c r="J52" s="3101"/>
      <c r="K52" s="3101"/>
      <c r="L52" s="3101"/>
      <c r="M52" s="3101"/>
      <c r="N52" s="4146">
        <v>6</v>
      </c>
      <c r="O52" s="3169"/>
      <c r="P52" s="3669"/>
      <c r="Q52" s="3669"/>
      <c r="R52" s="3669"/>
      <c r="S52" s="3117" t="s">
        <v>20</v>
      </c>
    </row>
    <row r="53" spans="1:25" s="32" customFormat="1" ht="15" customHeight="1" thickBot="1">
      <c r="A53" s="621"/>
      <c r="B53" s="89"/>
      <c r="C53" s="1468"/>
      <c r="D53" s="195"/>
      <c r="E53" s="4121" t="s">
        <v>2149</v>
      </c>
      <c r="F53" s="4121"/>
      <c r="G53" s="4121"/>
      <c r="H53" s="4121"/>
      <c r="I53" s="4121"/>
      <c r="J53" s="4121"/>
      <c r="K53" s="4121"/>
      <c r="L53" s="4121"/>
      <c r="M53" s="4121"/>
      <c r="N53" s="4147"/>
      <c r="O53" s="3169"/>
      <c r="P53" s="3709"/>
      <c r="Q53" s="3709"/>
      <c r="R53" s="3709"/>
      <c r="S53" s="4148"/>
    </row>
    <row r="54" spans="1:25" ht="16" thickTop="1">
      <c r="B54" s="1447">
        <v>801.6</v>
      </c>
      <c r="C54" s="1448"/>
      <c r="D54" s="1448"/>
      <c r="E54" s="3555" t="s">
        <v>1167</v>
      </c>
      <c r="F54" s="3555"/>
      <c r="G54" s="3555"/>
      <c r="H54" s="3555"/>
      <c r="I54" s="3555"/>
      <c r="J54" s="3555"/>
      <c r="K54" s="3555"/>
      <c r="L54" s="3555"/>
      <c r="M54" s="3555"/>
      <c r="N54" s="1439"/>
      <c r="O54" s="194"/>
      <c r="P54" s="4202"/>
      <c r="Q54" s="4202"/>
      <c r="R54" s="4202"/>
      <c r="S54" s="1527"/>
    </row>
    <row r="55" spans="1:25" ht="30" customHeight="1">
      <c r="B55" s="2978" t="s">
        <v>2150</v>
      </c>
      <c r="C55" s="3065"/>
      <c r="D55" s="1427"/>
      <c r="E55" s="3065" t="s">
        <v>1168</v>
      </c>
      <c r="F55" s="3065"/>
      <c r="G55" s="3065"/>
      <c r="H55" s="3065"/>
      <c r="I55" s="3065"/>
      <c r="J55" s="3065"/>
      <c r="K55" s="3065"/>
      <c r="L55" s="3065"/>
      <c r="M55" s="3065"/>
      <c r="N55" s="1430">
        <v>6</v>
      </c>
      <c r="O55" s="693"/>
      <c r="P55" s="4149"/>
      <c r="Q55" s="3486"/>
      <c r="R55" s="3486"/>
      <c r="S55" s="1461" t="s">
        <v>20</v>
      </c>
    </row>
    <row r="56" spans="1:25" ht="20" customHeight="1">
      <c r="B56" s="4135" t="s">
        <v>2151</v>
      </c>
      <c r="C56" s="3086"/>
      <c r="D56" s="196"/>
      <c r="E56" s="3086" t="s">
        <v>1169</v>
      </c>
      <c r="F56" s="3086"/>
      <c r="G56" s="3086"/>
      <c r="H56" s="3086"/>
      <c r="I56" s="3086"/>
      <c r="J56" s="3086"/>
      <c r="K56" s="3086"/>
      <c r="L56" s="3086"/>
      <c r="M56" s="3086"/>
      <c r="N56" s="1435"/>
      <c r="O56" s="161"/>
      <c r="P56" s="4138"/>
      <c r="Q56" s="4138"/>
      <c r="R56" s="4138"/>
      <c r="S56" s="3082" t="s">
        <v>20</v>
      </c>
    </row>
    <row r="57" spans="1:25" ht="20" customHeight="1">
      <c r="B57" s="1429"/>
      <c r="C57" s="1426">
        <v>1</v>
      </c>
      <c r="D57" s="42"/>
      <c r="E57" s="3063" t="s">
        <v>1170</v>
      </c>
      <c r="F57" s="3063"/>
      <c r="G57" s="3063"/>
      <c r="H57" s="3063"/>
      <c r="I57" s="3063"/>
      <c r="J57" s="3063"/>
      <c r="K57" s="3063"/>
      <c r="L57" s="3063"/>
      <c r="M57" s="3063"/>
      <c r="N57" s="1436">
        <v>4</v>
      </c>
      <c r="O57" s="217"/>
      <c r="P57" s="3634"/>
      <c r="Q57" s="3635"/>
      <c r="R57" s="3635"/>
      <c r="S57" s="3055"/>
    </row>
    <row r="58" spans="1:25" ht="20" customHeight="1" thickBot="1">
      <c r="B58" s="1429"/>
      <c r="C58" s="1428">
        <v>2</v>
      </c>
      <c r="D58" s="196"/>
      <c r="E58" s="3086" t="s">
        <v>1171</v>
      </c>
      <c r="F58" s="3086"/>
      <c r="G58" s="3086"/>
      <c r="H58" s="3086"/>
      <c r="I58" s="3086"/>
      <c r="J58" s="3086"/>
      <c r="K58" s="3086"/>
      <c r="L58" s="3086"/>
      <c r="M58" s="3086"/>
      <c r="N58" s="1435">
        <v>4</v>
      </c>
      <c r="O58" s="726"/>
      <c r="P58" s="3668"/>
      <c r="Q58" s="3669"/>
      <c r="R58" s="3669"/>
      <c r="S58" s="3055"/>
    </row>
    <row r="59" spans="1:25" ht="27" customHeight="1" thickTop="1" thickBot="1">
      <c r="B59" s="4136" t="s">
        <v>2152</v>
      </c>
      <c r="C59" s="4137"/>
      <c r="D59" s="1494"/>
      <c r="E59" s="4137" t="s">
        <v>1172</v>
      </c>
      <c r="F59" s="4137"/>
      <c r="G59" s="4137"/>
      <c r="H59" s="4137"/>
      <c r="I59" s="4137"/>
      <c r="J59" s="4137"/>
      <c r="K59" s="4137"/>
      <c r="L59" s="4137"/>
      <c r="M59" s="4137"/>
      <c r="N59" s="1495">
        <v>5</v>
      </c>
      <c r="O59" s="1496"/>
      <c r="P59" s="4139"/>
      <c r="Q59" s="4140"/>
      <c r="R59" s="4140"/>
      <c r="S59" s="1497" t="s">
        <v>20</v>
      </c>
    </row>
    <row r="60" spans="1:25" ht="30" customHeight="1" thickTop="1">
      <c r="B60" s="3160" t="s">
        <v>2153</v>
      </c>
      <c r="C60" s="4116"/>
      <c r="D60" s="1446"/>
      <c r="E60" s="4116" t="s">
        <v>1173</v>
      </c>
      <c r="F60" s="4116"/>
      <c r="G60" s="4116"/>
      <c r="H60" s="4116"/>
      <c r="I60" s="4116"/>
      <c r="J60" s="4116"/>
      <c r="K60" s="4116"/>
      <c r="L60" s="4116"/>
      <c r="M60" s="4116"/>
      <c r="N60" s="2983">
        <v>10</v>
      </c>
      <c r="O60" s="4142"/>
      <c r="P60" s="4192"/>
      <c r="Q60" s="4126"/>
      <c r="R60" s="4126"/>
      <c r="S60" s="4141" t="s">
        <v>20</v>
      </c>
    </row>
    <row r="61" spans="1:25" s="32" customFormat="1" ht="30" customHeight="1" thickBot="1">
      <c r="A61" s="621"/>
      <c r="B61" s="197"/>
      <c r="C61" s="198"/>
      <c r="D61" s="1454"/>
      <c r="E61" s="3069" t="s">
        <v>2871</v>
      </c>
      <c r="F61" s="3069"/>
      <c r="G61" s="3069"/>
      <c r="H61" s="3069"/>
      <c r="I61" s="3069"/>
      <c r="J61" s="3069"/>
      <c r="K61" s="3069"/>
      <c r="L61" s="3069"/>
      <c r="M61" s="3069"/>
      <c r="N61" s="3198"/>
      <c r="O61" s="4143"/>
      <c r="P61" s="4193"/>
      <c r="Q61" s="3709"/>
      <c r="R61" s="3709"/>
      <c r="S61" s="3205"/>
    </row>
    <row r="62" spans="1:25" ht="30" customHeight="1" thickTop="1">
      <c r="B62" s="4115" t="s">
        <v>2154</v>
      </c>
      <c r="C62" s="4070"/>
      <c r="D62" s="188"/>
      <c r="E62" s="4070" t="s">
        <v>2830</v>
      </c>
      <c r="F62" s="4070"/>
      <c r="G62" s="4070"/>
      <c r="H62" s="4070"/>
      <c r="I62" s="4070"/>
      <c r="J62" s="4070"/>
      <c r="K62" s="4070"/>
      <c r="L62" s="4070"/>
      <c r="M62" s="4070"/>
      <c r="N62" s="1463"/>
      <c r="O62" s="112"/>
      <c r="P62" s="3516"/>
      <c r="Q62" s="3516"/>
      <c r="R62" s="3516"/>
      <c r="S62" s="1527"/>
      <c r="U62" s="182"/>
      <c r="V62" s="182"/>
      <c r="W62" s="182"/>
      <c r="X62" s="182"/>
      <c r="Y62" s="182"/>
    </row>
    <row r="63" spans="1:25" ht="27.75" customHeight="1">
      <c r="B63" s="1462"/>
      <c r="C63" s="55">
        <v>1</v>
      </c>
      <c r="D63" s="55"/>
      <c r="E63" s="3101" t="s">
        <v>2829</v>
      </c>
      <c r="F63" s="3101"/>
      <c r="G63" s="3101"/>
      <c r="H63" s="3101"/>
      <c r="I63" s="3101"/>
      <c r="J63" s="3101"/>
      <c r="K63" s="3101"/>
      <c r="L63" s="3101"/>
      <c r="M63" s="3101"/>
      <c r="N63" s="1441">
        <v>8</v>
      </c>
      <c r="O63" s="510"/>
      <c r="P63" s="3633"/>
      <c r="Q63" s="3486"/>
      <c r="R63" s="3486"/>
      <c r="S63" s="3055" t="s">
        <v>20</v>
      </c>
      <c r="U63" s="182"/>
      <c r="V63" s="182"/>
      <c r="W63" s="182"/>
      <c r="X63" s="182"/>
      <c r="Y63" s="182"/>
    </row>
    <row r="64" spans="1:25" ht="30" customHeight="1">
      <c r="B64" s="1462"/>
      <c r="C64" s="187">
        <v>2</v>
      </c>
      <c r="D64" s="187"/>
      <c r="E64" s="4070" t="s">
        <v>1174</v>
      </c>
      <c r="F64" s="4070"/>
      <c r="G64" s="4070"/>
      <c r="H64" s="4070"/>
      <c r="I64" s="4070"/>
      <c r="J64" s="4070"/>
      <c r="K64" s="4070"/>
      <c r="L64" s="4070"/>
      <c r="M64" s="4070"/>
      <c r="N64" s="4146">
        <v>15</v>
      </c>
      <c r="O64" s="4200"/>
      <c r="P64" s="3669"/>
      <c r="Q64" s="3669"/>
      <c r="R64" s="3669"/>
      <c r="S64" s="3055"/>
      <c r="U64" s="182"/>
      <c r="V64" s="182"/>
      <c r="W64" s="182"/>
      <c r="X64" s="182"/>
      <c r="Y64" s="182"/>
    </row>
    <row r="65" spans="2:19" s="32" customFormat="1" ht="39" customHeight="1" thickBot="1">
      <c r="B65" s="728"/>
      <c r="C65" s="719"/>
      <c r="D65" s="199"/>
      <c r="E65" s="4128" t="s">
        <v>3009</v>
      </c>
      <c r="F65" s="4128"/>
      <c r="G65" s="4128"/>
      <c r="H65" s="4128"/>
      <c r="I65" s="4128"/>
      <c r="J65" s="4128"/>
      <c r="K65" s="4128"/>
      <c r="L65" s="4128"/>
      <c r="M65" s="4128"/>
      <c r="N65" s="4147"/>
      <c r="O65" s="4201"/>
      <c r="P65" s="3709"/>
      <c r="Q65" s="3709"/>
      <c r="R65" s="3709"/>
      <c r="S65" s="3205"/>
    </row>
    <row r="66" spans="2:19" ht="16" thickTop="1">
      <c r="B66" s="1447">
        <v>801.7</v>
      </c>
      <c r="C66" s="1448"/>
      <c r="D66" s="1448"/>
      <c r="E66" s="3585" t="s">
        <v>1192</v>
      </c>
      <c r="F66" s="3585"/>
      <c r="G66" s="3585"/>
      <c r="H66" s="3585"/>
      <c r="I66" s="3585"/>
      <c r="J66" s="3585"/>
      <c r="K66" s="3585"/>
      <c r="L66" s="3585"/>
      <c r="M66" s="3585"/>
      <c r="N66" s="1439"/>
      <c r="O66" s="194"/>
      <c r="P66" s="3585"/>
      <c r="Q66" s="3585"/>
      <c r="R66" s="3585"/>
      <c r="S66" s="1527"/>
    </row>
    <row r="67" spans="2:19" ht="26.25" customHeight="1" thickBot="1">
      <c r="B67" s="2978" t="s">
        <v>417</v>
      </c>
      <c r="C67" s="3065"/>
      <c r="D67" s="1427"/>
      <c r="E67" s="3065" t="s">
        <v>1196</v>
      </c>
      <c r="F67" s="3065"/>
      <c r="G67" s="3065"/>
      <c r="H67" s="3065"/>
      <c r="I67" s="3065"/>
      <c r="J67" s="3065"/>
      <c r="K67" s="3065"/>
      <c r="L67" s="3065"/>
      <c r="M67" s="3065"/>
      <c r="N67" s="1430"/>
      <c r="O67" s="4129"/>
      <c r="P67" s="3486"/>
      <c r="Q67" s="3486"/>
      <c r="R67" s="3486"/>
      <c r="S67" s="3378" t="s">
        <v>20</v>
      </c>
    </row>
    <row r="68" spans="2:19" ht="30" customHeight="1">
      <c r="B68" s="1429"/>
      <c r="C68" s="1437"/>
      <c r="D68" s="1425"/>
      <c r="E68" s="746">
        <v>1</v>
      </c>
      <c r="F68" s="4117" t="s">
        <v>2174</v>
      </c>
      <c r="G68" s="4117"/>
      <c r="H68" s="4117"/>
      <c r="I68" s="4117"/>
      <c r="J68" s="4117"/>
      <c r="K68" s="4117"/>
      <c r="L68" s="4117"/>
      <c r="M68" s="751" t="s">
        <v>115</v>
      </c>
      <c r="N68" s="748"/>
      <c r="O68" s="4130"/>
      <c r="P68" s="3486"/>
      <c r="Q68" s="3486"/>
      <c r="R68" s="3486"/>
      <c r="S68" s="3378"/>
    </row>
    <row r="69" spans="2:19" ht="15" customHeight="1">
      <c r="B69" s="1429"/>
      <c r="C69" s="1437"/>
      <c r="D69" s="1425"/>
      <c r="E69" s="747">
        <v>2</v>
      </c>
      <c r="F69" s="4118" t="s">
        <v>1197</v>
      </c>
      <c r="G69" s="4118"/>
      <c r="H69" s="4118"/>
      <c r="I69" s="4118"/>
      <c r="J69" s="4118"/>
      <c r="K69" s="4118"/>
      <c r="L69" s="4118"/>
      <c r="M69" s="4119"/>
      <c r="N69" s="1430"/>
      <c r="O69" s="4130"/>
      <c r="P69" s="3486"/>
      <c r="Q69" s="3486"/>
      <c r="R69" s="3486"/>
      <c r="S69" s="3378"/>
    </row>
    <row r="70" spans="2:19" ht="15" customHeight="1">
      <c r="B70" s="1429"/>
      <c r="C70" s="1425"/>
      <c r="D70" s="1425"/>
      <c r="E70" s="749" t="s">
        <v>1202</v>
      </c>
      <c r="F70" s="4118" t="s">
        <v>1198</v>
      </c>
      <c r="G70" s="4118"/>
      <c r="H70" s="4118"/>
      <c r="I70" s="4118"/>
      <c r="J70" s="4118"/>
      <c r="K70" s="4118"/>
      <c r="L70" s="4118"/>
      <c r="M70" s="1525" t="s">
        <v>115</v>
      </c>
      <c r="N70" s="1430"/>
      <c r="O70" s="4130"/>
      <c r="P70" s="3486"/>
      <c r="Q70" s="3486"/>
      <c r="R70" s="3486"/>
      <c r="S70" s="3378"/>
    </row>
    <row r="71" spans="2:19" ht="15" customHeight="1">
      <c r="B71" s="1429"/>
      <c r="C71" s="1425"/>
      <c r="D71" s="1425"/>
      <c r="E71" s="749" t="s">
        <v>1203</v>
      </c>
      <c r="F71" s="4118" t="s">
        <v>1199</v>
      </c>
      <c r="G71" s="4118"/>
      <c r="H71" s="4118"/>
      <c r="I71" s="4118"/>
      <c r="J71" s="4118"/>
      <c r="K71" s="4118"/>
      <c r="L71" s="4118"/>
      <c r="M71" s="1525" t="s">
        <v>1180</v>
      </c>
      <c r="N71" s="1430"/>
      <c r="O71" s="4130"/>
      <c r="P71" s="3486"/>
      <c r="Q71" s="3486"/>
      <c r="R71" s="3486"/>
      <c r="S71" s="3378"/>
    </row>
    <row r="72" spans="2:19" ht="45" customHeight="1">
      <c r="B72" s="1429"/>
      <c r="C72" s="1425"/>
      <c r="D72" s="1425"/>
      <c r="E72" s="750" t="s">
        <v>1201</v>
      </c>
      <c r="F72" s="4118" t="s">
        <v>2180</v>
      </c>
      <c r="G72" s="4118"/>
      <c r="H72" s="4118"/>
      <c r="I72" s="4118"/>
      <c r="J72" s="4118"/>
      <c r="K72" s="4118"/>
      <c r="L72" s="4118"/>
      <c r="M72" s="1525" t="s">
        <v>900</v>
      </c>
      <c r="N72" s="1430"/>
      <c r="O72" s="4131"/>
      <c r="P72" s="3486"/>
      <c r="Q72" s="3486"/>
      <c r="R72" s="3486"/>
      <c r="S72" s="3378"/>
    </row>
    <row r="73" spans="2:19" ht="60" customHeight="1" thickBot="1">
      <c r="B73" s="1429"/>
      <c r="C73" s="1425"/>
      <c r="D73" s="1425"/>
      <c r="E73" s="752" t="s">
        <v>1204</v>
      </c>
      <c r="F73" s="4226" t="s">
        <v>1200</v>
      </c>
      <c r="G73" s="4226"/>
      <c r="H73" s="4226"/>
      <c r="I73" s="4226"/>
      <c r="J73" s="4226"/>
      <c r="K73" s="4226"/>
      <c r="L73" s="4226"/>
      <c r="M73" s="753" t="s">
        <v>1213</v>
      </c>
      <c r="N73" s="1430"/>
      <c r="O73" s="1452">
        <f>score801.7.1</f>
        <v>0</v>
      </c>
      <c r="P73" s="3486"/>
      <c r="Q73" s="3486"/>
      <c r="R73" s="3486"/>
      <c r="S73" s="3378"/>
    </row>
    <row r="74" spans="2:19" ht="42" customHeight="1" thickTop="1" thickBot="1">
      <c r="B74" s="3160" t="s">
        <v>419</v>
      </c>
      <c r="C74" s="4116"/>
      <c r="D74" s="1464"/>
      <c r="E74" s="4116" t="s">
        <v>1210</v>
      </c>
      <c r="F74" s="4116"/>
      <c r="G74" s="4116"/>
      <c r="H74" s="4116"/>
      <c r="I74" s="4116"/>
      <c r="J74" s="4116"/>
      <c r="K74" s="4116"/>
      <c r="L74" s="4116"/>
      <c r="M74" s="4116"/>
      <c r="N74" s="2983"/>
      <c r="O74" s="4199"/>
      <c r="P74" s="4126"/>
      <c r="Q74" s="4126"/>
      <c r="R74" s="4126"/>
      <c r="S74" s="3337" t="s">
        <v>20</v>
      </c>
    </row>
    <row r="75" spans="2:19" ht="30" customHeight="1">
      <c r="B75" s="1429"/>
      <c r="C75" s="1425"/>
      <c r="D75" s="1425"/>
      <c r="E75" s="731">
        <v>1</v>
      </c>
      <c r="F75" s="4125" t="s">
        <v>1211</v>
      </c>
      <c r="G75" s="4125"/>
      <c r="H75" s="4125"/>
      <c r="I75" s="4125"/>
      <c r="J75" s="4125"/>
      <c r="K75" s="4195" t="s">
        <v>1214</v>
      </c>
      <c r="L75" s="4195"/>
      <c r="M75" s="4196"/>
      <c r="N75" s="2984"/>
      <c r="O75" s="3316"/>
      <c r="P75" s="3486"/>
      <c r="Q75" s="3486"/>
      <c r="R75" s="3486"/>
      <c r="S75" s="3378"/>
    </row>
    <row r="76" spans="2:19" ht="30" customHeight="1" thickBot="1">
      <c r="B76" s="1429"/>
      <c r="C76" s="1425"/>
      <c r="D76" s="1425"/>
      <c r="E76" s="733">
        <v>2</v>
      </c>
      <c r="F76" s="4194" t="s">
        <v>1212</v>
      </c>
      <c r="G76" s="4194"/>
      <c r="H76" s="4194"/>
      <c r="I76" s="4194"/>
      <c r="J76" s="4194"/>
      <c r="K76" s="4197" t="s">
        <v>1213</v>
      </c>
      <c r="L76" s="4197"/>
      <c r="M76" s="4198"/>
      <c r="N76" s="2984"/>
      <c r="O76" s="4227">
        <f>score801.7.2</f>
        <v>0</v>
      </c>
      <c r="P76" s="3486"/>
      <c r="Q76" s="3486"/>
      <c r="R76" s="3486"/>
      <c r="S76" s="3378"/>
    </row>
    <row r="77" spans="2:19" ht="16" thickBot="1">
      <c r="B77" s="1578"/>
      <c r="C77" s="1577"/>
      <c r="D77" s="1577"/>
      <c r="E77" s="4229" t="s">
        <v>2301</v>
      </c>
      <c r="F77" s="4229"/>
      <c r="G77" s="4229"/>
      <c r="H77" s="4229"/>
      <c r="I77" s="4229"/>
      <c r="J77" s="4229"/>
      <c r="K77" s="4229"/>
      <c r="L77" s="4229"/>
      <c r="M77" s="4229"/>
      <c r="N77" s="1579"/>
      <c r="O77" s="4228"/>
      <c r="P77" s="3488"/>
      <c r="Q77" s="3488"/>
      <c r="R77" s="3488"/>
      <c r="S77" s="4127"/>
    </row>
    <row r="78" spans="2:19" ht="30" customHeight="1" thickTop="1">
      <c r="B78" s="1582">
        <v>801.8</v>
      </c>
      <c r="C78" s="1586"/>
      <c r="D78" s="1586"/>
      <c r="E78" s="3101" t="s">
        <v>1175</v>
      </c>
      <c r="F78" s="3101"/>
      <c r="G78" s="3101"/>
      <c r="H78" s="3101"/>
      <c r="I78" s="3101"/>
      <c r="J78" s="3101"/>
      <c r="K78" s="3101"/>
      <c r="L78" s="3101"/>
      <c r="M78" s="3101"/>
      <c r="N78" s="1585">
        <v>1</v>
      </c>
      <c r="O78" s="1218"/>
      <c r="P78" s="3633"/>
      <c r="Q78" s="3486"/>
      <c r="R78" s="3486"/>
      <c r="S78" s="1580" t="s">
        <v>20</v>
      </c>
    </row>
    <row r="79" spans="2:19" ht="15" customHeight="1">
      <c r="B79" s="3319" t="s">
        <v>420</v>
      </c>
      <c r="C79" s="3319"/>
      <c r="D79" s="3319"/>
      <c r="E79" s="3319"/>
      <c r="F79" s="3319"/>
      <c r="G79" s="3319"/>
      <c r="H79" s="3319"/>
      <c r="I79" s="3319"/>
      <c r="J79" s="3319"/>
      <c r="K79" s="3319"/>
      <c r="L79" s="3319"/>
      <c r="M79" s="3319"/>
      <c r="N79" s="3319"/>
      <c r="O79" s="3319"/>
      <c r="P79" s="3319"/>
      <c r="Q79" s="3319"/>
      <c r="R79" s="3319"/>
      <c r="S79" s="3319"/>
    </row>
    <row r="80" spans="2:19" ht="30" customHeight="1" thickBot="1">
      <c r="B80" s="1429">
        <v>802.1</v>
      </c>
      <c r="C80" s="1427"/>
      <c r="D80" s="1427"/>
      <c r="E80" s="3065" t="s">
        <v>1176</v>
      </c>
      <c r="F80" s="3065"/>
      <c r="G80" s="3065"/>
      <c r="H80" s="3065"/>
      <c r="I80" s="3065"/>
      <c r="J80" s="3065"/>
      <c r="K80" s="3065"/>
      <c r="L80" s="3065"/>
      <c r="M80" s="3065"/>
      <c r="N80" s="2984"/>
      <c r="O80" s="4123"/>
      <c r="P80" s="3486"/>
      <c r="Q80" s="3486"/>
      <c r="R80" s="3486"/>
      <c r="S80" s="3114" t="s">
        <v>20</v>
      </c>
    </row>
    <row r="81" spans="2:25" ht="30" customHeight="1">
      <c r="B81" s="742"/>
      <c r="C81" s="1431"/>
      <c r="D81" s="1431"/>
      <c r="E81" s="730">
        <v>1</v>
      </c>
      <c r="F81" s="4117" t="s">
        <v>1177</v>
      </c>
      <c r="G81" s="4117"/>
      <c r="H81" s="4117"/>
      <c r="I81" s="4117"/>
      <c r="J81" s="4117"/>
      <c r="K81" s="4117" t="s">
        <v>1179</v>
      </c>
      <c r="L81" s="4117"/>
      <c r="M81" s="4132"/>
      <c r="N81" s="2984"/>
      <c r="O81" s="4124"/>
      <c r="P81" s="3486"/>
      <c r="Q81" s="3486"/>
      <c r="R81" s="3486"/>
      <c r="S81" s="3114"/>
      <c r="U81" s="115"/>
      <c r="V81" s="115"/>
      <c r="W81" s="115"/>
      <c r="X81" s="115"/>
      <c r="Y81" s="115"/>
    </row>
    <row r="82" spans="2:25" s="115" customFormat="1" ht="30" customHeight="1" thickBot="1">
      <c r="B82" s="742"/>
      <c r="C82" s="1431"/>
      <c r="D82" s="1431"/>
      <c r="E82" s="707">
        <v>2</v>
      </c>
      <c r="F82" s="4133" t="s">
        <v>1178</v>
      </c>
      <c r="G82" s="4133"/>
      <c r="H82" s="4133"/>
      <c r="I82" s="4133"/>
      <c r="J82" s="4133"/>
      <c r="K82" s="4133" t="s">
        <v>1180</v>
      </c>
      <c r="L82" s="4133"/>
      <c r="M82" s="4134"/>
      <c r="N82" s="2984"/>
      <c r="O82" s="3248">
        <f>score802.1</f>
        <v>0</v>
      </c>
      <c r="P82" s="3486"/>
      <c r="Q82" s="3486"/>
      <c r="R82" s="3486"/>
      <c r="S82" s="3114"/>
    </row>
    <row r="83" spans="2:25" ht="16" thickBot="1">
      <c r="B83" s="742"/>
      <c r="C83" s="1431"/>
      <c r="D83" s="1431"/>
      <c r="E83" s="4114" t="s">
        <v>1194</v>
      </c>
      <c r="F83" s="4114"/>
      <c r="G83" s="4114"/>
      <c r="H83" s="4114"/>
      <c r="I83" s="4114"/>
      <c r="J83" s="4114"/>
      <c r="K83" s="4114"/>
      <c r="L83" s="4114"/>
      <c r="M83" s="4114"/>
      <c r="N83" s="3198"/>
      <c r="O83" s="3248"/>
      <c r="P83" s="3709"/>
      <c r="Q83" s="3709"/>
      <c r="R83" s="3709"/>
      <c r="S83" s="4122"/>
    </row>
    <row r="84" spans="2:25" ht="45" customHeight="1" thickTop="1" thickBot="1">
      <c r="B84" s="1447">
        <v>802.2</v>
      </c>
      <c r="C84" s="1448"/>
      <c r="D84" s="1448"/>
      <c r="E84" s="3585" t="s">
        <v>1186</v>
      </c>
      <c r="F84" s="3585"/>
      <c r="G84" s="3585"/>
      <c r="H84" s="3585"/>
      <c r="I84" s="3585"/>
      <c r="J84" s="3585"/>
      <c r="K84" s="3585"/>
      <c r="L84" s="3585"/>
      <c r="M84" s="3585"/>
      <c r="N84" s="3197"/>
      <c r="O84" s="4222"/>
      <c r="P84" s="3484"/>
      <c r="Q84" s="3484"/>
      <c r="R84" s="3484"/>
      <c r="S84" s="3204" t="s">
        <v>20</v>
      </c>
    </row>
    <row r="85" spans="2:25" ht="20" customHeight="1">
      <c r="B85" s="1429"/>
      <c r="C85" s="1437"/>
      <c r="D85" s="1425"/>
      <c r="E85" s="731">
        <v>1</v>
      </c>
      <c r="F85" s="4125" t="s">
        <v>421</v>
      </c>
      <c r="G85" s="4125"/>
      <c r="H85" s="4125"/>
      <c r="I85" s="732" t="s">
        <v>77</v>
      </c>
      <c r="J85" s="4223"/>
      <c r="K85" s="3065"/>
      <c r="L85" s="3065"/>
      <c r="M85" s="3065"/>
      <c r="N85" s="2984"/>
      <c r="O85" s="4173"/>
      <c r="P85" s="3486"/>
      <c r="Q85" s="3486"/>
      <c r="R85" s="3486"/>
      <c r="S85" s="3055"/>
    </row>
    <row r="86" spans="2:25" ht="20" customHeight="1" thickBot="1">
      <c r="B86" s="1429"/>
      <c r="C86" s="1437"/>
      <c r="D86" s="1425"/>
      <c r="E86" s="734">
        <v>2</v>
      </c>
      <c r="F86" s="4221" t="s">
        <v>422</v>
      </c>
      <c r="G86" s="4221"/>
      <c r="H86" s="4221"/>
      <c r="I86" s="735" t="s">
        <v>77</v>
      </c>
      <c r="J86" s="4224"/>
      <c r="K86" s="3133"/>
      <c r="L86" s="3133"/>
      <c r="M86" s="3133"/>
      <c r="N86" s="4187"/>
      <c r="O86" s="1452">
        <f>score802.2</f>
        <v>0</v>
      </c>
      <c r="P86" s="3486"/>
      <c r="Q86" s="3486"/>
      <c r="R86" s="3486"/>
      <c r="S86" s="3055"/>
    </row>
    <row r="87" spans="2:25" ht="45" customHeight="1" thickTop="1" thickBot="1">
      <c r="B87" s="743">
        <v>802.3</v>
      </c>
      <c r="C87" s="738"/>
      <c r="D87" s="739"/>
      <c r="E87" s="4210" t="s">
        <v>1189</v>
      </c>
      <c r="F87" s="4210"/>
      <c r="G87" s="4210"/>
      <c r="H87" s="4210"/>
      <c r="I87" s="4210"/>
      <c r="J87" s="4210"/>
      <c r="K87" s="4210"/>
      <c r="L87" s="4210"/>
      <c r="M87" s="4210"/>
      <c r="N87" s="740">
        <v>20</v>
      </c>
      <c r="O87" s="741"/>
      <c r="P87" s="4213"/>
      <c r="Q87" s="4140"/>
      <c r="R87" s="4140"/>
      <c r="S87" s="744" t="s">
        <v>20</v>
      </c>
    </row>
    <row r="88" spans="2:25" ht="30" customHeight="1" thickTop="1" thickBot="1">
      <c r="B88" s="745">
        <v>802.4</v>
      </c>
      <c r="C88" s="736"/>
      <c r="D88" s="737"/>
      <c r="E88" s="4211" t="s">
        <v>1190</v>
      </c>
      <c r="F88" s="4211"/>
      <c r="G88" s="4211"/>
      <c r="H88" s="4211"/>
      <c r="I88" s="4211"/>
      <c r="J88" s="4211"/>
      <c r="K88" s="4211"/>
      <c r="L88" s="4211"/>
      <c r="M88" s="4211"/>
      <c r="N88" s="74">
        <v>1</v>
      </c>
      <c r="O88" s="1457"/>
      <c r="P88" s="4213"/>
      <c r="Q88" s="4140"/>
      <c r="R88" s="4140"/>
      <c r="S88" s="744" t="s">
        <v>20</v>
      </c>
    </row>
    <row r="89" spans="2:25" ht="30" customHeight="1" thickTop="1">
      <c r="B89" s="3160">
        <v>802.5</v>
      </c>
      <c r="C89" s="4116"/>
      <c r="D89" s="4184"/>
      <c r="E89" s="4212" t="s">
        <v>1191</v>
      </c>
      <c r="F89" s="4212"/>
      <c r="G89" s="4212"/>
      <c r="H89" s="4212"/>
      <c r="I89" s="4212"/>
      <c r="J89" s="4212"/>
      <c r="K89" s="4212"/>
      <c r="L89" s="4212"/>
      <c r="M89" s="4212"/>
      <c r="N89" s="2983">
        <v>20</v>
      </c>
      <c r="O89" s="4142"/>
      <c r="P89" s="4126"/>
      <c r="Q89" s="4126"/>
      <c r="R89" s="4126"/>
      <c r="S89" s="4217" t="s">
        <v>20</v>
      </c>
    </row>
    <row r="90" spans="2:25" ht="16" thickBot="1">
      <c r="B90" s="4219"/>
      <c r="C90" s="4186"/>
      <c r="D90" s="4185"/>
      <c r="E90" s="4214" t="s">
        <v>1193</v>
      </c>
      <c r="F90" s="4214"/>
      <c r="G90" s="4214"/>
      <c r="H90" s="4214"/>
      <c r="I90" s="4214"/>
      <c r="J90" s="4214"/>
      <c r="K90" s="4214"/>
      <c r="L90" s="4214"/>
      <c r="M90" s="4214"/>
      <c r="N90" s="4215"/>
      <c r="O90" s="4216"/>
      <c r="P90" s="3715"/>
      <c r="Q90" s="3715"/>
      <c r="R90" s="3715"/>
      <c r="S90" s="4218"/>
    </row>
    <row r="91" spans="2:25" ht="16" thickBot="1">
      <c r="B91" s="4209"/>
      <c r="C91" s="4209"/>
      <c r="D91" s="4209"/>
      <c r="E91" s="4209"/>
      <c r="F91" s="4209"/>
      <c r="G91" s="4209"/>
      <c r="H91" s="4209"/>
      <c r="I91" s="4209"/>
      <c r="J91" s="4209"/>
      <c r="K91" s="4209"/>
      <c r="L91" s="4209"/>
      <c r="M91" s="4209"/>
      <c r="N91" s="4209"/>
      <c r="O91" s="4209"/>
      <c r="P91" s="4209"/>
      <c r="Q91" s="4209"/>
      <c r="R91" s="4209"/>
      <c r="S91" s="4209"/>
    </row>
    <row r="92" spans="2:25" ht="20" thickBot="1">
      <c r="B92" s="3103" t="s">
        <v>423</v>
      </c>
      <c r="C92" s="3104"/>
      <c r="D92" s="3104"/>
      <c r="E92" s="3104"/>
      <c r="F92" s="3104"/>
      <c r="G92" s="3104"/>
      <c r="H92" s="3104"/>
      <c r="I92" s="3104"/>
      <c r="J92" s="3104"/>
      <c r="K92" s="3104"/>
      <c r="L92" s="3104"/>
      <c r="M92" s="3104"/>
      <c r="N92" s="3104"/>
      <c r="O92" s="3105" t="s">
        <v>424</v>
      </c>
      <c r="P92" s="3105"/>
      <c r="Q92" s="3105"/>
      <c r="R92" s="3105"/>
      <c r="S92" s="3106"/>
    </row>
    <row r="93" spans="2:25">
      <c r="B93" s="4230" t="str">
        <f>CONCATENATE(copyright," All rights reserved.  This document is protected by U.S. copyright law. Requirements from ICC700-2012 National Green Building Standard™ © 2013 National Association of Home Builders of the U.S. - used by permission."," Home Innovation authorizes use of this document only by those individuals/organizations participating in Home Innovation's Green Building Certification and solely for purpose of seeking project certification from the Home Innovation Research Labs.")</f>
        <v>© 2020 Home Innovation Research Labs, Inc. All rights reserved.  This document is protected by U.S. copyright law. Requirements from ICC700-2012 National Green Building Standard™ © 2013 National Association of Home Builders of the U.S. - used by permission. Home Innovation authorizes use of this document only by those individuals/organizations participating in Home Innovation's Green Building Certification and solely for purpose of seeking project certification from the Home Innovation Research Labs.</v>
      </c>
      <c r="C93" s="4230"/>
      <c r="D93" s="4230"/>
      <c r="E93" s="4230"/>
      <c r="F93" s="4230"/>
      <c r="G93" s="4230"/>
      <c r="H93" s="4230"/>
      <c r="I93" s="4230"/>
      <c r="J93" s="4230"/>
      <c r="K93" s="4230"/>
      <c r="L93" s="4230"/>
      <c r="M93" s="4230"/>
      <c r="N93" s="4230"/>
      <c r="O93" s="4230"/>
      <c r="P93" s="4230"/>
      <c r="Q93" s="4230"/>
      <c r="R93" s="4230"/>
      <c r="S93" s="4230"/>
    </row>
    <row r="94" spans="2:25">
      <c r="B94" s="4231"/>
      <c r="C94" s="4231"/>
      <c r="D94" s="4231"/>
      <c r="E94" s="4231"/>
      <c r="F94" s="4231"/>
      <c r="G94" s="4231"/>
      <c r="H94" s="4231"/>
      <c r="I94" s="4231"/>
      <c r="J94" s="4231"/>
      <c r="K94" s="4231"/>
      <c r="L94" s="4231"/>
      <c r="M94" s="4231"/>
      <c r="N94" s="4231"/>
      <c r="O94" s="4231"/>
      <c r="P94" s="4231"/>
      <c r="Q94" s="4231"/>
      <c r="R94" s="4231"/>
      <c r="S94" s="4231"/>
    </row>
    <row r="95" spans="2:25">
      <c r="B95" s="4231"/>
      <c r="C95" s="4231"/>
      <c r="D95" s="4231"/>
      <c r="E95" s="4231"/>
      <c r="F95" s="4231"/>
      <c r="G95" s="4231"/>
      <c r="H95" s="4231"/>
      <c r="I95" s="4231"/>
      <c r="J95" s="4231"/>
      <c r="K95" s="4231"/>
      <c r="L95" s="4231"/>
      <c r="M95" s="4231"/>
      <c r="N95" s="4231"/>
      <c r="O95" s="4231"/>
      <c r="P95" s="4231"/>
      <c r="Q95" s="4231"/>
      <c r="R95" s="4231"/>
      <c r="S95" s="4231"/>
    </row>
  </sheetData>
  <sheetProtection algorithmName="SHA-512" hashValue="KLjRo+Orzy0YVEW4l8iClZqW/jPvg+BjhII8T+f5epgL9TPxTMTACT4nj9nnpQKJh15p4rywtOwDtfkPy22VFg==" saltValue="vgzGOs1YBkBW44uLFUDu3w==" spinCount="100000" sheet="1" objects="1" scenarios="1" formatRows="0" selectLockedCells="1"/>
  <mergeCells count="218">
    <mergeCell ref="B93:S95"/>
    <mergeCell ref="B4:H5"/>
    <mergeCell ref="S18:S19"/>
    <mergeCell ref="E9:N10"/>
    <mergeCell ref="E32:M32"/>
    <mergeCell ref="E31:M31"/>
    <mergeCell ref="M1:M2"/>
    <mergeCell ref="N1:O1"/>
    <mergeCell ref="P1:S1"/>
    <mergeCell ref="I5:S5"/>
    <mergeCell ref="B6:D6"/>
    <mergeCell ref="E6:M6"/>
    <mergeCell ref="B7:S7"/>
    <mergeCell ref="E18:M18"/>
    <mergeCell ref="E20:M20"/>
    <mergeCell ref="E21:M21"/>
    <mergeCell ref="E8:M8"/>
    <mergeCell ref="P6:R6"/>
    <mergeCell ref="P11:R11"/>
    <mergeCell ref="E17:M17"/>
    <mergeCell ref="S12:S17"/>
    <mergeCell ref="P12:R17"/>
    <mergeCell ref="O16:O17"/>
    <mergeCell ref="P8:R10"/>
    <mergeCell ref="O8:O10"/>
    <mergeCell ref="P23:R23"/>
    <mergeCell ref="F85:H85"/>
    <mergeCell ref="F86:H86"/>
    <mergeCell ref="O84:O85"/>
    <mergeCell ref="J85:M85"/>
    <mergeCell ref="J86:M86"/>
    <mergeCell ref="P39:R40"/>
    <mergeCell ref="E29:M29"/>
    <mergeCell ref="E30:M30"/>
    <mergeCell ref="E54:M54"/>
    <mergeCell ref="E80:M80"/>
    <mergeCell ref="P66:R66"/>
    <mergeCell ref="E67:M67"/>
    <mergeCell ref="P67:R73"/>
    <mergeCell ref="O82:O83"/>
    <mergeCell ref="P80:R83"/>
    <mergeCell ref="E47:M47"/>
    <mergeCell ref="E36:M36"/>
    <mergeCell ref="F71:L71"/>
    <mergeCell ref="F72:L72"/>
    <mergeCell ref="F73:L73"/>
    <mergeCell ref="O76:O77"/>
    <mergeCell ref="E77:M77"/>
    <mergeCell ref="P50:R51"/>
    <mergeCell ref="P54:R54"/>
    <mergeCell ref="E19:M19"/>
    <mergeCell ref="N18:N19"/>
    <mergeCell ref="O18:O19"/>
    <mergeCell ref="P18:R19"/>
    <mergeCell ref="E22:M22"/>
    <mergeCell ref="E11:M11"/>
    <mergeCell ref="B92:N92"/>
    <mergeCell ref="O92:S92"/>
    <mergeCell ref="E84:M84"/>
    <mergeCell ref="S84:S86"/>
    <mergeCell ref="B91:S91"/>
    <mergeCell ref="E87:M87"/>
    <mergeCell ref="E88:M88"/>
    <mergeCell ref="E89:M89"/>
    <mergeCell ref="P87:R87"/>
    <mergeCell ref="P88:R88"/>
    <mergeCell ref="E90:M90"/>
    <mergeCell ref="N89:N90"/>
    <mergeCell ref="O89:O90"/>
    <mergeCell ref="P89:R90"/>
    <mergeCell ref="S89:S90"/>
    <mergeCell ref="B89:B90"/>
    <mergeCell ref="D89:D90"/>
    <mergeCell ref="P84:R86"/>
    <mergeCell ref="P24:R25"/>
    <mergeCell ref="C89:C90"/>
    <mergeCell ref="N84:N86"/>
    <mergeCell ref="N35:N36"/>
    <mergeCell ref="P27:R28"/>
    <mergeCell ref="E26:M26"/>
    <mergeCell ref="E27:M27"/>
    <mergeCell ref="E25:M25"/>
    <mergeCell ref="E28:M28"/>
    <mergeCell ref="E44:M44"/>
    <mergeCell ref="E46:O46"/>
    <mergeCell ref="P60:R61"/>
    <mergeCell ref="E61:M61"/>
    <mergeCell ref="B60:C60"/>
    <mergeCell ref="P45:R45"/>
    <mergeCell ref="F76:J76"/>
    <mergeCell ref="K75:M75"/>
    <mergeCell ref="K76:M76"/>
    <mergeCell ref="N74:N76"/>
    <mergeCell ref="O74:O75"/>
    <mergeCell ref="N64:N65"/>
    <mergeCell ref="O64:O65"/>
    <mergeCell ref="O12:O15"/>
    <mergeCell ref="O20:O21"/>
    <mergeCell ref="F12:L12"/>
    <mergeCell ref="F13:L13"/>
    <mergeCell ref="F14:L14"/>
    <mergeCell ref="F15:L15"/>
    <mergeCell ref="F16:L16"/>
    <mergeCell ref="E23:M23"/>
    <mergeCell ref="E24:M24"/>
    <mergeCell ref="N12:N16"/>
    <mergeCell ref="S50:S51"/>
    <mergeCell ref="S24:S25"/>
    <mergeCell ref="P22:R22"/>
    <mergeCell ref="N20:N21"/>
    <mergeCell ref="P20:R21"/>
    <mergeCell ref="S20:S21"/>
    <mergeCell ref="S35:S36"/>
    <mergeCell ref="P35:R36"/>
    <mergeCell ref="P37:R38"/>
    <mergeCell ref="P34:R34"/>
    <mergeCell ref="N37:N38"/>
    <mergeCell ref="O37:O38"/>
    <mergeCell ref="S37:S38"/>
    <mergeCell ref="S27:S28"/>
    <mergeCell ref="P26:R26"/>
    <mergeCell ref="P29:R30"/>
    <mergeCell ref="S29:S30"/>
    <mergeCell ref="N29:N30"/>
    <mergeCell ref="N31:N32"/>
    <mergeCell ref="P31:R32"/>
    <mergeCell ref="S31:S32"/>
    <mergeCell ref="N27:N28"/>
    <mergeCell ref="P33:R33"/>
    <mergeCell ref="N24:N25"/>
    <mergeCell ref="S39:S40"/>
    <mergeCell ref="P42:R42"/>
    <mergeCell ref="P41:R41"/>
    <mergeCell ref="P43:R44"/>
    <mergeCell ref="O48:O49"/>
    <mergeCell ref="P47:R49"/>
    <mergeCell ref="S47:S49"/>
    <mergeCell ref="S43:S44"/>
    <mergeCell ref="B55:C55"/>
    <mergeCell ref="E55:M55"/>
    <mergeCell ref="E52:M52"/>
    <mergeCell ref="N52:N53"/>
    <mergeCell ref="O52:O53"/>
    <mergeCell ref="P52:R53"/>
    <mergeCell ref="S52:S53"/>
    <mergeCell ref="P55:R55"/>
    <mergeCell ref="N39:N40"/>
    <mergeCell ref="E39:M40"/>
    <mergeCell ref="E50:M50"/>
    <mergeCell ref="E48:M48"/>
    <mergeCell ref="N43:N44"/>
    <mergeCell ref="E49:M49"/>
    <mergeCell ref="N47:N49"/>
    <mergeCell ref="N50:N51"/>
    <mergeCell ref="F82:J82"/>
    <mergeCell ref="S56:S58"/>
    <mergeCell ref="N60:N61"/>
    <mergeCell ref="B56:C56"/>
    <mergeCell ref="E56:M56"/>
    <mergeCell ref="B59:C59"/>
    <mergeCell ref="E59:M59"/>
    <mergeCell ref="E58:M58"/>
    <mergeCell ref="P56:R56"/>
    <mergeCell ref="P59:R59"/>
    <mergeCell ref="P58:R58"/>
    <mergeCell ref="E57:M57"/>
    <mergeCell ref="P57:R57"/>
    <mergeCell ref="S60:S61"/>
    <mergeCell ref="O60:O61"/>
    <mergeCell ref="E60:M60"/>
    <mergeCell ref="E51:M51"/>
    <mergeCell ref="S80:S83"/>
    <mergeCell ref="O80:O81"/>
    <mergeCell ref="E78:M78"/>
    <mergeCell ref="B79:S79"/>
    <mergeCell ref="P78:R78"/>
    <mergeCell ref="F75:J75"/>
    <mergeCell ref="P74:R77"/>
    <mergeCell ref="S74:S77"/>
    <mergeCell ref="P62:R62"/>
    <mergeCell ref="B62:C62"/>
    <mergeCell ref="E62:M62"/>
    <mergeCell ref="P64:R65"/>
    <mergeCell ref="S63:S65"/>
    <mergeCell ref="E63:M63"/>
    <mergeCell ref="E64:M64"/>
    <mergeCell ref="E65:M65"/>
    <mergeCell ref="P63:R63"/>
    <mergeCell ref="S67:S73"/>
    <mergeCell ref="E66:M66"/>
    <mergeCell ref="O67:O72"/>
    <mergeCell ref="K81:M81"/>
    <mergeCell ref="K82:M82"/>
    <mergeCell ref="F81:J81"/>
    <mergeCell ref="E45:M45"/>
    <mergeCell ref="E42:M42"/>
    <mergeCell ref="E43:M43"/>
    <mergeCell ref="O50:O51"/>
    <mergeCell ref="I1:L3"/>
    <mergeCell ref="I4:L4"/>
    <mergeCell ref="B1:H3"/>
    <mergeCell ref="E83:M83"/>
    <mergeCell ref="N80:N83"/>
    <mergeCell ref="E38:M38"/>
    <mergeCell ref="B39:C39"/>
    <mergeCell ref="E41:M41"/>
    <mergeCell ref="E33:M33"/>
    <mergeCell ref="B67:C67"/>
    <mergeCell ref="B74:C74"/>
    <mergeCell ref="E74:M74"/>
    <mergeCell ref="F68:L68"/>
    <mergeCell ref="F69:M69"/>
    <mergeCell ref="B34:C34"/>
    <mergeCell ref="E34:M34"/>
    <mergeCell ref="E35:M35"/>
    <mergeCell ref="E37:M37"/>
    <mergeCell ref="F70:L70"/>
    <mergeCell ref="E53:M53"/>
  </mergeCells>
  <conditionalFormatting sqref="O37">
    <cfRule type="expression" dxfId="1792" priority="126" stopIfTrue="1">
      <formula>AND(O37&gt;0,O35=0)</formula>
    </cfRule>
  </conditionalFormatting>
  <conditionalFormatting sqref="O4">
    <cfRule type="expression" dxfId="1791" priority="121" stopIfTrue="1">
      <formula>$O$4="Not Met"</formula>
    </cfRule>
  </conditionalFormatting>
  <conditionalFormatting sqref="O18">
    <cfRule type="expression" dxfId="1790" priority="107">
      <formula>claim801.1.1_1thru4a&gt;0</formula>
    </cfRule>
    <cfRule type="expression" dxfId="1789" priority="108">
      <formula>AND($O$18=9,startSingleorMulti&lt;&gt;"Multi-Unit")</formula>
    </cfRule>
    <cfRule type="expression" dxfId="1788" priority="109">
      <formula>startSingleorMulti&lt;&gt;"Multi-Unit"</formula>
    </cfRule>
  </conditionalFormatting>
  <conditionalFormatting sqref="O12">
    <cfRule type="expression" dxfId="1787" priority="106">
      <formula>claim801.1.1_5=9</formula>
    </cfRule>
  </conditionalFormatting>
  <conditionalFormatting sqref="P12">
    <cfRule type="beginsWith" dxfId="1786" priority="105" operator="beginsWith" text="*">
      <formula>LEFT(P12,LEN("*"))="*"</formula>
    </cfRule>
  </conditionalFormatting>
  <conditionalFormatting sqref="P18">
    <cfRule type="beginsWith" dxfId="1785" priority="104" operator="beginsWith" text="*">
      <formula>LEFT(P18,LEN("*"))="*"</formula>
    </cfRule>
  </conditionalFormatting>
  <conditionalFormatting sqref="O29">
    <cfRule type="expression" dxfId="1784" priority="102">
      <formula>claim801.3_1=0</formula>
    </cfRule>
  </conditionalFormatting>
  <conditionalFormatting sqref="O30 O28">
    <cfRule type="expression" dxfId="1783" priority="101">
      <formula>AND($O$30&gt;0,$O$28=0)</formula>
    </cfRule>
  </conditionalFormatting>
  <conditionalFormatting sqref="O18 O16">
    <cfRule type="expression" dxfId="1782" priority="100">
      <formula>AND(claim801.1.1_5=9,claim801.1.1_1thru4a&gt;0)</formula>
    </cfRule>
  </conditionalFormatting>
  <conditionalFormatting sqref="O18 O16 O20">
    <cfRule type="expression" dxfId="1781" priority="99">
      <formula>AND(claim801.1.1_6&gt;0,claim801.1.1_5=0,claim801.1.1_1thru4a=0)</formula>
    </cfRule>
  </conditionalFormatting>
  <conditionalFormatting sqref="O37:O38">
    <cfRule type="expression" dxfId="1780" priority="97">
      <formula>claim801.4.1_1=0</formula>
    </cfRule>
  </conditionalFormatting>
  <conditionalFormatting sqref="O36:O38">
    <cfRule type="expression" dxfId="1779" priority="96">
      <formula>AND($O$37&gt;0,$O$36=0)</formula>
    </cfRule>
  </conditionalFormatting>
  <conditionalFormatting sqref="P39:R40">
    <cfRule type="beginsWith" dxfId="1778" priority="93" operator="beginsWith" text="*">
      <formula>LEFT(P39,LEN("*"))="*"</formula>
    </cfRule>
  </conditionalFormatting>
  <conditionalFormatting sqref="P42:R42">
    <cfRule type="beginsWith" dxfId="1777" priority="92" operator="beginsWith" text="*">
      <formula>LEFT(P42,LEN("*"))="*"</formula>
    </cfRule>
  </conditionalFormatting>
  <conditionalFormatting sqref="O47">
    <cfRule type="expression" dxfId="1776" priority="40">
      <formula>AND($O$47&lt;&gt;"",$O$45="")</formula>
    </cfRule>
    <cfRule type="expression" dxfId="1775" priority="85">
      <formula>$O$45&lt;11</formula>
    </cfRule>
  </conditionalFormatting>
  <conditionalFormatting sqref="O50:O51">
    <cfRule type="expression" dxfId="1774" priority="37">
      <formula>AND($O$50&lt;&gt;"",$O$45="")</formula>
    </cfRule>
    <cfRule type="expression" dxfId="1773" priority="84">
      <formula>$O$45&lt;11</formula>
    </cfRule>
  </conditionalFormatting>
  <conditionalFormatting sqref="O52:O53">
    <cfRule type="expression" dxfId="1772" priority="12">
      <formula>AND($A$52="x",$O$52&gt;0)</formula>
    </cfRule>
    <cfRule type="expression" dxfId="1771" priority="13">
      <formula>$A$52="x"</formula>
    </cfRule>
    <cfRule type="expression" dxfId="1770" priority="36">
      <formula>AND($O$52&lt;&gt;"",$O$45="")</formula>
    </cfRule>
    <cfRule type="expression" dxfId="1769" priority="83">
      <formula>$O$45&lt;11</formula>
    </cfRule>
  </conditionalFormatting>
  <conditionalFormatting sqref="P43:R44">
    <cfRule type="beginsWith" dxfId="1768" priority="82" operator="beginsWith" text="*">
      <formula>LEFT(P43,LEN("*"))="*"</formula>
    </cfRule>
  </conditionalFormatting>
  <conditionalFormatting sqref="P45:R46">
    <cfRule type="beginsWith" dxfId="1767" priority="81" operator="beginsWith" text="*">
      <formula>LEFT(P45,LEN("*"))="*"</formula>
    </cfRule>
  </conditionalFormatting>
  <conditionalFormatting sqref="P47:R49">
    <cfRule type="beginsWith" dxfId="1766" priority="80" operator="beginsWith" text="*">
      <formula>LEFT(P47,LEN("*"))="*"</formula>
    </cfRule>
  </conditionalFormatting>
  <conditionalFormatting sqref="P50:R51">
    <cfRule type="beginsWith" dxfId="1765" priority="79" operator="beginsWith" text="*">
      <formula>LEFT(P50,LEN("*"))="*"</formula>
    </cfRule>
  </conditionalFormatting>
  <conditionalFormatting sqref="P52:R53">
    <cfRule type="beginsWith" dxfId="1764" priority="78" operator="beginsWith" text="*">
      <formula>LEFT(P52,LEN("*"))="*"</formula>
    </cfRule>
  </conditionalFormatting>
  <conditionalFormatting sqref="P55:R55">
    <cfRule type="beginsWith" dxfId="1763" priority="77" operator="beginsWith" text="*">
      <formula>LEFT(P55,LEN("*"))="*"</formula>
    </cfRule>
  </conditionalFormatting>
  <conditionalFormatting sqref="P56:R56">
    <cfRule type="beginsWith" dxfId="1762" priority="75" operator="beginsWith" text="*">
      <formula>LEFT(P56,LEN("*"))="*"</formula>
    </cfRule>
  </conditionalFormatting>
  <conditionalFormatting sqref="P57:R57">
    <cfRule type="beginsWith" dxfId="1761" priority="74" operator="beginsWith" text="*">
      <formula>LEFT(P57,LEN("*"))="*"</formula>
    </cfRule>
  </conditionalFormatting>
  <conditionalFormatting sqref="P58:R58">
    <cfRule type="beginsWith" dxfId="1760" priority="73" operator="beginsWith" text="*">
      <formula>LEFT(P58,LEN("*"))="*"</formula>
    </cfRule>
  </conditionalFormatting>
  <conditionalFormatting sqref="P59:R59">
    <cfRule type="beginsWith" dxfId="1759" priority="72" operator="beginsWith" text="*">
      <formula>LEFT(P59,LEN("*"))="*"</formula>
    </cfRule>
  </conditionalFormatting>
  <conditionalFormatting sqref="P60:R61">
    <cfRule type="beginsWith" dxfId="1758" priority="71" operator="beginsWith" text="*">
      <formula>LEFT(P60,LEN("*"))="*"</formula>
    </cfRule>
  </conditionalFormatting>
  <conditionalFormatting sqref="P63:R63">
    <cfRule type="beginsWith" dxfId="1757" priority="65" operator="beginsWith" text="*">
      <formula>LEFT(P63,LEN("*"))="*"</formula>
    </cfRule>
  </conditionalFormatting>
  <conditionalFormatting sqref="P64:R64">
    <cfRule type="beginsWith" dxfId="1756" priority="63" operator="beginsWith" text="*">
      <formula>LEFT(P64,LEN("*"))="*"</formula>
    </cfRule>
  </conditionalFormatting>
  <conditionalFormatting sqref="P80:R82">
    <cfRule type="beginsWith" dxfId="1755" priority="62" operator="beginsWith" text="*">
      <formula>LEFT(P80,LEN("*"))="*"</formula>
    </cfRule>
  </conditionalFormatting>
  <conditionalFormatting sqref="S87">
    <cfRule type="beginsWith" dxfId="1754" priority="60" operator="beginsWith" text="*">
      <formula>LEFT(S87,LEN("*"))="*"</formula>
    </cfRule>
  </conditionalFormatting>
  <conditionalFormatting sqref="P84:R86">
    <cfRule type="beginsWith" dxfId="1753" priority="59" operator="beginsWith" text="*">
      <formula>LEFT(P84,LEN("*"))="*"</formula>
    </cfRule>
  </conditionalFormatting>
  <conditionalFormatting sqref="P87:R87">
    <cfRule type="beginsWith" dxfId="1752" priority="58" operator="beginsWith" text="*">
      <formula>LEFT(P87,LEN("*"))="*"</formula>
    </cfRule>
  </conditionalFormatting>
  <conditionalFormatting sqref="P88:R88">
    <cfRule type="beginsWith" dxfId="1751" priority="57" operator="beginsWith" text="*">
      <formula>LEFT(P88,LEN("*"))="*"</formula>
    </cfRule>
  </conditionalFormatting>
  <conditionalFormatting sqref="P89:R89">
    <cfRule type="beginsWith" dxfId="1750" priority="56" operator="beginsWith" text="*">
      <formula>LEFT(P89,LEN("*"))="*"</formula>
    </cfRule>
  </conditionalFormatting>
  <conditionalFormatting sqref="O89:O90">
    <cfRule type="expression" dxfId="1749" priority="27">
      <formula>AND($O$89&gt;0,$O$82&gt;0)</formula>
    </cfRule>
    <cfRule type="expression" dxfId="1748" priority="47">
      <formula>$O$82&gt;0</formula>
    </cfRule>
  </conditionalFormatting>
  <conditionalFormatting sqref="O80">
    <cfRule type="expression" dxfId="1747" priority="46">
      <formula>AND($O$82&gt;0,$O$89&gt;0)</formula>
    </cfRule>
  </conditionalFormatting>
  <conditionalFormatting sqref="P74">
    <cfRule type="beginsWith" dxfId="1746" priority="52" operator="beginsWith" text="*">
      <formula>LEFT(P74,LEN("*"))="*"</formula>
    </cfRule>
  </conditionalFormatting>
  <conditionalFormatting sqref="P67:R73">
    <cfRule type="beginsWith" dxfId="1745" priority="51" operator="beginsWith" text="*">
      <formula>LEFT(P67,LEN("*"))="*"</formula>
    </cfRule>
  </conditionalFormatting>
  <conditionalFormatting sqref="O80:O81">
    <cfRule type="expression" dxfId="1744" priority="54">
      <formula>$O$89=20</formula>
    </cfRule>
  </conditionalFormatting>
  <conditionalFormatting sqref="O20">
    <cfRule type="expression" dxfId="1743" priority="391">
      <formula>OR($O$16&gt;0,$O$18&gt;0)</formula>
    </cfRule>
  </conditionalFormatting>
  <conditionalFormatting sqref="O64:O65">
    <cfRule type="expression" dxfId="1742" priority="390">
      <formula>claim801.6.4=10</formula>
    </cfRule>
  </conditionalFormatting>
  <conditionalFormatting sqref="O74:O75">
    <cfRule type="expression" dxfId="1741" priority="23">
      <formula>AND($O$74&lt;&gt;"",OR(choice801.7.1="",choice801.7.1="Without impermeable water storage"))</formula>
    </cfRule>
    <cfRule type="expression" dxfId="1740" priority="25">
      <formula>OR(choice801.7.1="",choice801.7.1="Without impermeable water storage")</formula>
    </cfRule>
  </conditionalFormatting>
  <conditionalFormatting sqref="O67:O72">
    <cfRule type="expression" dxfId="1739" priority="22">
      <formula>AND($O$74&lt;&gt;"",OR($O$67="",$O$67="Without impermeable water storage"))</formula>
    </cfRule>
  </conditionalFormatting>
  <conditionalFormatting sqref="O45">
    <cfRule type="expression" dxfId="1738" priority="11">
      <formula>AND($O$45=11,$O$43="")</formula>
    </cfRule>
    <cfRule type="expression" dxfId="1737" priority="15">
      <formula>AND($O$42="Met - Project eligible for Gold or Emerald",$O$45&lt;1)</formula>
    </cfRule>
    <cfRule type="expression" dxfId="1736" priority="1010">
      <formula>OR(AND($O$45="",OR($O$48&gt;0,$O$50&lt;&gt;"",$O$52&lt;&gt;"")))</formula>
    </cfRule>
  </conditionalFormatting>
  <conditionalFormatting sqref="O12:O15">
    <cfRule type="expression" dxfId="1735" priority="20">
      <formula>AND($N$12&lt;&gt;"")</formula>
    </cfRule>
  </conditionalFormatting>
  <conditionalFormatting sqref="O43">
    <cfRule type="expression" dxfId="1734" priority="16">
      <formula>AND($O$42="Met - Project eligible for Gold or Emerald",$O$43&lt;1)</formula>
    </cfRule>
  </conditionalFormatting>
  <conditionalFormatting sqref="O20:O21">
    <cfRule type="expression" dxfId="1733" priority="14">
      <formula>$A$20="x"</formula>
    </cfRule>
  </conditionalFormatting>
  <conditionalFormatting sqref="O57">
    <cfRule type="expression" dxfId="1732" priority="7019">
      <formula>AND($O$57="",$O$60=10)</formula>
    </cfRule>
    <cfRule type="expression" dxfId="1731" priority="7020">
      <formula>AND($O$64=15,$O$57=4)</formula>
    </cfRule>
    <cfRule type="expression" dxfId="1730" priority="7021">
      <formula>$O$64=15</formula>
    </cfRule>
  </conditionalFormatting>
  <conditionalFormatting sqref="O63">
    <cfRule type="expression" dxfId="1729" priority="7022" stopIfTrue="1">
      <formula>AND(O63&lt;&gt;0, SUM(O63:O64)&gt;8)</formula>
    </cfRule>
  </conditionalFormatting>
  <conditionalFormatting sqref="O64">
    <cfRule type="expression" dxfId="1728" priority="7023" stopIfTrue="1">
      <formula>AND(O64=15,SUM(claim503.5_1,claim503.5_2,claim503.5_3,claim503.5_4)&lt;5)</formula>
    </cfRule>
    <cfRule type="expression" dxfId="1727" priority="7024" stopIfTrue="1">
      <formula>OR(AND(O64=15,SUM(O63:O64)&gt;15),AND($O$64=15,$O$60=10),AND($O$64=15,SUM($O$57:$O$58)&gt;0),AND($O$64=15,$O$55=6))</formula>
    </cfRule>
  </conditionalFormatting>
  <conditionalFormatting sqref="O60:O61">
    <cfRule type="expression" dxfId="1726" priority="7025">
      <formula>AND($O$60=10,$O$64=15)</formula>
    </cfRule>
    <cfRule type="expression" dxfId="1725" priority="7026">
      <formula>AND($O$57="",$O$60=10)</formula>
    </cfRule>
    <cfRule type="expression" dxfId="1724" priority="7027">
      <formula>OR($O$57="",$O$64=15)</formula>
    </cfRule>
  </conditionalFormatting>
  <conditionalFormatting sqref="O55">
    <cfRule type="expression" dxfId="1723" priority="7028">
      <formula>AND($O$64=15,$O$55=6)</formula>
    </cfRule>
    <cfRule type="expression" dxfId="1722" priority="7029">
      <formula>$O$64=15</formula>
    </cfRule>
  </conditionalFormatting>
  <conditionalFormatting sqref="O58">
    <cfRule type="expression" dxfId="1721" priority="7030">
      <formula>AND($O$64=15,$O$58=4)</formula>
    </cfRule>
    <cfRule type="expression" dxfId="1720" priority="7031">
      <formula>$O$64=15</formula>
    </cfRule>
  </conditionalFormatting>
  <conditionalFormatting sqref="I1:L3">
    <cfRule type="expression" dxfId="1719" priority="10">
      <formula>levelStatement="This project has not met all the requirements for Bronze, Silver, Gold, or Emerald."</formula>
    </cfRule>
  </conditionalFormatting>
  <conditionalFormatting sqref="P20">
    <cfRule type="beginsWith" dxfId="1718" priority="9" operator="beginsWith" text="*">
      <formula>LEFT(P20,LEN("*"))="*"</formula>
    </cfRule>
  </conditionalFormatting>
  <conditionalFormatting sqref="P23">
    <cfRule type="beginsWith" dxfId="1717" priority="8" operator="beginsWith" text="*">
      <formula>LEFT(P23,LEN("*"))="*"</formula>
    </cfRule>
  </conditionalFormatting>
  <conditionalFormatting sqref="P24">
    <cfRule type="beginsWith" dxfId="1716" priority="7" operator="beginsWith" text="*">
      <formula>LEFT(P24,LEN("*"))="*"</formula>
    </cfRule>
  </conditionalFormatting>
  <conditionalFormatting sqref="P27">
    <cfRule type="beginsWith" dxfId="1715" priority="6" operator="beginsWith" text="*">
      <formula>LEFT(P27,LEN("*"))="*"</formula>
    </cfRule>
  </conditionalFormatting>
  <conditionalFormatting sqref="P29">
    <cfRule type="beginsWith" dxfId="1714" priority="5" operator="beginsWith" text="*">
      <formula>LEFT(P29,LEN("*"))="*"</formula>
    </cfRule>
  </conditionalFormatting>
  <conditionalFormatting sqref="P31">
    <cfRule type="beginsWith" dxfId="1713" priority="4" operator="beginsWith" text="*">
      <formula>LEFT(P31,LEN("*"))="*"</formula>
    </cfRule>
  </conditionalFormatting>
  <conditionalFormatting sqref="P35">
    <cfRule type="beginsWith" dxfId="1712" priority="3" operator="beginsWith" text="*">
      <formula>LEFT(P35,LEN("*"))="*"</formula>
    </cfRule>
  </conditionalFormatting>
  <conditionalFormatting sqref="P37">
    <cfRule type="beginsWith" dxfId="1711" priority="2" operator="beginsWith" text="*">
      <formula>LEFT(P37,LEN("*"))="*"</formula>
    </cfRule>
  </conditionalFormatting>
  <dataValidations count="26">
    <dataValidation type="list" allowBlank="1" showInputMessage="1" showErrorMessage="1" errorTitle="Invalid Entry" error="Leave cell blank, or select a value from the dropdown list provided." sqref="O36 O34" xr:uid="{00000000-0002-0000-0400-000000000000}">
      <formula1>pc801_4_1</formula1>
    </dataValidation>
    <dataValidation type="whole" operator="equal" allowBlank="1" showInputMessage="1" showErrorMessage="1" errorTitle="Invalid value" error="Leave cell blank or enter the number 5._x000a_ " sqref="O59" xr:uid="{00000000-0002-0000-0400-000001000000}">
      <formula1>5</formula1>
    </dataValidation>
    <dataValidation type="whole" operator="equal" allowBlank="1" showInputMessage="1" showErrorMessage="1" errorTitle="Invalid value" error="Leave cell blank or enter the number 4." sqref="O20 O57:O58" xr:uid="{00000000-0002-0000-0400-000002000000}">
      <formula1>4</formula1>
    </dataValidation>
    <dataValidation type="whole" operator="equal" allowBlank="1" showInputMessage="1" showErrorMessage="1" errorTitle="Invalid value" error="Leave cell blank or enter the number 6." sqref="O55 O37 O52" xr:uid="{00000000-0002-0000-0400-000003000000}">
      <formula1>6</formula1>
    </dataValidation>
    <dataValidation type="whole" operator="equal" allowBlank="1" showInputMessage="1" showErrorMessage="1" errorTitle="Invalid value" error="Leave cell blank or enter the number 1." sqref="O50 O78 O88" xr:uid="{00000000-0002-0000-0400-000004000000}">
      <formula1>1</formula1>
    </dataValidation>
    <dataValidation type="whole" operator="equal" allowBlank="1" showInputMessage="1" showErrorMessage="1" errorTitle="Invalid value" error="Leave cell blank or enter the number 10." sqref="O60:O61" xr:uid="{00000000-0002-0000-0400-000005000000}">
      <formula1>10</formula1>
    </dataValidation>
    <dataValidation type="whole" operator="equal" allowBlank="1" showInputMessage="1" showErrorMessage="1" errorTitle="Invalid value" error="Leave cell blank or enter the number 2." sqref="O23" xr:uid="{00000000-0002-0000-0400-000006000000}">
      <formula1>2</formula1>
    </dataValidation>
    <dataValidation type="whole" operator="equal" allowBlank="1" showInputMessage="1" showErrorMessage="1" errorTitle="Invalid value" error="Leave cell blank or enter the number 9." sqref="O18" xr:uid="{00000000-0002-0000-0400-000007000000}">
      <formula1>9</formula1>
    </dataValidation>
    <dataValidation type="list" allowBlank="1" showInputMessage="1" showErrorMessage="1" errorTitle="Invalid value" error="Leave cell blank or select an option from the dropdown list provided." sqref="O12" xr:uid="{00000000-0002-0000-0400-000008000000}">
      <formula1>dd801.1.1</formula1>
    </dataValidation>
    <dataValidation type="list" allowBlank="1" showInputMessage="1" showErrorMessage="1" errorTitle="Invalid value" error="Leave cell blank or select an option from the dropdown list provided." sqref="O24" xr:uid="{00000000-0002-0000-0400-000009000000}">
      <formula1>dd801.2_2</formula1>
    </dataValidation>
    <dataValidation type="list" allowBlank="1" showInputMessage="1" showErrorMessage="1" errorTitle="Invalid value" error="Leave cell blank or select an option from the dropdown list provided." sqref="O27" xr:uid="{00000000-0002-0000-0400-00000A000000}">
      <formula1>dd801.3_1</formula1>
    </dataValidation>
    <dataValidation type="list" allowBlank="1" showInputMessage="1" showErrorMessage="1" errorTitle="Invalid value" error="Leave cell blank or select an option from the dropdown list provided." sqref="O29" xr:uid="{00000000-0002-0000-0400-00000B000000}">
      <formula1>dd801.3_2</formula1>
    </dataValidation>
    <dataValidation type="list" allowBlank="1" showInputMessage="1" showErrorMessage="1" errorTitle="Invalid value" error="Leave cell blank or select an option from the dropdown list provided." sqref="O31" xr:uid="{00000000-0002-0000-0400-00000C000000}">
      <formula1>dd801.3_3</formula1>
    </dataValidation>
    <dataValidation type="list" allowBlank="1" showInputMessage="1" showErrorMessage="1" errorTitle="Invalid Entry" error="Leave cell blank or select an option from the dropdown list provided." sqref="O35" xr:uid="{00000000-0002-0000-0400-00000D000000}">
      <formula1>dd801.4.1_1</formula1>
    </dataValidation>
    <dataValidation type="list" allowBlank="1" showInputMessage="1" showErrorMessage="1" errorTitle="Invalid value" error="Leave cell blank or select an option from the dropdown list provided." sqref="O39" xr:uid="{00000000-0002-0000-0400-00000E000000}">
      <formula1>dd801.4.2</formula1>
    </dataValidation>
    <dataValidation type="list" operator="equal" allowBlank="1" showInputMessage="1" showErrorMessage="1" errorTitle="Invalid value" error="Leave cell blank or choose from pull down list._x000a_" sqref="O45" xr:uid="{00000000-0002-0000-0400-00000F000000}">
      <formula1>"All fixtures comply"</formula1>
    </dataValidation>
    <dataValidation allowBlank="1" showInputMessage="1" showErrorMessage="1" errorTitle="Invalid value" error="Select an option from the dropdown list provided." sqref="O42" xr:uid="{00000000-0002-0000-0400-000010000000}"/>
    <dataValidation type="list" allowBlank="1" showInputMessage="1" showErrorMessage="1" sqref="O43" xr:uid="{00000000-0002-0000-0400-000011000000}">
      <formula1>dd801.5_2</formula1>
    </dataValidation>
    <dataValidation type="list" allowBlank="1" showInputMessage="1" showErrorMessage="1" errorTitle="Invalid value" error="Leave cell blank or select an option from the dropdown list provided." sqref="O47" xr:uid="{00000000-0002-0000-0400-000012000000}">
      <formula1>dd801.5_3a</formula1>
    </dataValidation>
    <dataValidation type="whole" operator="equal" allowBlank="1" showInputMessage="1" showErrorMessage="1" errorTitle="Invalid value" error="Leave cell blank or enter the number 15." sqref="O64" xr:uid="{00000000-0002-0000-0400-000013000000}">
      <formula1>15</formula1>
    </dataValidation>
    <dataValidation type="whole" operator="equal" allowBlank="1" showInputMessage="1" showErrorMessage="1" errorTitle="Invalid value" error="Leave cell blank or enter the number 8." sqref="O63" xr:uid="{00000000-0002-0000-0400-000014000000}">
      <formula1>8</formula1>
    </dataValidation>
    <dataValidation type="list" allowBlank="1" showInputMessage="1" showErrorMessage="1" errorTitle="Invalid value" error="Leave cell blank or select an option from the dropdown list provided." sqref="O80" xr:uid="{00000000-0002-0000-0400-000015000000}">
      <formula1>dd802.1</formula1>
    </dataValidation>
    <dataValidation type="list" allowBlank="1" showInputMessage="1" showErrorMessage="1" errorTitle="Invalid value" error="Leave cell blank or select an option from the dropdown list provided." sqref="O84" xr:uid="{00000000-0002-0000-0400-000016000000}">
      <formula1>dd802.2</formula1>
    </dataValidation>
    <dataValidation type="whole" operator="equal" allowBlank="1" showInputMessage="1" showErrorMessage="1" errorTitle="Invalid value" error="Leave cell blank or enter the number 20." sqref="O87" xr:uid="{00000000-0002-0000-0400-000017000000}">
      <formula1>20</formula1>
    </dataValidation>
    <dataValidation type="list" allowBlank="1" showInputMessage="1" showErrorMessage="1" errorTitle="Invalid value" error="Leave cell blank or select an option from the dropdown list provided." sqref="O74:O75" xr:uid="{00000000-0002-0000-0400-000018000000}">
      <formula1>dd801.7.2</formula1>
    </dataValidation>
    <dataValidation type="list" allowBlank="1" showInputMessage="1" showErrorMessage="1" errorTitle="Invalid value" error="Leave cell blank or select an option from the dropdown list provided." sqref="O67" xr:uid="{00000000-0002-0000-0400-000019000000}">
      <formula1>dd801.7.1</formula1>
    </dataValidation>
  </dataValidations>
  <hyperlinks>
    <hyperlink ref="O92:S92" location="'Ch9'!A1" display="Proceed to Chapter 9 &gt;&gt;" xr:uid="{00000000-0004-0000-0400-000000000000}"/>
    <hyperlink ref="E11:M11" location="app801.1" display="See Tables 801.1(1) and 801.1(2)" xr:uid="{00000000-0004-0000-0400-000001000000}"/>
  </hyperlinks>
  <pageMargins left="0.7" right="0.7" top="0.75" bottom="0.75" header="0.3" footer="0.3"/>
  <pageSetup scale="54" fitToHeight="0" orientation="portrait" r:id="rId1"/>
  <headerFooter>
    <oddFooter xml:space="preserve">&amp;C&amp;8© 2013 Home Innovation Research Labs.  Practices of ICC700-2012 © 2013 National Association of Home Builders- used by permission.   Home Innovation authorizes use by those persons participating in the Home Innovation’s Green Building Certification.&amp;R
</oddFooter>
  </headerFooter>
  <drawing r:id="rId2"/>
  <extLst>
    <ext xmlns:x14="http://schemas.microsoft.com/office/spreadsheetml/2009/9/main" uri="{78C0D931-6437-407d-A8EE-F0AAD7539E65}">
      <x14:conditionalFormattings>
        <x14:conditionalFormatting xmlns:xm="http://schemas.microsoft.com/office/excel/2006/main">
          <x14:cfRule type="expression" priority="1" id="{6A2B7BA8-AD4C-40BC-AA8E-90B219F0B774}">
            <xm:f>AND($O$64&gt;0,'Ch5'!$O$57&lt;&gt;"Full Landscape Plan")</xm:f>
            <x14:dxf>
              <fill>
                <patternFill>
                  <bgColor rgb="FFFF0000"/>
                </patternFill>
              </fill>
            </x14:dxf>
          </x14:cfRule>
          <xm:sqref>O64:O65</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AK174"/>
  <sheetViews>
    <sheetView topLeftCell="B1" zoomScaleNormal="100" workbookViewId="0">
      <pane ySplit="6" topLeftCell="A7" activePane="bottomLeft" state="frozen"/>
      <selection activeCell="A3" sqref="A1:K3"/>
      <selection pane="bottomLeft" activeCell="O10" sqref="O10:O11"/>
    </sheetView>
  </sheetViews>
  <sheetFormatPr baseColWidth="10" defaultColWidth="9.1640625" defaultRowHeight="15"/>
  <cols>
    <col min="1" max="1" width="5.6640625" style="32" hidden="1" customWidth="1"/>
    <col min="2" max="2" width="6.6640625" style="32" customWidth="1"/>
    <col min="3" max="3" width="4.33203125" style="222" customWidth="1"/>
    <col min="4" max="4" width="3.6640625" style="222" customWidth="1"/>
    <col min="5" max="12" width="8.6640625" style="32" customWidth="1"/>
    <col min="13" max="13" width="10.6640625" style="32" bestFit="1" customWidth="1"/>
    <col min="14" max="15" width="15.6640625" style="32" customWidth="1"/>
    <col min="16" max="17" width="11.6640625" style="32" customWidth="1"/>
    <col min="18" max="18" width="11.6640625" style="47" customWidth="1"/>
    <col min="19" max="19" width="11.6640625" style="221" customWidth="1"/>
    <col min="20" max="16384" width="9.1640625" style="32"/>
  </cols>
  <sheetData>
    <row r="1" spans="1:19" ht="15" customHeight="1">
      <c r="A1" s="4391"/>
      <c r="B1" s="4391"/>
      <c r="C1" s="4391"/>
      <c r="D1" s="4391"/>
      <c r="E1" s="4391"/>
      <c r="F1" s="4391"/>
      <c r="G1" s="4391"/>
      <c r="H1" s="4391"/>
      <c r="I1" s="4031" t="str">
        <f>levelStatement</f>
        <v>This project has not met all the requirements for Bronze, Silver, Gold, or Emerald.</v>
      </c>
      <c r="J1" s="4031"/>
      <c r="K1" s="4031"/>
      <c r="L1" s="4390"/>
      <c r="M1" s="2877">
        <v>2012</v>
      </c>
      <c r="N1" s="4388" t="s">
        <v>0</v>
      </c>
      <c r="O1" s="4388"/>
      <c r="P1" s="4388" t="s">
        <v>1</v>
      </c>
      <c r="Q1" s="4388"/>
      <c r="R1" s="4388"/>
      <c r="S1" s="4388"/>
    </row>
    <row r="2" spans="1:19" ht="15" customHeight="1">
      <c r="A2" s="4391"/>
      <c r="B2" s="4391"/>
      <c r="C2" s="4391"/>
      <c r="D2" s="4391"/>
      <c r="E2" s="4391"/>
      <c r="F2" s="4391"/>
      <c r="G2" s="4391"/>
      <c r="H2" s="4391"/>
      <c r="I2" s="4031"/>
      <c r="J2" s="4031"/>
      <c r="K2" s="4031"/>
      <c r="L2" s="4390"/>
      <c r="M2" s="2878"/>
      <c r="N2" s="1" t="s">
        <v>2</v>
      </c>
      <c r="O2" s="1" t="s">
        <v>3</v>
      </c>
      <c r="P2" s="2" t="s">
        <v>4</v>
      </c>
      <c r="Q2" s="3" t="s">
        <v>5</v>
      </c>
      <c r="R2" s="4" t="s">
        <v>6</v>
      </c>
      <c r="S2" s="5" t="s">
        <v>7</v>
      </c>
    </row>
    <row r="3" spans="1:19" ht="15" customHeight="1">
      <c r="A3" s="4391"/>
      <c r="B3" s="4391"/>
      <c r="C3" s="4391"/>
      <c r="D3" s="4391"/>
      <c r="E3" s="4391"/>
      <c r="F3" s="4391"/>
      <c r="G3" s="4391"/>
      <c r="H3" s="4391"/>
      <c r="I3" s="4031"/>
      <c r="J3" s="4031"/>
      <c r="K3" s="4031"/>
      <c r="L3" s="4390"/>
      <c r="M3" s="2658" t="s">
        <v>8</v>
      </c>
      <c r="N3" s="82">
        <f>SUM(O9:O167)-SUM(O49:O68)</f>
        <v>0</v>
      </c>
      <c r="O3" s="2659" t="str">
        <f>IF(SUM(ch9MandatoryCount)=16,"Met","Not Met")</f>
        <v>Not Met</v>
      </c>
      <c r="P3" s="7">
        <v>25</v>
      </c>
      <c r="Q3" s="7">
        <v>42</v>
      </c>
      <c r="R3" s="7">
        <v>69</v>
      </c>
      <c r="S3" s="7">
        <v>97</v>
      </c>
    </row>
    <row r="4" spans="1:19" ht="15" customHeight="1">
      <c r="B4" s="4425" t="s">
        <v>2980</v>
      </c>
      <c r="C4" s="4425"/>
      <c r="D4" s="4425"/>
      <c r="E4" s="4425"/>
      <c r="F4" s="4425"/>
      <c r="G4" s="4425"/>
      <c r="H4" s="4425"/>
      <c r="I4" s="2874" t="str">
        <f>CONCATENATE("Revised ",TEXT(startRevisionDate,"mmmm dd, yyyy"))</f>
        <v>Revised August 21, 2020</v>
      </c>
      <c r="J4" s="2874"/>
      <c r="K4" s="2874"/>
      <c r="L4" s="2875"/>
      <c r="M4" s="2660" t="s">
        <v>10</v>
      </c>
      <c r="N4" s="2290">
        <f>projectTotal</f>
        <v>0</v>
      </c>
      <c r="O4" s="2291" t="str">
        <f>IF(SUM(projectMandatoryCount)=4,"Met","Not Met")</f>
        <v>Not Met</v>
      </c>
      <c r="P4" s="2283">
        <f>SUM(bronzeMinimum)</f>
        <v>231</v>
      </c>
      <c r="Q4" s="2283">
        <f>SUM(silverMinimum)</f>
        <v>349</v>
      </c>
      <c r="R4" s="2283">
        <f>SUM(goldMinimum)</f>
        <v>509</v>
      </c>
      <c r="S4" s="2283">
        <f>SUM(emeraldMinimum)</f>
        <v>641</v>
      </c>
    </row>
    <row r="5" spans="1:19" ht="15.75" customHeight="1" thickBot="1">
      <c r="B5" s="4426"/>
      <c r="C5" s="4426"/>
      <c r="D5" s="4426"/>
      <c r="E5" s="4426"/>
      <c r="F5" s="4426"/>
      <c r="G5" s="4426"/>
      <c r="H5" s="4426"/>
      <c r="I5" s="3024" t="str">
        <f>CONCATENATE(copyright," All rights reserved.  See full notice at bottom of this sheet")</f>
        <v>© 2020 Home Innovation Research Labs, Inc. All rights reserved.  See full notice at bottom of this sheet</v>
      </c>
      <c r="J5" s="3024"/>
      <c r="K5" s="3024"/>
      <c r="L5" s="3024"/>
      <c r="M5" s="3024"/>
      <c r="N5" s="3024"/>
      <c r="O5" s="3024"/>
      <c r="P5" s="3024"/>
      <c r="Q5" s="3024"/>
      <c r="R5" s="3024"/>
      <c r="S5" s="3024"/>
    </row>
    <row r="6" spans="1:19" ht="30.75" customHeight="1" thickBot="1">
      <c r="B6" s="4384" t="s">
        <v>11</v>
      </c>
      <c r="C6" s="4385"/>
      <c r="D6" s="4386"/>
      <c r="E6" s="4387" t="s">
        <v>425</v>
      </c>
      <c r="F6" s="4387"/>
      <c r="G6" s="4387"/>
      <c r="H6" s="4387"/>
      <c r="I6" s="4387"/>
      <c r="J6" s="4387"/>
      <c r="K6" s="4387"/>
      <c r="L6" s="4387"/>
      <c r="M6" s="4387"/>
      <c r="N6" s="863" t="s">
        <v>13</v>
      </c>
      <c r="O6" s="863" t="s">
        <v>232</v>
      </c>
      <c r="P6" s="4389" t="s">
        <v>16</v>
      </c>
      <c r="Q6" s="4385"/>
      <c r="R6" s="4386"/>
      <c r="S6" s="204" t="s">
        <v>15</v>
      </c>
    </row>
    <row r="7" spans="1:19" ht="17.25" customHeight="1">
      <c r="B7" s="3011" t="s">
        <v>426</v>
      </c>
      <c r="C7" s="3011"/>
      <c r="D7" s="3011"/>
      <c r="E7" s="3011"/>
      <c r="F7" s="3011"/>
      <c r="G7" s="3011"/>
      <c r="H7" s="3011"/>
      <c r="I7" s="3011"/>
      <c r="J7" s="3011"/>
      <c r="K7" s="3011"/>
      <c r="L7" s="3011"/>
      <c r="M7" s="3011"/>
      <c r="N7" s="3011"/>
      <c r="O7" s="3011"/>
      <c r="P7" s="3011"/>
      <c r="Q7" s="3011"/>
      <c r="R7" s="3011"/>
      <c r="S7" s="3011"/>
    </row>
    <row r="8" spans="1:19" ht="15" customHeight="1" thickBot="1">
      <c r="B8" s="964">
        <v>901</v>
      </c>
      <c r="C8" s="965"/>
      <c r="D8" s="965"/>
      <c r="E8" s="4379" t="s">
        <v>1509</v>
      </c>
      <c r="F8" s="4379"/>
      <c r="G8" s="4379"/>
      <c r="H8" s="4379"/>
      <c r="I8" s="4379"/>
      <c r="J8" s="4379"/>
      <c r="K8" s="4379"/>
      <c r="L8" s="4379"/>
      <c r="M8" s="4379"/>
      <c r="N8" s="207"/>
      <c r="O8" s="207"/>
      <c r="P8" s="4379"/>
      <c r="Q8" s="4379"/>
      <c r="R8" s="4379"/>
      <c r="S8" s="966"/>
    </row>
    <row r="9" spans="1:19" ht="16" thickTop="1">
      <c r="B9" s="866">
        <v>901.1</v>
      </c>
      <c r="C9" s="884"/>
      <c r="D9" s="884"/>
      <c r="E9" s="3191" t="s">
        <v>427</v>
      </c>
      <c r="F9" s="3191"/>
      <c r="G9" s="3191"/>
      <c r="H9" s="3191"/>
      <c r="I9" s="3191"/>
      <c r="J9" s="3191"/>
      <c r="K9" s="3191"/>
      <c r="L9" s="3191"/>
      <c r="M9" s="3191"/>
      <c r="N9" s="877"/>
      <c r="O9" s="868"/>
      <c r="P9" s="3516"/>
      <c r="Q9" s="3516"/>
      <c r="R9" s="3517"/>
      <c r="S9" s="924"/>
    </row>
    <row r="10" spans="1:19" ht="48" customHeight="1">
      <c r="B10" s="3982" t="s">
        <v>1371</v>
      </c>
      <c r="C10" s="3984"/>
      <c r="D10" s="884"/>
      <c r="E10" s="3101" t="s">
        <v>2968</v>
      </c>
      <c r="F10" s="3101"/>
      <c r="G10" s="3101"/>
      <c r="H10" s="3101"/>
      <c r="I10" s="3101"/>
      <c r="J10" s="3101"/>
      <c r="K10" s="3101"/>
      <c r="L10" s="3101"/>
      <c r="M10" s="3101"/>
      <c r="N10" s="3149">
        <v>5</v>
      </c>
      <c r="O10" s="4382"/>
      <c r="P10" s="3486"/>
      <c r="Q10" s="3486"/>
      <c r="R10" s="3486"/>
      <c r="S10" s="3055" t="s">
        <v>20</v>
      </c>
    </row>
    <row r="11" spans="1:19" ht="30" customHeight="1">
      <c r="B11" s="4380"/>
      <c r="C11" s="4381"/>
      <c r="D11" s="884"/>
      <c r="E11" s="3632" t="s">
        <v>2074</v>
      </c>
      <c r="F11" s="3632"/>
      <c r="G11" s="3632"/>
      <c r="H11" s="3632"/>
      <c r="I11" s="3632"/>
      <c r="J11" s="3632"/>
      <c r="K11" s="3632"/>
      <c r="L11" s="3632"/>
      <c r="M11" s="3632"/>
      <c r="N11" s="4152"/>
      <c r="O11" s="4383"/>
      <c r="P11" s="3635"/>
      <c r="Q11" s="3635"/>
      <c r="R11" s="3635"/>
      <c r="S11" s="3056"/>
    </row>
    <row r="12" spans="1:19" ht="30" customHeight="1">
      <c r="B12" s="4285" t="s">
        <v>1374</v>
      </c>
      <c r="C12" s="4376"/>
      <c r="D12" s="883"/>
      <c r="E12" s="4070" t="s">
        <v>428</v>
      </c>
      <c r="F12" s="4070"/>
      <c r="G12" s="4070"/>
      <c r="H12" s="4070"/>
      <c r="I12" s="4070"/>
      <c r="J12" s="4070"/>
      <c r="K12" s="4070"/>
      <c r="L12" s="4070"/>
      <c r="M12" s="4070"/>
      <c r="N12" s="876">
        <v>5</v>
      </c>
      <c r="O12" s="725"/>
      <c r="P12" s="3819"/>
      <c r="Q12" s="3820"/>
      <c r="R12" s="3820"/>
      <c r="S12" s="855" t="s">
        <v>20</v>
      </c>
    </row>
    <row r="13" spans="1:19" ht="45" customHeight="1">
      <c r="B13" s="4285" t="s">
        <v>1375</v>
      </c>
      <c r="C13" s="4376"/>
      <c r="D13" s="883"/>
      <c r="E13" s="4070" t="s">
        <v>1376</v>
      </c>
      <c r="F13" s="4070"/>
      <c r="G13" s="4070"/>
      <c r="H13" s="4070"/>
      <c r="I13" s="4070"/>
      <c r="J13" s="4070"/>
      <c r="K13" s="4070"/>
      <c r="L13" s="4070"/>
      <c r="M13" s="4070"/>
      <c r="N13" s="876"/>
      <c r="O13" s="208"/>
      <c r="P13" s="4070"/>
      <c r="Q13" s="4070"/>
      <c r="R13" s="4071"/>
      <c r="S13" s="727"/>
    </row>
    <row r="14" spans="1:19" ht="15.75" customHeight="1">
      <c r="B14" s="940"/>
      <c r="C14" s="4378">
        <v>1</v>
      </c>
      <c r="D14" s="4377"/>
      <c r="E14" s="3101" t="s">
        <v>1377</v>
      </c>
      <c r="F14" s="3101"/>
      <c r="G14" s="3101"/>
      <c r="H14" s="3101"/>
      <c r="I14" s="3101"/>
      <c r="J14" s="3101"/>
      <c r="K14" s="3101"/>
      <c r="L14" s="3101"/>
      <c r="M14" s="3101"/>
      <c r="N14" s="3149" t="s">
        <v>1378</v>
      </c>
      <c r="O14" s="1763"/>
      <c r="P14" s="3486"/>
      <c r="Q14" s="3486"/>
      <c r="R14" s="3486"/>
      <c r="S14" s="3056" t="s">
        <v>20</v>
      </c>
    </row>
    <row r="15" spans="1:19" ht="21.75" customHeight="1">
      <c r="B15" s="940"/>
      <c r="C15" s="4378"/>
      <c r="D15" s="4377"/>
      <c r="E15" s="3101"/>
      <c r="F15" s="3101"/>
      <c r="G15" s="3101"/>
      <c r="H15" s="3101"/>
      <c r="I15" s="3101"/>
      <c r="J15" s="3101"/>
      <c r="K15" s="3101"/>
      <c r="L15" s="3101"/>
      <c r="M15" s="3101"/>
      <c r="N15" s="3149"/>
      <c r="O15" s="874">
        <f>score901.1.3_1</f>
        <v>0</v>
      </c>
      <c r="P15" s="3486"/>
      <c r="Q15" s="3486"/>
      <c r="R15" s="3486"/>
      <c r="S15" s="3055"/>
    </row>
    <row r="16" spans="1:19" ht="15" customHeight="1">
      <c r="B16" s="940"/>
      <c r="C16" s="4392">
        <v>2</v>
      </c>
      <c r="D16" s="4394"/>
      <c r="E16" s="4070" t="s">
        <v>1382</v>
      </c>
      <c r="F16" s="4070"/>
      <c r="G16" s="4070"/>
      <c r="H16" s="4070"/>
      <c r="I16" s="4070"/>
      <c r="J16" s="4070"/>
      <c r="K16" s="4070"/>
      <c r="L16" s="4070"/>
      <c r="M16" s="4070"/>
      <c r="N16" s="4146" t="s">
        <v>1378</v>
      </c>
      <c r="O16" s="1784"/>
      <c r="P16" s="3668"/>
      <c r="Q16" s="3669"/>
      <c r="R16" s="3669"/>
      <c r="S16" s="3082" t="s">
        <v>20</v>
      </c>
    </row>
    <row r="17" spans="1:19" ht="21" customHeight="1">
      <c r="B17" s="940"/>
      <c r="C17" s="4393"/>
      <c r="D17" s="4395"/>
      <c r="E17" s="4364"/>
      <c r="F17" s="4364"/>
      <c r="G17" s="4364"/>
      <c r="H17" s="4364"/>
      <c r="I17" s="4364"/>
      <c r="J17" s="4364"/>
      <c r="K17" s="4364"/>
      <c r="L17" s="4364"/>
      <c r="M17" s="4364"/>
      <c r="N17" s="4152"/>
      <c r="O17" s="1356">
        <f>score901.1.3_2</f>
        <v>0</v>
      </c>
      <c r="P17" s="3935"/>
      <c r="Q17" s="3307"/>
      <c r="R17" s="3307"/>
      <c r="S17" s="3116"/>
    </row>
    <row r="18" spans="1:19" ht="60" customHeight="1">
      <c r="B18" s="213" t="s">
        <v>429</v>
      </c>
      <c r="C18" s="883"/>
      <c r="D18" s="883"/>
      <c r="E18" s="4396" t="s">
        <v>1384</v>
      </c>
      <c r="F18" s="4396"/>
      <c r="G18" s="4396"/>
      <c r="H18" s="4396"/>
      <c r="I18" s="4396"/>
      <c r="J18" s="4396"/>
      <c r="K18" s="4396"/>
      <c r="L18" s="4396"/>
      <c r="M18" s="4396"/>
      <c r="N18" s="211" t="s">
        <v>339</v>
      </c>
      <c r="O18" s="1394"/>
      <c r="P18" s="3684"/>
      <c r="Q18" s="3684"/>
      <c r="R18" s="3684"/>
      <c r="S18" s="858" t="s">
        <v>20</v>
      </c>
    </row>
    <row r="19" spans="1:19" ht="30" customHeight="1">
      <c r="B19" s="213" t="s">
        <v>1386</v>
      </c>
      <c r="C19" s="883"/>
      <c r="D19" s="883"/>
      <c r="E19" s="4396" t="s">
        <v>1387</v>
      </c>
      <c r="F19" s="4396"/>
      <c r="G19" s="4396"/>
      <c r="H19" s="4396"/>
      <c r="I19" s="4396"/>
      <c r="J19" s="4396"/>
      <c r="K19" s="4396"/>
      <c r="L19" s="4396"/>
      <c r="M19" s="4396"/>
      <c r="N19" s="876">
        <v>7</v>
      </c>
      <c r="O19" s="1785"/>
      <c r="P19" s="3684"/>
      <c r="Q19" s="3684"/>
      <c r="R19" s="3684"/>
      <c r="S19" s="1355" t="s">
        <v>20</v>
      </c>
    </row>
    <row r="20" spans="1:19" s="115" customFormat="1" ht="19.5" customHeight="1">
      <c r="A20" s="115" t="str">
        <f>IF(AND(AND(startHVAC1&lt;&gt;"Heat Pump",startHVAC1&lt;&gt;"Ground Source Heat Pump"),AND(startHVAC2&lt;&gt;"Heat Pump",startHVAC2&lt;&gt;"Ground Source Heat Pump"), AND(startHVAC3&lt;&gt;"Heat Pump",startHVAC3&lt;&gt;"Ground Source Heat Pump")),"x","")</f>
        <v>x</v>
      </c>
      <c r="B20" s="4406" t="s">
        <v>1388</v>
      </c>
      <c r="C20" s="4397"/>
      <c r="D20" s="4394"/>
      <c r="E20" s="4070" t="s">
        <v>2831</v>
      </c>
      <c r="F20" s="4070"/>
      <c r="G20" s="4070"/>
      <c r="H20" s="4070"/>
      <c r="I20" s="4070"/>
      <c r="J20" s="4070"/>
      <c r="K20" s="4070"/>
      <c r="L20" s="4070"/>
      <c r="M20" s="4070"/>
      <c r="N20" s="4146" t="s">
        <v>1391</v>
      </c>
      <c r="O20" s="1824"/>
      <c r="P20" s="3668"/>
      <c r="Q20" s="3669"/>
      <c r="R20" s="3669"/>
      <c r="S20" s="3082" t="s">
        <v>20</v>
      </c>
    </row>
    <row r="21" spans="1:19" ht="20" customHeight="1" thickBot="1">
      <c r="B21" s="4407"/>
      <c r="C21" s="4398"/>
      <c r="D21" s="4395"/>
      <c r="E21" s="4364"/>
      <c r="F21" s="4364"/>
      <c r="G21" s="4364"/>
      <c r="H21" s="4364"/>
      <c r="I21" s="4364"/>
      <c r="J21" s="4364"/>
      <c r="K21" s="4364"/>
      <c r="L21" s="4364"/>
      <c r="M21" s="4364"/>
      <c r="N21" s="4152"/>
      <c r="O21" s="874">
        <f>score901.1.6</f>
        <v>0</v>
      </c>
      <c r="P21" s="3935"/>
      <c r="Q21" s="3307"/>
      <c r="R21" s="3307"/>
      <c r="S21" s="3116"/>
    </row>
    <row r="22" spans="1:19" ht="16" thickTop="1">
      <c r="B22" s="185">
        <v>901.2</v>
      </c>
      <c r="C22" s="186"/>
      <c r="D22" s="186"/>
      <c r="E22" s="3203" t="s">
        <v>1392</v>
      </c>
      <c r="F22" s="3112"/>
      <c r="G22" s="3112"/>
      <c r="H22" s="3112"/>
      <c r="I22" s="3112"/>
      <c r="J22" s="3112"/>
      <c r="K22" s="3112"/>
      <c r="L22" s="3112"/>
      <c r="M22" s="3112"/>
      <c r="N22" s="209"/>
      <c r="O22" s="879"/>
      <c r="P22" s="3516"/>
      <c r="Q22" s="3516"/>
      <c r="R22" s="3517"/>
      <c r="S22" s="4063"/>
    </row>
    <row r="23" spans="1:19" ht="30" customHeight="1">
      <c r="B23" s="866" t="s">
        <v>430</v>
      </c>
      <c r="C23" s="884"/>
      <c r="D23" s="884"/>
      <c r="E23" s="3101" t="s">
        <v>1393</v>
      </c>
      <c r="F23" s="3101"/>
      <c r="G23" s="3101"/>
      <c r="H23" s="3101"/>
      <c r="I23" s="3101"/>
      <c r="J23" s="3101"/>
      <c r="K23" s="3101"/>
      <c r="L23" s="3101"/>
      <c r="M23" s="3101"/>
      <c r="N23" s="877"/>
      <c r="O23" s="868"/>
      <c r="P23" s="3438"/>
      <c r="Q23" s="3438"/>
      <c r="R23" s="4282"/>
      <c r="S23" s="4063"/>
    </row>
    <row r="24" spans="1:19" ht="48" customHeight="1">
      <c r="B24" s="210"/>
      <c r="C24" s="881">
        <v>1</v>
      </c>
      <c r="D24" s="884"/>
      <c r="E24" s="3101" t="s">
        <v>1394</v>
      </c>
      <c r="F24" s="3101"/>
      <c r="G24" s="3101"/>
      <c r="H24" s="3101"/>
      <c r="I24" s="3101"/>
      <c r="J24" s="3101"/>
      <c r="K24" s="3101"/>
      <c r="L24" s="3101"/>
      <c r="M24" s="3101"/>
      <c r="N24" s="211" t="s">
        <v>339</v>
      </c>
      <c r="O24" s="1815"/>
      <c r="P24" s="3486"/>
      <c r="Q24" s="3486"/>
      <c r="R24" s="3486"/>
      <c r="S24" s="3055" t="s">
        <v>20</v>
      </c>
    </row>
    <row r="25" spans="1:19" ht="39" customHeight="1">
      <c r="B25" s="210"/>
      <c r="C25" s="881"/>
      <c r="D25" s="884"/>
      <c r="E25" s="3548" t="s">
        <v>1400</v>
      </c>
      <c r="F25" s="3548"/>
      <c r="G25" s="3548"/>
      <c r="H25" s="3548"/>
      <c r="I25" s="3548"/>
      <c r="J25" s="3548"/>
      <c r="K25" s="3548"/>
      <c r="L25" s="3548"/>
      <c r="M25" s="3548"/>
      <c r="N25" s="877">
        <v>4</v>
      </c>
      <c r="O25" s="875">
        <f>score901.2.1_1</f>
        <v>0</v>
      </c>
      <c r="P25" s="3486"/>
      <c r="Q25" s="3486"/>
      <c r="R25" s="3486"/>
      <c r="S25" s="3055"/>
    </row>
    <row r="26" spans="1:19" ht="48" customHeight="1">
      <c r="B26" s="210"/>
      <c r="C26" s="809">
        <v>2</v>
      </c>
      <c r="D26" s="4408"/>
      <c r="E26" s="4410" t="s">
        <v>431</v>
      </c>
      <c r="F26" s="4410"/>
      <c r="G26" s="4410"/>
      <c r="H26" s="4410"/>
      <c r="I26" s="4410"/>
      <c r="J26" s="4410"/>
      <c r="K26" s="4410"/>
      <c r="L26" s="4410"/>
      <c r="M26" s="4410"/>
      <c r="N26" s="897" t="s">
        <v>339</v>
      </c>
      <c r="O26" s="1817"/>
      <c r="P26" s="3684"/>
      <c r="Q26" s="3684"/>
      <c r="R26" s="3712"/>
      <c r="S26" s="4404" t="s">
        <v>20</v>
      </c>
    </row>
    <row r="27" spans="1:19" ht="30" customHeight="1">
      <c r="B27" s="210"/>
      <c r="C27" s="903"/>
      <c r="D27" s="4409"/>
      <c r="E27" s="3929" t="s">
        <v>1401</v>
      </c>
      <c r="F27" s="3929"/>
      <c r="G27" s="3929"/>
      <c r="H27" s="3929"/>
      <c r="I27" s="3929"/>
      <c r="J27" s="3929"/>
      <c r="K27" s="3929"/>
      <c r="L27" s="3929"/>
      <c r="M27" s="3929"/>
      <c r="N27" s="899">
        <v>6</v>
      </c>
      <c r="O27" s="900">
        <f>score901.2.1_2</f>
        <v>0</v>
      </c>
      <c r="P27" s="3307"/>
      <c r="Q27" s="3307"/>
      <c r="R27" s="3936"/>
      <c r="S27" s="4405"/>
    </row>
    <row r="28" spans="1:19" ht="45" customHeight="1">
      <c r="B28" s="210"/>
      <c r="C28" s="881">
        <v>3</v>
      </c>
      <c r="D28" s="4377"/>
      <c r="E28" s="3101" t="s">
        <v>1406</v>
      </c>
      <c r="F28" s="3101"/>
      <c r="G28" s="3101"/>
      <c r="H28" s="3101"/>
      <c r="I28" s="3101"/>
      <c r="J28" s="3101"/>
      <c r="K28" s="3101"/>
      <c r="L28" s="3101"/>
      <c r="M28" s="3101"/>
      <c r="N28" s="211" t="s">
        <v>339</v>
      </c>
      <c r="O28" s="1818"/>
      <c r="P28" s="3486"/>
      <c r="Q28" s="3486"/>
      <c r="R28" s="3486"/>
      <c r="S28" s="3055" t="s">
        <v>20</v>
      </c>
    </row>
    <row r="29" spans="1:19" ht="30" customHeight="1">
      <c r="B29" s="210"/>
      <c r="C29" s="881"/>
      <c r="D29" s="4377"/>
      <c r="E29" s="3548" t="s">
        <v>1402</v>
      </c>
      <c r="F29" s="3548"/>
      <c r="G29" s="3548"/>
      <c r="H29" s="3548"/>
      <c r="I29" s="3548"/>
      <c r="J29" s="3548"/>
      <c r="K29" s="3548"/>
      <c r="L29" s="3548"/>
      <c r="M29" s="3548"/>
      <c r="N29" s="877">
        <v>6</v>
      </c>
      <c r="O29" s="159">
        <f>score901.2.1_3</f>
        <v>0</v>
      </c>
      <c r="P29" s="3486"/>
      <c r="Q29" s="3486"/>
      <c r="R29" s="3486"/>
      <c r="S29" s="3055"/>
    </row>
    <row r="30" spans="1:19" ht="39" customHeight="1">
      <c r="B30" s="210"/>
      <c r="C30" s="809">
        <v>4</v>
      </c>
      <c r="D30" s="656"/>
      <c r="E30" s="4373" t="s">
        <v>432</v>
      </c>
      <c r="F30" s="4373"/>
      <c r="G30" s="4373"/>
      <c r="H30" s="4373"/>
      <c r="I30" s="4373"/>
      <c r="J30" s="4373"/>
      <c r="K30" s="4373"/>
      <c r="L30" s="4373"/>
      <c r="M30" s="4373"/>
      <c r="N30" s="897" t="s">
        <v>339</v>
      </c>
      <c r="O30" s="1819"/>
      <c r="P30" s="3684"/>
      <c r="Q30" s="3684"/>
      <c r="R30" s="3712"/>
      <c r="S30" s="4374" t="s">
        <v>20</v>
      </c>
    </row>
    <row r="31" spans="1:19" ht="30" customHeight="1">
      <c r="B31" s="210"/>
      <c r="C31" s="903"/>
      <c r="D31" s="901"/>
      <c r="E31" s="3929" t="s">
        <v>1403</v>
      </c>
      <c r="F31" s="3929"/>
      <c r="G31" s="3929"/>
      <c r="H31" s="3929"/>
      <c r="I31" s="3929"/>
      <c r="J31" s="3929"/>
      <c r="K31" s="3929"/>
      <c r="L31" s="3929"/>
      <c r="M31" s="3929"/>
      <c r="N31" s="902">
        <v>6</v>
      </c>
      <c r="O31" s="900">
        <f>score901.2.1_4</f>
        <v>0</v>
      </c>
      <c r="P31" s="3307"/>
      <c r="Q31" s="3307"/>
      <c r="R31" s="3936"/>
      <c r="S31" s="4375"/>
    </row>
    <row r="32" spans="1:19" ht="30" customHeight="1">
      <c r="B32" s="210"/>
      <c r="C32" s="809">
        <v>5</v>
      </c>
      <c r="D32" s="656"/>
      <c r="E32" s="4150" t="s">
        <v>433</v>
      </c>
      <c r="F32" s="4150"/>
      <c r="G32" s="4150"/>
      <c r="H32" s="4150"/>
      <c r="I32" s="4150"/>
      <c r="J32" s="4150"/>
      <c r="K32" s="4150"/>
      <c r="L32" s="4150"/>
      <c r="M32" s="4150"/>
      <c r="N32" s="897" t="s">
        <v>339</v>
      </c>
      <c r="O32" s="718"/>
      <c r="P32" s="3684"/>
      <c r="Q32" s="3684"/>
      <c r="R32" s="3712"/>
      <c r="S32" s="4371" t="s">
        <v>20</v>
      </c>
    </row>
    <row r="33" spans="1:19" ht="30" customHeight="1">
      <c r="B33" s="212"/>
      <c r="C33" s="898"/>
      <c r="D33" s="898"/>
      <c r="E33" s="3929" t="s">
        <v>1404</v>
      </c>
      <c r="F33" s="3929"/>
      <c r="G33" s="3929"/>
      <c r="H33" s="3929"/>
      <c r="I33" s="3929"/>
      <c r="J33" s="3929"/>
      <c r="K33" s="3929"/>
      <c r="L33" s="3929"/>
      <c r="M33" s="3929"/>
      <c r="N33" s="906">
        <v>6</v>
      </c>
      <c r="O33" s="900">
        <f>score901.2.1_5</f>
        <v>0</v>
      </c>
      <c r="P33" s="3307"/>
      <c r="Q33" s="3307"/>
      <c r="R33" s="3936"/>
      <c r="S33" s="4372"/>
    </row>
    <row r="34" spans="1:19" ht="30" customHeight="1">
      <c r="B34" s="655" t="s">
        <v>434</v>
      </c>
      <c r="C34" s="656"/>
      <c r="D34" s="656"/>
      <c r="E34" s="4150" t="s">
        <v>435</v>
      </c>
      <c r="F34" s="4150"/>
      <c r="G34" s="4150"/>
      <c r="H34" s="4150"/>
      <c r="I34" s="4150"/>
      <c r="J34" s="4150"/>
      <c r="K34" s="4150"/>
      <c r="L34" s="4150"/>
      <c r="M34" s="4150"/>
      <c r="N34" s="4338">
        <v>7</v>
      </c>
      <c r="O34" s="3464"/>
      <c r="P34" s="3684"/>
      <c r="Q34" s="3684"/>
      <c r="R34" s="3712"/>
      <c r="S34" s="4374" t="s">
        <v>20</v>
      </c>
    </row>
    <row r="35" spans="1:19" ht="16" thickBot="1">
      <c r="B35" s="904"/>
      <c r="C35" s="905"/>
      <c r="D35" s="905"/>
      <c r="E35" s="4128" t="s">
        <v>1405</v>
      </c>
      <c r="F35" s="4128"/>
      <c r="G35" s="4128"/>
      <c r="H35" s="4128"/>
      <c r="I35" s="4128"/>
      <c r="J35" s="4128"/>
      <c r="K35" s="4128"/>
      <c r="L35" s="4128"/>
      <c r="M35" s="4128"/>
      <c r="N35" s="4147"/>
      <c r="O35" s="3466"/>
      <c r="P35" s="3709"/>
      <c r="Q35" s="3709"/>
      <c r="R35" s="4256"/>
      <c r="S35" s="4275"/>
    </row>
    <row r="36" spans="1:19" ht="16" thickTop="1">
      <c r="B36" s="185">
        <v>901.3</v>
      </c>
      <c r="C36" s="186"/>
      <c r="D36" s="186"/>
      <c r="E36" s="3203" t="s">
        <v>436</v>
      </c>
      <c r="F36" s="3203"/>
      <c r="G36" s="3203"/>
      <c r="H36" s="3203"/>
      <c r="I36" s="3203"/>
      <c r="J36" s="3203"/>
      <c r="K36" s="3203"/>
      <c r="L36" s="3203"/>
      <c r="M36" s="3203"/>
      <c r="N36" s="160"/>
      <c r="O36" s="885"/>
      <c r="P36" s="4402"/>
      <c r="Q36" s="4402"/>
      <c r="R36" s="4403"/>
      <c r="S36" s="872"/>
    </row>
    <row r="37" spans="1:19" ht="15" customHeight="1">
      <c r="A37" s="32" t="str">
        <f>IF(startAttachedGarage="No","x","")</f>
        <v/>
      </c>
      <c r="B37" s="210"/>
      <c r="C37" s="881">
        <v>1</v>
      </c>
      <c r="D37" s="881"/>
      <c r="E37" s="3101" t="s">
        <v>437</v>
      </c>
      <c r="F37" s="3101"/>
      <c r="G37" s="3101"/>
      <c r="H37" s="3101"/>
      <c r="I37" s="3101"/>
      <c r="J37" s="3101"/>
      <c r="K37" s="3101"/>
      <c r="L37" s="3101"/>
      <c r="M37" s="3101"/>
      <c r="N37" s="877"/>
      <c r="O37" s="868"/>
      <c r="P37" s="3438"/>
      <c r="Q37" s="3438"/>
      <c r="R37" s="4282"/>
      <c r="S37" s="924"/>
    </row>
    <row r="38" spans="1:19" ht="30" customHeight="1">
      <c r="B38" s="210"/>
      <c r="C38" s="884"/>
      <c r="D38" s="4417" t="s">
        <v>390</v>
      </c>
      <c r="E38" s="3101" t="s">
        <v>438</v>
      </c>
      <c r="F38" s="3101"/>
      <c r="G38" s="3101"/>
      <c r="H38" s="3101"/>
      <c r="I38" s="3101"/>
      <c r="J38" s="3101"/>
      <c r="K38" s="3101"/>
      <c r="L38" s="3101"/>
      <c r="M38" s="3101"/>
      <c r="N38" s="211" t="s">
        <v>339</v>
      </c>
      <c r="O38" s="652"/>
      <c r="P38" s="3486"/>
      <c r="Q38" s="3486"/>
      <c r="R38" s="3486"/>
      <c r="S38" s="3055" t="s">
        <v>20</v>
      </c>
    </row>
    <row r="39" spans="1:19" ht="30" customHeight="1">
      <c r="B39" s="210"/>
      <c r="C39" s="884"/>
      <c r="D39" s="4417"/>
      <c r="E39" s="4399" t="s">
        <v>439</v>
      </c>
      <c r="F39" s="4400"/>
      <c r="G39" s="4400"/>
      <c r="H39" s="4400"/>
      <c r="I39" s="4400"/>
      <c r="J39" s="4400"/>
      <c r="K39" s="4400"/>
      <c r="L39" s="4400"/>
      <c r="M39" s="4401"/>
      <c r="N39" s="877">
        <v>2</v>
      </c>
      <c r="O39" s="962">
        <f>score901.3_1_a</f>
        <v>0</v>
      </c>
      <c r="P39" s="3635"/>
      <c r="Q39" s="3635"/>
      <c r="R39" s="3635"/>
      <c r="S39" s="3055"/>
    </row>
    <row r="40" spans="1:19" ht="30" customHeight="1">
      <c r="B40" s="210"/>
      <c r="C40" s="884"/>
      <c r="D40" s="883" t="s">
        <v>391</v>
      </c>
      <c r="E40" s="3155" t="s">
        <v>440</v>
      </c>
      <c r="F40" s="3155"/>
      <c r="G40" s="3155"/>
      <c r="H40" s="3155"/>
      <c r="I40" s="3155"/>
      <c r="J40" s="3155"/>
      <c r="K40" s="3155"/>
      <c r="L40" s="3155"/>
      <c r="M40" s="3155"/>
      <c r="N40" s="166" t="s">
        <v>339</v>
      </c>
      <c r="O40" s="1395"/>
      <c r="P40" s="3669"/>
      <c r="Q40" s="3669"/>
      <c r="R40" s="3669"/>
      <c r="S40" s="3082" t="s">
        <v>20</v>
      </c>
    </row>
    <row r="41" spans="1:19" ht="30" customHeight="1">
      <c r="B41" s="210"/>
      <c r="C41" s="884"/>
      <c r="D41" s="526"/>
      <c r="E41" s="3835" t="s">
        <v>441</v>
      </c>
      <c r="F41" s="3835"/>
      <c r="G41" s="3835"/>
      <c r="H41" s="3835"/>
      <c r="I41" s="3835"/>
      <c r="J41" s="3835"/>
      <c r="K41" s="3835"/>
      <c r="L41" s="3835"/>
      <c r="M41" s="3835"/>
      <c r="N41" s="907">
        <v>2</v>
      </c>
      <c r="O41" s="963">
        <f>score901.3_1_b</f>
        <v>0</v>
      </c>
      <c r="P41" s="3635"/>
      <c r="Q41" s="3635"/>
      <c r="R41" s="3635"/>
      <c r="S41" s="3056"/>
    </row>
    <row r="42" spans="1:19" ht="80" customHeight="1">
      <c r="B42" s="210"/>
      <c r="C42" s="884"/>
      <c r="D42" s="883" t="s">
        <v>392</v>
      </c>
      <c r="E42" s="4070" t="s">
        <v>2992</v>
      </c>
      <c r="F42" s="4070"/>
      <c r="G42" s="4070"/>
      <c r="H42" s="4070"/>
      <c r="I42" s="4070"/>
      <c r="J42" s="4070"/>
      <c r="K42" s="4070"/>
      <c r="L42" s="4070"/>
      <c r="M42" s="4070"/>
      <c r="N42" s="4146">
        <v>8</v>
      </c>
      <c r="O42" s="3465"/>
      <c r="P42" s="3669"/>
      <c r="Q42" s="3669"/>
      <c r="R42" s="3669"/>
      <c r="S42" s="3082" t="s">
        <v>20</v>
      </c>
    </row>
    <row r="43" spans="1:19">
      <c r="B43" s="210"/>
      <c r="C43" s="884"/>
      <c r="D43" s="884"/>
      <c r="E43" s="4279" t="s">
        <v>442</v>
      </c>
      <c r="F43" s="4279"/>
      <c r="G43" s="4279"/>
      <c r="H43" s="4279"/>
      <c r="I43" s="4279"/>
      <c r="J43" s="4279"/>
      <c r="K43" s="4279"/>
      <c r="L43" s="4279"/>
      <c r="M43" s="4279"/>
      <c r="N43" s="3149"/>
      <c r="O43" s="3465"/>
      <c r="P43" s="3486"/>
      <c r="Q43" s="3486"/>
      <c r="R43" s="3486"/>
      <c r="S43" s="3055"/>
    </row>
    <row r="44" spans="1:19" ht="15" customHeight="1">
      <c r="B44" s="210"/>
      <c r="C44" s="884"/>
      <c r="D44" s="884"/>
      <c r="E44" s="3548" t="s">
        <v>443</v>
      </c>
      <c r="F44" s="3548"/>
      <c r="G44" s="3548"/>
      <c r="H44" s="3548"/>
      <c r="I44" s="3548"/>
      <c r="J44" s="3548"/>
      <c r="K44" s="3548"/>
      <c r="L44" s="3548"/>
      <c r="M44" s="3548"/>
      <c r="N44" s="3149"/>
      <c r="O44" s="3703"/>
      <c r="P44" s="3635"/>
      <c r="Q44" s="3635"/>
      <c r="R44" s="3635"/>
      <c r="S44" s="3056"/>
    </row>
    <row r="45" spans="1:19">
      <c r="A45" s="32" t="str">
        <f>IF(startAttachedGarage="Yes","x","")</f>
        <v/>
      </c>
      <c r="B45" s="210"/>
      <c r="C45" s="882">
        <v>2</v>
      </c>
      <c r="D45" s="882"/>
      <c r="E45" s="4070" t="s">
        <v>444</v>
      </c>
      <c r="F45" s="4070"/>
      <c r="G45" s="4070"/>
      <c r="H45" s="4070"/>
      <c r="I45" s="4070"/>
      <c r="J45" s="4070"/>
      <c r="K45" s="4070"/>
      <c r="L45" s="4070"/>
      <c r="M45" s="4070"/>
      <c r="N45" s="4146">
        <v>10</v>
      </c>
      <c r="O45" s="4370"/>
      <c r="P45" s="3668"/>
      <c r="Q45" s="3669"/>
      <c r="R45" s="3669"/>
      <c r="S45" s="3082" t="s">
        <v>20</v>
      </c>
    </row>
    <row r="46" spans="1:19" ht="30" customHeight="1" thickBot="1">
      <c r="B46" s="210"/>
      <c r="C46" s="884"/>
      <c r="D46" s="884"/>
      <c r="E46" s="3548" t="s">
        <v>445</v>
      </c>
      <c r="F46" s="3548"/>
      <c r="G46" s="3548"/>
      <c r="H46" s="3548"/>
      <c r="I46" s="3548"/>
      <c r="J46" s="3548"/>
      <c r="K46" s="3548"/>
      <c r="L46" s="3548"/>
      <c r="M46" s="3548"/>
      <c r="N46" s="4147"/>
      <c r="O46" s="3703"/>
      <c r="P46" s="4193"/>
      <c r="Q46" s="3709"/>
      <c r="R46" s="3709"/>
      <c r="S46" s="3055"/>
    </row>
    <row r="47" spans="1:19" ht="65" customHeight="1" thickTop="1">
      <c r="B47" s="185">
        <v>901.4</v>
      </c>
      <c r="C47" s="215">
        <v>1</v>
      </c>
      <c r="D47" s="215"/>
      <c r="E47" s="3112" t="s">
        <v>2555</v>
      </c>
      <c r="F47" s="3112"/>
      <c r="G47" s="3112"/>
      <c r="H47" s="3112"/>
      <c r="I47" s="3112"/>
      <c r="J47" s="3112"/>
      <c r="K47" s="3112"/>
      <c r="L47" s="3112"/>
      <c r="M47" s="3112"/>
      <c r="N47" s="216" t="s">
        <v>3</v>
      </c>
      <c r="O47" s="1385"/>
      <c r="P47" s="4420"/>
      <c r="Q47" s="4421"/>
      <c r="R47" s="4421"/>
      <c r="S47" s="961" t="s">
        <v>20</v>
      </c>
    </row>
    <row r="48" spans="1:19" ht="60" customHeight="1">
      <c r="B48" s="866"/>
      <c r="C48" s="656"/>
      <c r="D48" s="656"/>
      <c r="E48" s="3599" t="s">
        <v>2100</v>
      </c>
      <c r="F48" s="3599"/>
      <c r="G48" s="3599"/>
      <c r="H48" s="3599"/>
      <c r="I48" s="3599"/>
      <c r="J48" s="3599"/>
      <c r="K48" s="3599"/>
      <c r="L48" s="3599"/>
      <c r="M48" s="3599"/>
      <c r="N48" s="1338" t="s">
        <v>418</v>
      </c>
      <c r="O48" s="959">
        <f>IF(SUM(O49:O68)&gt;10,10,IF(SUM(O49:O68)&lt;=10,SUM(O49:O68),0))</f>
        <v>0</v>
      </c>
      <c r="P48" s="4422"/>
      <c r="Q48" s="4150"/>
      <c r="R48" s="4423"/>
      <c r="S48" s="960"/>
    </row>
    <row r="49" spans="2:19" ht="15" customHeight="1">
      <c r="B49" s="210"/>
      <c r="C49" s="1336">
        <v>2</v>
      </c>
      <c r="D49" s="1336"/>
      <c r="E49" s="3101" t="s">
        <v>446</v>
      </c>
      <c r="F49" s="3101"/>
      <c r="G49" s="3101"/>
      <c r="H49" s="3101"/>
      <c r="I49" s="3101"/>
      <c r="J49" s="3101"/>
      <c r="K49" s="4365" t="s">
        <v>2066</v>
      </c>
      <c r="L49" s="4365"/>
      <c r="M49" s="4365"/>
      <c r="N49" s="1380">
        <v>2</v>
      </c>
      <c r="O49" s="1326"/>
      <c r="P49" s="4418"/>
      <c r="Q49" s="2982"/>
      <c r="R49" s="2982"/>
      <c r="S49" s="3799" t="s">
        <v>20</v>
      </c>
    </row>
    <row r="50" spans="2:19" ht="15" customHeight="1">
      <c r="B50" s="210"/>
      <c r="C50" s="1336"/>
      <c r="D50" s="1336"/>
      <c r="E50" s="3101"/>
      <c r="F50" s="3101"/>
      <c r="G50" s="3101"/>
      <c r="H50" s="3101"/>
      <c r="I50" s="3101"/>
      <c r="J50" s="3101"/>
      <c r="K50" s="4366" t="s">
        <v>2067</v>
      </c>
      <c r="L50" s="4366"/>
      <c r="M50" s="4366"/>
      <c r="N50" s="1381">
        <v>2</v>
      </c>
      <c r="O50" s="1326"/>
      <c r="P50" s="4418"/>
      <c r="Q50" s="2982"/>
      <c r="R50" s="2982"/>
      <c r="S50" s="3799"/>
    </row>
    <row r="51" spans="2:19" ht="15" customHeight="1">
      <c r="B51" s="210"/>
      <c r="C51" s="1336"/>
      <c r="D51" s="1336"/>
      <c r="E51" s="3101"/>
      <c r="F51" s="3101"/>
      <c r="G51" s="3101"/>
      <c r="H51" s="3101"/>
      <c r="I51" s="3101"/>
      <c r="J51" s="3101"/>
      <c r="K51" s="4366" t="s">
        <v>2068</v>
      </c>
      <c r="L51" s="4366"/>
      <c r="M51" s="4366"/>
      <c r="N51" s="1381">
        <v>2</v>
      </c>
      <c r="O51" s="1326"/>
      <c r="P51" s="4418"/>
      <c r="Q51" s="2982"/>
      <c r="R51" s="2982"/>
      <c r="S51" s="3799"/>
    </row>
    <row r="52" spans="2:19" ht="15" customHeight="1">
      <c r="B52" s="210"/>
      <c r="C52" s="1336"/>
      <c r="D52" s="1336"/>
      <c r="E52" s="4364"/>
      <c r="F52" s="4364"/>
      <c r="G52" s="4364"/>
      <c r="H52" s="4364"/>
      <c r="I52" s="4364"/>
      <c r="J52" s="4364"/>
      <c r="K52" s="4419" t="s">
        <v>2069</v>
      </c>
      <c r="L52" s="4419"/>
      <c r="M52" s="4419"/>
      <c r="N52" s="1382">
        <v>2</v>
      </c>
      <c r="O52" s="1332"/>
      <c r="P52" s="2995"/>
      <c r="Q52" s="2996"/>
      <c r="R52" s="2996"/>
      <c r="S52" s="3799"/>
    </row>
    <row r="53" spans="2:19" ht="15" customHeight="1">
      <c r="B53" s="210"/>
      <c r="C53" s="1339">
        <v>3</v>
      </c>
      <c r="D53" s="1339"/>
      <c r="E53" s="4070" t="s">
        <v>2832</v>
      </c>
      <c r="F53" s="4070"/>
      <c r="G53" s="4070"/>
      <c r="H53" s="4070"/>
      <c r="I53" s="4070"/>
      <c r="J53" s="4070"/>
      <c r="K53" s="4365" t="s">
        <v>2066</v>
      </c>
      <c r="L53" s="4365"/>
      <c r="M53" s="4365"/>
      <c r="N53" s="1380">
        <v>2</v>
      </c>
      <c r="O53" s="1330"/>
      <c r="P53" s="3600"/>
      <c r="Q53" s="3143"/>
      <c r="R53" s="3143"/>
      <c r="S53" s="3799"/>
    </row>
    <row r="54" spans="2:19" ht="15" customHeight="1">
      <c r="B54" s="210"/>
      <c r="C54" s="1336"/>
      <c r="D54" s="1336"/>
      <c r="E54" s="3101"/>
      <c r="F54" s="3101"/>
      <c r="G54" s="3101"/>
      <c r="H54" s="3101"/>
      <c r="I54" s="3101"/>
      <c r="J54" s="3101"/>
      <c r="K54" s="4366" t="s">
        <v>2067</v>
      </c>
      <c r="L54" s="4366"/>
      <c r="M54" s="4366"/>
      <c r="N54" s="1381">
        <v>2</v>
      </c>
      <c r="O54" s="1326"/>
      <c r="P54" s="4418"/>
      <c r="Q54" s="3009"/>
      <c r="R54" s="3009"/>
      <c r="S54" s="3799"/>
    </row>
    <row r="55" spans="2:19" ht="15" customHeight="1">
      <c r="B55" s="210"/>
      <c r="C55" s="1336"/>
      <c r="D55" s="1336"/>
      <c r="E55" s="3101"/>
      <c r="F55" s="3101"/>
      <c r="G55" s="3101"/>
      <c r="H55" s="3101"/>
      <c r="I55" s="3101"/>
      <c r="J55" s="3101"/>
      <c r="K55" s="4366" t="s">
        <v>2068</v>
      </c>
      <c r="L55" s="4366"/>
      <c r="M55" s="4366"/>
      <c r="N55" s="1381">
        <v>2</v>
      </c>
      <c r="O55" s="1326"/>
      <c r="P55" s="4418"/>
      <c r="Q55" s="3009"/>
      <c r="R55" s="3009"/>
      <c r="S55" s="3799"/>
    </row>
    <row r="56" spans="2:19" ht="15" customHeight="1">
      <c r="B56" s="210"/>
      <c r="C56" s="1340"/>
      <c r="D56" s="1340"/>
      <c r="E56" s="4364"/>
      <c r="F56" s="4364"/>
      <c r="G56" s="4364"/>
      <c r="H56" s="4364"/>
      <c r="I56" s="4364"/>
      <c r="J56" s="4364"/>
      <c r="K56" s="4419" t="s">
        <v>2069</v>
      </c>
      <c r="L56" s="4419"/>
      <c r="M56" s="4419"/>
      <c r="N56" s="1382">
        <v>2</v>
      </c>
      <c r="O56" s="1326"/>
      <c r="P56" s="2995"/>
      <c r="Q56" s="2996"/>
      <c r="R56" s="2996"/>
      <c r="S56" s="3799"/>
    </row>
    <row r="57" spans="2:19" ht="15" customHeight="1">
      <c r="B57" s="210"/>
      <c r="C57" s="882">
        <v>4</v>
      </c>
      <c r="D57" s="882"/>
      <c r="E57" s="4070" t="s">
        <v>3015</v>
      </c>
      <c r="F57" s="4070"/>
      <c r="G57" s="4070"/>
      <c r="H57" s="4070"/>
      <c r="I57" s="4070"/>
      <c r="J57" s="4070"/>
      <c r="K57" s="4416" t="s">
        <v>2066</v>
      </c>
      <c r="L57" s="4416"/>
      <c r="M57" s="4416"/>
      <c r="N57" s="1383">
        <v>3</v>
      </c>
      <c r="O57" s="1341"/>
      <c r="P57" s="3600"/>
      <c r="Q57" s="3143"/>
      <c r="R57" s="3143"/>
      <c r="S57" s="3799"/>
    </row>
    <row r="58" spans="2:19" ht="15" customHeight="1">
      <c r="B58" s="210"/>
      <c r="C58" s="1336"/>
      <c r="D58" s="1336"/>
      <c r="E58" s="3101"/>
      <c r="F58" s="3101"/>
      <c r="G58" s="3101"/>
      <c r="H58" s="3101"/>
      <c r="I58" s="3101"/>
      <c r="J58" s="3101"/>
      <c r="K58" s="4366" t="s">
        <v>2067</v>
      </c>
      <c r="L58" s="4366"/>
      <c r="M58" s="4366"/>
      <c r="N58" s="1381">
        <v>3</v>
      </c>
      <c r="O58" s="1326"/>
      <c r="P58" s="4418"/>
      <c r="Q58" s="3009"/>
      <c r="R58" s="3009"/>
      <c r="S58" s="3799"/>
    </row>
    <row r="59" spans="2:19" ht="15" customHeight="1">
      <c r="B59" s="210"/>
      <c r="C59" s="1336"/>
      <c r="D59" s="1336"/>
      <c r="E59" s="3101"/>
      <c r="F59" s="3101"/>
      <c r="G59" s="3101"/>
      <c r="H59" s="3101"/>
      <c r="I59" s="3101"/>
      <c r="J59" s="3101"/>
      <c r="K59" s="4366" t="s">
        <v>2068</v>
      </c>
      <c r="L59" s="4366"/>
      <c r="M59" s="4366"/>
      <c r="N59" s="1381">
        <v>3</v>
      </c>
      <c r="O59" s="1326"/>
      <c r="P59" s="4418"/>
      <c r="Q59" s="3009"/>
      <c r="R59" s="3009"/>
      <c r="S59" s="3799"/>
    </row>
    <row r="60" spans="2:19" ht="15" customHeight="1">
      <c r="B60" s="210"/>
      <c r="C60" s="1340"/>
      <c r="D60" s="1340"/>
      <c r="E60" s="4364"/>
      <c r="F60" s="4364"/>
      <c r="G60" s="4364"/>
      <c r="H60" s="4364"/>
      <c r="I60" s="4364"/>
      <c r="J60" s="4364"/>
      <c r="K60" s="4419" t="s">
        <v>2069</v>
      </c>
      <c r="L60" s="4419"/>
      <c r="M60" s="4419"/>
      <c r="N60" s="1382">
        <v>3</v>
      </c>
      <c r="O60" s="217"/>
      <c r="P60" s="2995"/>
      <c r="Q60" s="2996"/>
      <c r="R60" s="2996"/>
      <c r="S60" s="3799"/>
    </row>
    <row r="61" spans="2:19" ht="15" customHeight="1">
      <c r="B61" s="210"/>
      <c r="C61" s="882">
        <v>5</v>
      </c>
      <c r="D61" s="882"/>
      <c r="E61" s="4070" t="s">
        <v>447</v>
      </c>
      <c r="F61" s="4070"/>
      <c r="G61" s="4070"/>
      <c r="H61" s="4070"/>
      <c r="I61" s="4070"/>
      <c r="J61" s="4070"/>
      <c r="K61" s="4416" t="s">
        <v>2066</v>
      </c>
      <c r="L61" s="4416"/>
      <c r="M61" s="4416"/>
      <c r="N61" s="1383">
        <v>4</v>
      </c>
      <c r="O61" s="1341"/>
      <c r="P61" s="3600"/>
      <c r="Q61" s="3143"/>
      <c r="R61" s="3143"/>
      <c r="S61" s="3799"/>
    </row>
    <row r="62" spans="2:19" ht="15" customHeight="1">
      <c r="B62" s="210"/>
      <c r="C62" s="1336"/>
      <c r="D62" s="1336"/>
      <c r="E62" s="3101"/>
      <c r="F62" s="3101"/>
      <c r="G62" s="3101"/>
      <c r="H62" s="3101"/>
      <c r="I62" s="3101"/>
      <c r="J62" s="3101"/>
      <c r="K62" s="4366" t="s">
        <v>2067</v>
      </c>
      <c r="L62" s="4366"/>
      <c r="M62" s="4366"/>
      <c r="N62" s="1381">
        <v>4</v>
      </c>
      <c r="O62" s="1326"/>
      <c r="P62" s="4418"/>
      <c r="Q62" s="3009"/>
      <c r="R62" s="3009"/>
      <c r="S62" s="3799"/>
    </row>
    <row r="63" spans="2:19" ht="15" customHeight="1">
      <c r="B63" s="210"/>
      <c r="C63" s="1336"/>
      <c r="D63" s="1336"/>
      <c r="E63" s="3101"/>
      <c r="F63" s="3101"/>
      <c r="G63" s="3101"/>
      <c r="H63" s="3101"/>
      <c r="I63" s="3101"/>
      <c r="J63" s="3101"/>
      <c r="K63" s="4366" t="s">
        <v>2068</v>
      </c>
      <c r="L63" s="4366"/>
      <c r="M63" s="4366"/>
      <c r="N63" s="1381">
        <v>4</v>
      </c>
      <c r="O63" s="1326"/>
      <c r="P63" s="4418"/>
      <c r="Q63" s="3009"/>
      <c r="R63" s="3009"/>
      <c r="S63" s="3799"/>
    </row>
    <row r="64" spans="2:19" ht="15" customHeight="1">
      <c r="B64" s="210"/>
      <c r="C64" s="1340"/>
      <c r="D64" s="1340"/>
      <c r="E64" s="4364"/>
      <c r="F64" s="4364"/>
      <c r="G64" s="4364"/>
      <c r="H64" s="4364"/>
      <c r="I64" s="4364"/>
      <c r="J64" s="4364"/>
      <c r="K64" s="4419" t="s">
        <v>2069</v>
      </c>
      <c r="L64" s="4419"/>
      <c r="M64" s="4419"/>
      <c r="N64" s="1382">
        <v>4</v>
      </c>
      <c r="O64" s="217"/>
      <c r="P64" s="2995"/>
      <c r="Q64" s="2996"/>
      <c r="R64" s="2996"/>
      <c r="S64" s="3799"/>
    </row>
    <row r="65" spans="2:19" ht="15" customHeight="1">
      <c r="B65" s="210"/>
      <c r="C65" s="882">
        <v>6</v>
      </c>
      <c r="D65" s="882"/>
      <c r="E65" s="4070" t="s">
        <v>448</v>
      </c>
      <c r="F65" s="4070"/>
      <c r="G65" s="4070"/>
      <c r="H65" s="4070"/>
      <c r="I65" s="4070"/>
      <c r="J65" s="4070"/>
      <c r="K65" s="4416" t="s">
        <v>2066</v>
      </c>
      <c r="L65" s="4416"/>
      <c r="M65" s="4416"/>
      <c r="N65" s="1383">
        <v>4</v>
      </c>
      <c r="O65" s="1341"/>
      <c r="P65" s="3600"/>
      <c r="Q65" s="3143"/>
      <c r="R65" s="3143"/>
      <c r="S65" s="3799"/>
    </row>
    <row r="66" spans="2:19" ht="15" customHeight="1">
      <c r="B66" s="210"/>
      <c r="C66" s="1336"/>
      <c r="D66" s="1336"/>
      <c r="E66" s="3101"/>
      <c r="F66" s="3101"/>
      <c r="G66" s="3101"/>
      <c r="H66" s="3101"/>
      <c r="I66" s="3101"/>
      <c r="J66" s="3101"/>
      <c r="K66" s="4366" t="s">
        <v>2067</v>
      </c>
      <c r="L66" s="4366"/>
      <c r="M66" s="4366"/>
      <c r="N66" s="1381">
        <v>4</v>
      </c>
      <c r="O66" s="1326"/>
      <c r="P66" s="4418"/>
      <c r="Q66" s="3009"/>
      <c r="R66" s="3009"/>
      <c r="S66" s="3799"/>
    </row>
    <row r="67" spans="2:19" ht="15" customHeight="1">
      <c r="B67" s="210"/>
      <c r="C67" s="1336"/>
      <c r="D67" s="1336"/>
      <c r="E67" s="3101"/>
      <c r="F67" s="3101"/>
      <c r="G67" s="3101"/>
      <c r="H67" s="3101"/>
      <c r="I67" s="3101"/>
      <c r="J67" s="3101"/>
      <c r="K67" s="4366" t="s">
        <v>2068</v>
      </c>
      <c r="L67" s="4366"/>
      <c r="M67" s="4366"/>
      <c r="N67" s="1381">
        <v>4</v>
      </c>
      <c r="O67" s="1326"/>
      <c r="P67" s="4418"/>
      <c r="Q67" s="3009"/>
      <c r="R67" s="3009"/>
      <c r="S67" s="3799"/>
    </row>
    <row r="68" spans="2:19" ht="15" customHeight="1" thickBot="1">
      <c r="B68" s="210"/>
      <c r="C68" s="1340"/>
      <c r="D68" s="1340"/>
      <c r="E68" s="4325"/>
      <c r="F68" s="4325"/>
      <c r="G68" s="4325"/>
      <c r="H68" s="4325"/>
      <c r="I68" s="4325"/>
      <c r="J68" s="4325"/>
      <c r="K68" s="4434" t="s">
        <v>2069</v>
      </c>
      <c r="L68" s="4434"/>
      <c r="M68" s="4434"/>
      <c r="N68" s="1384">
        <v>4</v>
      </c>
      <c r="O68" s="1357"/>
      <c r="P68" s="3211"/>
      <c r="Q68" s="3010"/>
      <c r="R68" s="3010"/>
      <c r="S68" s="3799"/>
    </row>
    <row r="69" spans="2:19" ht="64.5" customHeight="1" thickTop="1">
      <c r="B69" s="957">
        <v>901.5</v>
      </c>
      <c r="C69" s="958"/>
      <c r="D69" s="958"/>
      <c r="E69" s="3203" t="s">
        <v>2283</v>
      </c>
      <c r="F69" s="3203"/>
      <c r="G69" s="3203"/>
      <c r="H69" s="3203"/>
      <c r="I69" s="3203"/>
      <c r="J69" s="3203"/>
      <c r="K69" s="3203"/>
      <c r="L69" s="3203"/>
      <c r="M69" s="3203"/>
      <c r="N69" s="209"/>
      <c r="O69" s="4350"/>
      <c r="P69" s="3806"/>
      <c r="Q69" s="3806"/>
      <c r="R69" s="3806"/>
      <c r="S69" s="4352" t="s">
        <v>20</v>
      </c>
    </row>
    <row r="70" spans="2:19" ht="25.5" customHeight="1">
      <c r="B70" s="210"/>
      <c r="C70" s="881">
        <v>1</v>
      </c>
      <c r="D70" s="881"/>
      <c r="E70" s="3101" t="s">
        <v>1423</v>
      </c>
      <c r="F70" s="3101"/>
      <c r="G70" s="3101"/>
      <c r="H70" s="3101"/>
      <c r="I70" s="3101"/>
      <c r="J70" s="3101"/>
      <c r="K70" s="3101"/>
      <c r="L70" s="3101"/>
      <c r="M70" s="3101"/>
      <c r="N70" s="877">
        <v>5</v>
      </c>
      <c r="O70" s="4351"/>
      <c r="P70" s="3806"/>
      <c r="Q70" s="3806"/>
      <c r="R70" s="3806"/>
      <c r="S70" s="4353"/>
    </row>
    <row r="71" spans="2:19" ht="39.75" customHeight="1">
      <c r="B71" s="210"/>
      <c r="C71" s="882">
        <v>2</v>
      </c>
      <c r="D71" s="882"/>
      <c r="E71" s="4070" t="s">
        <v>1424</v>
      </c>
      <c r="F71" s="4070"/>
      <c r="G71" s="4070"/>
      <c r="H71" s="4070"/>
      <c r="I71" s="4070"/>
      <c r="J71" s="4070"/>
      <c r="K71" s="4070"/>
      <c r="L71" s="4070"/>
      <c r="M71" s="4070"/>
      <c r="N71" s="4368">
        <v>3</v>
      </c>
      <c r="O71" s="4247">
        <f>score901.5</f>
        <v>0</v>
      </c>
      <c r="P71" s="3806"/>
      <c r="Q71" s="3806"/>
      <c r="R71" s="3806"/>
      <c r="S71" s="4353"/>
    </row>
    <row r="72" spans="2:19" ht="15" customHeight="1" thickBot="1">
      <c r="B72" s="210"/>
      <c r="C72" s="881"/>
      <c r="D72" s="881"/>
      <c r="E72" s="4367" t="s">
        <v>1427</v>
      </c>
      <c r="F72" s="4367"/>
      <c r="G72" s="4367"/>
      <c r="H72" s="4367"/>
      <c r="I72" s="4367"/>
      <c r="J72" s="4367"/>
      <c r="K72" s="4367"/>
      <c r="L72" s="4367"/>
      <c r="M72" s="4367"/>
      <c r="N72" s="4369"/>
      <c r="O72" s="4247"/>
      <c r="P72" s="3806"/>
      <c r="Q72" s="3806"/>
      <c r="R72" s="3806"/>
      <c r="S72" s="4354"/>
    </row>
    <row r="73" spans="2:19" ht="16" thickTop="1">
      <c r="B73" s="185">
        <v>901.6</v>
      </c>
      <c r="C73" s="186"/>
      <c r="D73" s="186"/>
      <c r="E73" s="3203" t="s">
        <v>449</v>
      </c>
      <c r="F73" s="3203"/>
      <c r="G73" s="3203"/>
      <c r="H73" s="3203"/>
      <c r="I73" s="3203"/>
      <c r="J73" s="3203"/>
      <c r="K73" s="3203"/>
      <c r="L73" s="3203"/>
      <c r="M73" s="3203"/>
      <c r="N73" s="209"/>
      <c r="O73" s="879"/>
      <c r="P73" s="3516"/>
      <c r="Q73" s="3516"/>
      <c r="R73" s="3517"/>
      <c r="S73" s="923"/>
    </row>
    <row r="74" spans="2:19" ht="30" customHeight="1">
      <c r="B74" s="210"/>
      <c r="C74" s="881">
        <v>1</v>
      </c>
      <c r="D74" s="881"/>
      <c r="E74" s="3101" t="s">
        <v>450</v>
      </c>
      <c r="F74" s="3101"/>
      <c r="G74" s="3101"/>
      <c r="H74" s="3101"/>
      <c r="I74" s="3101"/>
      <c r="J74" s="3101"/>
      <c r="K74" s="3101"/>
      <c r="L74" s="3101"/>
      <c r="M74" s="3101"/>
      <c r="N74" s="211" t="s">
        <v>3</v>
      </c>
      <c r="O74" s="956"/>
      <c r="P74" s="4358"/>
      <c r="Q74" s="3635"/>
      <c r="R74" s="3635"/>
      <c r="S74" s="858" t="s">
        <v>20</v>
      </c>
    </row>
    <row r="75" spans="2:19" ht="120" customHeight="1">
      <c r="B75" s="210"/>
      <c r="C75" s="882">
        <v>2</v>
      </c>
      <c r="D75" s="882"/>
      <c r="E75" s="4070" t="s">
        <v>2101</v>
      </c>
      <c r="F75" s="4070"/>
      <c r="G75" s="4070"/>
      <c r="H75" s="4070"/>
      <c r="I75" s="4070"/>
      <c r="J75" s="4070"/>
      <c r="K75" s="4070"/>
      <c r="L75" s="4070"/>
      <c r="M75" s="4070"/>
      <c r="N75" s="4146"/>
      <c r="O75" s="4355"/>
      <c r="P75" s="4355"/>
      <c r="Q75" s="4355"/>
      <c r="R75" s="4357"/>
      <c r="S75" s="924"/>
    </row>
    <row r="76" spans="2:19" ht="15" customHeight="1">
      <c r="B76" s="210"/>
      <c r="C76" s="881"/>
      <c r="D76" s="881"/>
      <c r="E76" s="4279" t="s">
        <v>1427</v>
      </c>
      <c r="F76" s="4279"/>
      <c r="G76" s="4279"/>
      <c r="H76" s="4279"/>
      <c r="I76" s="4279"/>
      <c r="J76" s="4279"/>
      <c r="K76" s="4279"/>
      <c r="L76" s="4279"/>
      <c r="M76" s="4279"/>
      <c r="N76" s="3149"/>
      <c r="O76" s="4356"/>
      <c r="P76" s="3438"/>
      <c r="Q76" s="3438"/>
      <c r="R76" s="4282"/>
      <c r="S76" s="924"/>
    </row>
    <row r="77" spans="2:19" ht="30" customHeight="1">
      <c r="B77" s="210"/>
      <c r="C77" s="884"/>
      <c r="D77" s="884" t="s">
        <v>390</v>
      </c>
      <c r="E77" s="3101" t="s">
        <v>451</v>
      </c>
      <c r="F77" s="3101"/>
      <c r="G77" s="3101"/>
      <c r="H77" s="3101"/>
      <c r="I77" s="3101"/>
      <c r="J77" s="3101"/>
      <c r="K77" s="3101"/>
      <c r="L77" s="3101"/>
      <c r="M77" s="3101"/>
      <c r="N77" s="877">
        <v>6</v>
      </c>
      <c r="O77" s="509"/>
      <c r="P77" s="3633"/>
      <c r="Q77" s="3486"/>
      <c r="R77" s="3486"/>
      <c r="S77" s="3055" t="s">
        <v>20</v>
      </c>
    </row>
    <row r="78" spans="2:19" ht="30" customHeight="1" thickBot="1">
      <c r="B78" s="210"/>
      <c r="C78" s="884"/>
      <c r="D78" s="883" t="s">
        <v>391</v>
      </c>
      <c r="E78" s="4070" t="s">
        <v>452</v>
      </c>
      <c r="F78" s="4070"/>
      <c r="G78" s="4070"/>
      <c r="H78" s="4070"/>
      <c r="I78" s="4070"/>
      <c r="J78" s="4070"/>
      <c r="K78" s="4070"/>
      <c r="L78" s="4070"/>
      <c r="M78" s="4070"/>
      <c r="N78" s="876">
        <v>2</v>
      </c>
      <c r="O78" s="509"/>
      <c r="P78" s="4193"/>
      <c r="Q78" s="3709"/>
      <c r="R78" s="3709"/>
      <c r="S78" s="3055"/>
    </row>
    <row r="79" spans="2:19" ht="240" customHeight="1" thickTop="1">
      <c r="B79" s="185">
        <v>901.7</v>
      </c>
      <c r="C79" s="186"/>
      <c r="D79" s="186"/>
      <c r="E79" s="3112" t="s">
        <v>2102</v>
      </c>
      <c r="F79" s="3112"/>
      <c r="G79" s="3112"/>
      <c r="H79" s="3112"/>
      <c r="I79" s="3112"/>
      <c r="J79" s="3112"/>
      <c r="K79" s="3112"/>
      <c r="L79" s="3112"/>
      <c r="M79" s="3112"/>
      <c r="N79" s="4413">
        <v>6</v>
      </c>
      <c r="O79" s="4411"/>
      <c r="P79" s="4268"/>
      <c r="Q79" s="3484"/>
      <c r="R79" s="3484"/>
      <c r="S79" s="3204" t="s">
        <v>20</v>
      </c>
    </row>
    <row r="80" spans="2:19" ht="15" customHeight="1" thickBot="1">
      <c r="B80" s="210"/>
      <c r="C80" s="881"/>
      <c r="D80" s="881"/>
      <c r="E80" s="4279" t="s">
        <v>1427</v>
      </c>
      <c r="F80" s="4279"/>
      <c r="G80" s="4279"/>
      <c r="H80" s="4279"/>
      <c r="I80" s="4279"/>
      <c r="J80" s="4279"/>
      <c r="K80" s="4279"/>
      <c r="L80" s="4279"/>
      <c r="M80" s="4279"/>
      <c r="N80" s="4414"/>
      <c r="O80" s="4412"/>
      <c r="P80" s="4193"/>
      <c r="Q80" s="3709"/>
      <c r="R80" s="3709"/>
      <c r="S80" s="3205"/>
    </row>
    <row r="81" spans="2:19" ht="101.25" customHeight="1" thickTop="1">
      <c r="B81" s="185">
        <v>901.8</v>
      </c>
      <c r="C81" s="186"/>
      <c r="D81" s="186"/>
      <c r="E81" s="3112" t="s">
        <v>2103</v>
      </c>
      <c r="F81" s="3112"/>
      <c r="G81" s="3112"/>
      <c r="H81" s="3112"/>
      <c r="I81" s="3112"/>
      <c r="J81" s="3112"/>
      <c r="K81" s="3112"/>
      <c r="L81" s="3112"/>
      <c r="M81" s="3112"/>
      <c r="N81" s="4413">
        <v>4</v>
      </c>
      <c r="O81" s="3341"/>
      <c r="P81" s="4268"/>
      <c r="Q81" s="3484"/>
      <c r="R81" s="4415"/>
      <c r="S81" s="4317" t="s">
        <v>20</v>
      </c>
    </row>
    <row r="82" spans="2:19" ht="15" customHeight="1" thickBot="1">
      <c r="B82" s="210"/>
      <c r="C82" s="1391"/>
      <c r="D82" s="1391"/>
      <c r="E82" s="4279" t="s">
        <v>1427</v>
      </c>
      <c r="F82" s="4279"/>
      <c r="G82" s="4279"/>
      <c r="H82" s="4279"/>
      <c r="I82" s="4279"/>
      <c r="J82" s="4279"/>
      <c r="K82" s="4279"/>
      <c r="L82" s="4279"/>
      <c r="M82" s="4279"/>
      <c r="N82" s="4414"/>
      <c r="O82" s="4174"/>
      <c r="P82" s="4193"/>
      <c r="Q82" s="3709"/>
      <c r="R82" s="4256"/>
      <c r="S82" s="4343"/>
    </row>
    <row r="83" spans="2:19" ht="45" customHeight="1" thickTop="1">
      <c r="B83" s="185">
        <v>901.9</v>
      </c>
      <c r="C83" s="186"/>
      <c r="D83" s="186"/>
      <c r="E83" s="3112" t="s">
        <v>1428</v>
      </c>
      <c r="F83" s="3112"/>
      <c r="G83" s="3112"/>
      <c r="H83" s="3112"/>
      <c r="I83" s="3112"/>
      <c r="J83" s="3112"/>
      <c r="K83" s="3112"/>
      <c r="L83" s="3112"/>
      <c r="M83" s="3112"/>
      <c r="N83" s="209"/>
      <c r="O83" s="879"/>
      <c r="P83" s="3516"/>
      <c r="Q83" s="3516"/>
      <c r="R83" s="3517"/>
      <c r="S83" s="929"/>
    </row>
    <row r="84" spans="2:19" ht="84" customHeight="1">
      <c r="B84" s="866" t="s">
        <v>453</v>
      </c>
      <c r="C84" s="884"/>
      <c r="D84" s="884"/>
      <c r="E84" s="3101" t="s">
        <v>1429</v>
      </c>
      <c r="F84" s="3101"/>
      <c r="G84" s="3101"/>
      <c r="H84" s="3101"/>
      <c r="I84" s="3101"/>
      <c r="J84" s="3101"/>
      <c r="K84" s="3101"/>
      <c r="L84" s="3101"/>
      <c r="M84" s="3101"/>
      <c r="N84" s="4188">
        <v>5</v>
      </c>
      <c r="O84" s="3137"/>
      <c r="P84" s="3633"/>
      <c r="Q84" s="3486"/>
      <c r="R84" s="3486"/>
      <c r="S84" s="3055" t="s">
        <v>20</v>
      </c>
    </row>
    <row r="85" spans="2:19" ht="15" customHeight="1">
      <c r="B85" s="866"/>
      <c r="C85" s="884"/>
      <c r="D85" s="884"/>
      <c r="E85" s="4279" t="s">
        <v>1430</v>
      </c>
      <c r="F85" s="4279"/>
      <c r="G85" s="4279"/>
      <c r="H85" s="4279"/>
      <c r="I85" s="4279"/>
      <c r="J85" s="4279"/>
      <c r="K85" s="4279"/>
      <c r="L85" s="4279"/>
      <c r="M85" s="4279"/>
      <c r="N85" s="4188"/>
      <c r="O85" s="4412"/>
      <c r="P85" s="3633"/>
      <c r="Q85" s="3486"/>
      <c r="R85" s="3486"/>
      <c r="S85" s="3055"/>
    </row>
    <row r="86" spans="2:19" ht="15" customHeight="1">
      <c r="B86" s="866"/>
      <c r="C86" s="884"/>
      <c r="D86" s="884"/>
      <c r="E86" s="3632" t="s">
        <v>1439</v>
      </c>
      <c r="F86" s="3632"/>
      <c r="G86" s="3632"/>
      <c r="H86" s="3632"/>
      <c r="I86" s="3632"/>
      <c r="J86" s="3632"/>
      <c r="K86" s="3632"/>
      <c r="L86" s="3632"/>
      <c r="M86" s="3632"/>
      <c r="N86" s="4424"/>
      <c r="O86" s="3850"/>
      <c r="P86" s="3634"/>
      <c r="Q86" s="3635"/>
      <c r="R86" s="3635"/>
      <c r="S86" s="3055"/>
    </row>
    <row r="87" spans="2:19" ht="15" customHeight="1" thickBot="1">
      <c r="B87" s="3586" t="s">
        <v>454</v>
      </c>
      <c r="C87" s="4417"/>
      <c r="D87" s="4417"/>
      <c r="E87" s="4070" t="s">
        <v>1431</v>
      </c>
      <c r="F87" s="4070"/>
      <c r="G87" s="4070"/>
      <c r="H87" s="4070"/>
      <c r="I87" s="4070"/>
      <c r="J87" s="4070"/>
      <c r="K87" s="4070"/>
      <c r="L87" s="4070"/>
      <c r="M87" s="4070"/>
      <c r="N87" s="4338">
        <v>1</v>
      </c>
      <c r="O87" s="3464"/>
      <c r="P87" s="3668"/>
      <c r="Q87" s="3669"/>
      <c r="R87" s="3669"/>
      <c r="S87" s="3055"/>
    </row>
    <row r="88" spans="2:19" ht="15" customHeight="1">
      <c r="B88" s="3586"/>
      <c r="C88" s="4417"/>
      <c r="D88" s="4417"/>
      <c r="E88" s="4361" t="s">
        <v>1432</v>
      </c>
      <c r="F88" s="4362"/>
      <c r="G88" s="4362"/>
      <c r="H88" s="4362"/>
      <c r="I88" s="4362"/>
      <c r="J88" s="4362"/>
      <c r="K88" s="4363"/>
      <c r="L88" s="4336"/>
      <c r="M88" s="4337"/>
      <c r="N88" s="3149"/>
      <c r="O88" s="3465"/>
      <c r="P88" s="3633"/>
      <c r="Q88" s="3486"/>
      <c r="R88" s="3486"/>
      <c r="S88" s="3055"/>
    </row>
    <row r="89" spans="2:19" ht="15" customHeight="1">
      <c r="B89" s="3586"/>
      <c r="C89" s="4417"/>
      <c r="D89" s="4417"/>
      <c r="E89" s="4328" t="s">
        <v>1433</v>
      </c>
      <c r="F89" s="4329"/>
      <c r="G89" s="4329"/>
      <c r="H89" s="4329"/>
      <c r="I89" s="4329"/>
      <c r="J89" s="4329" t="s">
        <v>1437</v>
      </c>
      <c r="K89" s="4340"/>
      <c r="L89" s="4336"/>
      <c r="M89" s="4337"/>
      <c r="N89" s="3149"/>
      <c r="O89" s="3465"/>
      <c r="P89" s="3633"/>
      <c r="Q89" s="3486"/>
      <c r="R89" s="3486"/>
      <c r="S89" s="3055"/>
    </row>
    <row r="90" spans="2:19" ht="15" customHeight="1">
      <c r="B90" s="3586"/>
      <c r="C90" s="4417"/>
      <c r="D90" s="4417"/>
      <c r="E90" s="4330" t="s">
        <v>1434</v>
      </c>
      <c r="F90" s="4331"/>
      <c r="G90" s="4331"/>
      <c r="H90" s="4331"/>
      <c r="I90" s="4331"/>
      <c r="J90" s="4331">
        <v>50</v>
      </c>
      <c r="K90" s="4359"/>
      <c r="L90" s="4336"/>
      <c r="M90" s="4337"/>
      <c r="N90" s="3149"/>
      <c r="O90" s="3465"/>
      <c r="P90" s="3633"/>
      <c r="Q90" s="3486"/>
      <c r="R90" s="3486"/>
      <c r="S90" s="3055"/>
    </row>
    <row r="91" spans="2:19" ht="15" customHeight="1">
      <c r="B91" s="3586"/>
      <c r="C91" s="4417"/>
      <c r="D91" s="4417"/>
      <c r="E91" s="4330" t="s">
        <v>1435</v>
      </c>
      <c r="F91" s="4331"/>
      <c r="G91" s="4331"/>
      <c r="H91" s="4331"/>
      <c r="I91" s="4331"/>
      <c r="J91" s="4331">
        <v>600</v>
      </c>
      <c r="K91" s="4359"/>
      <c r="L91" s="4336"/>
      <c r="M91" s="4337"/>
      <c r="N91" s="3149"/>
      <c r="O91" s="3465"/>
      <c r="P91" s="3633"/>
      <c r="Q91" s="3486"/>
      <c r="R91" s="3486"/>
      <c r="S91" s="3055"/>
    </row>
    <row r="92" spans="2:19" ht="15" customHeight="1" thickBot="1">
      <c r="B92" s="3586"/>
      <c r="C92" s="4417"/>
      <c r="D92" s="4417"/>
      <c r="E92" s="4341" t="s">
        <v>1436</v>
      </c>
      <c r="F92" s="4342"/>
      <c r="G92" s="4342"/>
      <c r="H92" s="4342"/>
      <c r="I92" s="4342"/>
      <c r="J92" s="4342">
        <v>50</v>
      </c>
      <c r="K92" s="4360"/>
      <c r="L92" s="4336"/>
      <c r="M92" s="4337"/>
      <c r="N92" s="4339"/>
      <c r="O92" s="3944"/>
      <c r="P92" s="3633"/>
      <c r="Q92" s="3486"/>
      <c r="R92" s="3486"/>
      <c r="S92" s="3055"/>
    </row>
    <row r="93" spans="2:19" ht="90.75" customHeight="1">
      <c r="B93" s="3586" t="s">
        <v>1438</v>
      </c>
      <c r="C93" s="4417"/>
      <c r="D93" s="4417"/>
      <c r="E93" s="3101" t="s">
        <v>2104</v>
      </c>
      <c r="F93" s="3101"/>
      <c r="G93" s="3101"/>
      <c r="H93" s="3101"/>
      <c r="I93" s="3101"/>
      <c r="J93" s="3101"/>
      <c r="K93" s="3101"/>
      <c r="L93" s="4150"/>
      <c r="M93" s="4150"/>
      <c r="N93" s="4332">
        <v>8</v>
      </c>
      <c r="O93" s="3922"/>
      <c r="P93" s="3683"/>
      <c r="Q93" s="3684"/>
      <c r="R93" s="3684"/>
      <c r="S93" s="3055"/>
    </row>
    <row r="94" spans="2:19" ht="15" customHeight="1">
      <c r="B94" s="3586"/>
      <c r="C94" s="4417"/>
      <c r="D94" s="4417"/>
      <c r="E94" s="4279" t="s">
        <v>2942</v>
      </c>
      <c r="F94" s="4279"/>
      <c r="G94" s="4279"/>
      <c r="H94" s="4279"/>
      <c r="I94" s="4279"/>
      <c r="J94" s="4279"/>
      <c r="K94" s="4279"/>
      <c r="L94" s="4279"/>
      <c r="M94" s="4279"/>
      <c r="N94" s="4188"/>
      <c r="O94" s="3920"/>
      <c r="P94" s="3633"/>
      <c r="Q94" s="3486"/>
      <c r="R94" s="3486"/>
      <c r="S94" s="3055"/>
    </row>
    <row r="95" spans="2:19" ht="15" customHeight="1" thickBot="1">
      <c r="B95" s="866"/>
      <c r="C95" s="884"/>
      <c r="D95" s="884"/>
      <c r="E95" s="3632" t="s">
        <v>1440</v>
      </c>
      <c r="F95" s="3632"/>
      <c r="G95" s="3632"/>
      <c r="H95" s="3632"/>
      <c r="I95" s="3632"/>
      <c r="J95" s="3632"/>
      <c r="K95" s="3632"/>
      <c r="L95" s="3632"/>
      <c r="M95" s="3632"/>
      <c r="N95" s="4333"/>
      <c r="O95" s="4334"/>
      <c r="P95" s="4344"/>
      <c r="Q95" s="3488"/>
      <c r="R95" s="3488"/>
      <c r="S95" s="3130"/>
    </row>
    <row r="96" spans="2:19" ht="60" customHeight="1" thickTop="1">
      <c r="B96" s="951">
        <v>901.1</v>
      </c>
      <c r="C96" s="952"/>
      <c r="D96" s="952"/>
      <c r="E96" s="3058" t="s">
        <v>1441</v>
      </c>
      <c r="F96" s="3058"/>
      <c r="G96" s="3058"/>
      <c r="H96" s="3058"/>
      <c r="I96" s="3058"/>
      <c r="J96" s="3058"/>
      <c r="K96" s="3058"/>
      <c r="L96" s="3058"/>
      <c r="M96" s="3058"/>
      <c r="N96" s="953"/>
      <c r="O96" s="954"/>
      <c r="P96" s="4348"/>
      <c r="Q96" s="4348"/>
      <c r="R96" s="4349"/>
      <c r="S96" s="923"/>
    </row>
    <row r="97" spans="1:37" ht="84" customHeight="1">
      <c r="B97" s="210"/>
      <c r="C97" s="881">
        <v>1</v>
      </c>
      <c r="D97" s="881"/>
      <c r="E97" s="3101" t="s">
        <v>2105</v>
      </c>
      <c r="F97" s="3101"/>
      <c r="G97" s="3101"/>
      <c r="H97" s="3101"/>
      <c r="I97" s="3101"/>
      <c r="J97" s="3101"/>
      <c r="K97" s="3101"/>
      <c r="L97" s="3101"/>
      <c r="M97" s="3101"/>
      <c r="N97" s="4188">
        <v>8</v>
      </c>
      <c r="O97" s="4345"/>
      <c r="P97" s="3633"/>
      <c r="Q97" s="3486"/>
      <c r="R97" s="3934"/>
      <c r="S97" s="4280" t="s">
        <v>20</v>
      </c>
    </row>
    <row r="98" spans="1:37">
      <c r="B98" s="210"/>
      <c r="C98" s="881"/>
      <c r="D98" s="881"/>
      <c r="E98" s="4279" t="s">
        <v>1427</v>
      </c>
      <c r="F98" s="4279"/>
      <c r="G98" s="4279"/>
      <c r="H98" s="4279"/>
      <c r="I98" s="4279"/>
      <c r="J98" s="4279"/>
      <c r="K98" s="4279"/>
      <c r="L98" s="4279"/>
      <c r="M98" s="4279"/>
      <c r="N98" s="4188"/>
      <c r="O98" s="4346"/>
      <c r="P98" s="3633"/>
      <c r="Q98" s="3486"/>
      <c r="R98" s="3934"/>
      <c r="S98" s="4280"/>
    </row>
    <row r="99" spans="1:37" ht="15" customHeight="1">
      <c r="B99" s="210"/>
      <c r="C99" s="882">
        <v>2</v>
      </c>
      <c r="D99" s="882"/>
      <c r="E99" s="4070" t="s">
        <v>1442</v>
      </c>
      <c r="F99" s="4070"/>
      <c r="G99" s="4070"/>
      <c r="H99" s="4070"/>
      <c r="I99" s="4070"/>
      <c r="J99" s="4070"/>
      <c r="K99" s="4070"/>
      <c r="L99" s="4070"/>
      <c r="M99" s="4070"/>
      <c r="N99" s="876">
        <v>5</v>
      </c>
      <c r="O99" s="4347"/>
      <c r="P99" s="3633"/>
      <c r="Q99" s="3486"/>
      <c r="R99" s="3934"/>
      <c r="S99" s="4280"/>
    </row>
    <row r="100" spans="1:37" ht="41.25" customHeight="1" thickBot="1">
      <c r="B100" s="955"/>
      <c r="C100" s="821">
        <v>3</v>
      </c>
      <c r="D100" s="821"/>
      <c r="E100" s="4335" t="s">
        <v>1443</v>
      </c>
      <c r="F100" s="4335"/>
      <c r="G100" s="4335"/>
      <c r="H100" s="4335"/>
      <c r="I100" s="4335"/>
      <c r="J100" s="4335"/>
      <c r="K100" s="4335"/>
      <c r="L100" s="4335"/>
      <c r="M100" s="4335"/>
      <c r="N100" s="822">
        <v>5</v>
      </c>
      <c r="O100" s="875">
        <f>score901.10</f>
        <v>0</v>
      </c>
      <c r="P100" s="4193"/>
      <c r="Q100" s="3709"/>
      <c r="R100" s="4256"/>
      <c r="S100" s="4343"/>
    </row>
    <row r="101" spans="1:37" ht="96" customHeight="1" thickTop="1">
      <c r="B101" s="950">
        <v>901.11</v>
      </c>
      <c r="C101" s="186"/>
      <c r="D101" s="186"/>
      <c r="E101" s="3203" t="s">
        <v>2106</v>
      </c>
      <c r="F101" s="3203"/>
      <c r="G101" s="3203"/>
      <c r="H101" s="3203"/>
      <c r="I101" s="3203"/>
      <c r="J101" s="3203"/>
      <c r="K101" s="3203"/>
      <c r="L101" s="3203"/>
      <c r="M101" s="3203"/>
      <c r="N101" s="3148">
        <v>4</v>
      </c>
      <c r="O101" s="4142"/>
      <c r="P101" s="3484"/>
      <c r="Q101" s="3484"/>
      <c r="R101" s="3484"/>
      <c r="S101" s="4429" t="s">
        <v>20</v>
      </c>
    </row>
    <row r="102" spans="1:37" ht="15" customHeight="1" thickBot="1">
      <c r="B102" s="210"/>
      <c r="C102" s="881"/>
      <c r="D102" s="881"/>
      <c r="E102" s="4279" t="s">
        <v>1427</v>
      </c>
      <c r="F102" s="4279"/>
      <c r="G102" s="4279"/>
      <c r="H102" s="4279"/>
      <c r="I102" s="4279"/>
      <c r="J102" s="4279"/>
      <c r="K102" s="4279"/>
      <c r="L102" s="4279"/>
      <c r="M102" s="4279"/>
      <c r="N102" s="4147"/>
      <c r="O102" s="3466"/>
      <c r="P102" s="3709"/>
      <c r="Q102" s="3709"/>
      <c r="R102" s="3709"/>
      <c r="S102" s="4430"/>
    </row>
    <row r="103" spans="1:37" ht="75" customHeight="1" thickTop="1" thickBot="1">
      <c r="B103" s="948">
        <v>901.12</v>
      </c>
      <c r="C103" s="949"/>
      <c r="D103" s="186"/>
      <c r="E103" s="3112" t="s">
        <v>1447</v>
      </c>
      <c r="F103" s="3112"/>
      <c r="G103" s="3112"/>
      <c r="H103" s="3112"/>
      <c r="I103" s="3112"/>
      <c r="J103" s="3112"/>
      <c r="K103" s="3112"/>
      <c r="L103" s="3112"/>
      <c r="M103" s="3112"/>
      <c r="N103" s="209">
        <v>3</v>
      </c>
      <c r="O103" s="908"/>
      <c r="P103" s="4269"/>
      <c r="Q103" s="4270"/>
      <c r="R103" s="4270"/>
      <c r="S103" s="1399" t="s">
        <v>20</v>
      </c>
    </row>
    <row r="104" spans="1:37" ht="45" customHeight="1" thickTop="1">
      <c r="B104" s="950">
        <v>901.13</v>
      </c>
      <c r="C104" s="186"/>
      <c r="D104" s="186"/>
      <c r="E104" s="3112" t="s">
        <v>1448</v>
      </c>
      <c r="F104" s="3112"/>
      <c r="G104" s="3112"/>
      <c r="H104" s="3112"/>
      <c r="I104" s="3112"/>
      <c r="J104" s="3112"/>
      <c r="K104" s="3112"/>
      <c r="L104" s="3112"/>
      <c r="M104" s="3112"/>
      <c r="N104" s="209"/>
      <c r="O104" s="1786"/>
      <c r="P104" s="3806"/>
      <c r="Q104" s="3806"/>
      <c r="R104" s="3806"/>
      <c r="S104" s="4323" t="s">
        <v>20</v>
      </c>
    </row>
    <row r="105" spans="1:37" ht="30" customHeight="1">
      <c r="B105" s="210"/>
      <c r="C105" s="881">
        <v>1</v>
      </c>
      <c r="D105" s="881"/>
      <c r="E105" s="3101" t="s">
        <v>455</v>
      </c>
      <c r="F105" s="3101"/>
      <c r="G105" s="3101"/>
      <c r="H105" s="3101"/>
      <c r="I105" s="3101"/>
      <c r="J105" s="3101"/>
      <c r="K105" s="3101"/>
      <c r="L105" s="3101"/>
      <c r="M105" s="3101"/>
      <c r="N105" s="877">
        <v>1</v>
      </c>
      <c r="O105" s="4247">
        <f>score901.13</f>
        <v>0</v>
      </c>
      <c r="P105" s="3806"/>
      <c r="Q105" s="3806"/>
      <c r="R105" s="3806"/>
      <c r="S105" s="4323"/>
    </row>
    <row r="106" spans="1:37" ht="30" customHeight="1" thickBot="1">
      <c r="B106" s="210"/>
      <c r="C106" s="882">
        <v>2</v>
      </c>
      <c r="D106" s="882"/>
      <c r="E106" s="4070" t="s">
        <v>456</v>
      </c>
      <c r="F106" s="4070"/>
      <c r="G106" s="4070"/>
      <c r="H106" s="4070"/>
      <c r="I106" s="4070"/>
      <c r="J106" s="4070"/>
      <c r="K106" s="4070"/>
      <c r="L106" s="4070"/>
      <c r="M106" s="4070"/>
      <c r="N106" s="876">
        <v>1</v>
      </c>
      <c r="O106" s="4247"/>
      <c r="P106" s="3806"/>
      <c r="Q106" s="3806"/>
      <c r="R106" s="3806"/>
      <c r="S106" s="4324"/>
    </row>
    <row r="107" spans="1:37" ht="30" customHeight="1" thickTop="1">
      <c r="B107" s="950">
        <v>901.14</v>
      </c>
      <c r="C107" s="186"/>
      <c r="D107" s="186"/>
      <c r="E107" s="4326" t="s">
        <v>2835</v>
      </c>
      <c r="F107" s="4326"/>
      <c r="G107" s="4326"/>
      <c r="H107" s="4326"/>
      <c r="I107" s="4326"/>
      <c r="J107" s="4326"/>
      <c r="K107" s="4326"/>
      <c r="L107" s="4326"/>
      <c r="M107" s="4326"/>
      <c r="N107" s="4326"/>
      <c r="O107" s="4327"/>
      <c r="P107" s="4431"/>
      <c r="Q107" s="4432"/>
      <c r="R107" s="4433"/>
      <c r="S107" s="4317" t="s">
        <v>20</v>
      </c>
    </row>
    <row r="108" spans="1:37" ht="30" customHeight="1">
      <c r="B108" s="2129"/>
      <c r="C108" s="2102"/>
      <c r="D108" s="2131" t="s">
        <v>2833</v>
      </c>
      <c r="E108" s="3101" t="s">
        <v>2836</v>
      </c>
      <c r="F108" s="3101"/>
      <c r="G108" s="3101"/>
      <c r="H108" s="3101"/>
      <c r="I108" s="3101"/>
      <c r="J108" s="3101"/>
      <c r="K108" s="3101"/>
      <c r="L108" s="3101"/>
      <c r="M108" s="3101"/>
      <c r="N108" s="2100">
        <v>1</v>
      </c>
      <c r="O108" s="2130"/>
      <c r="P108" s="2655"/>
      <c r="Q108" s="2655"/>
      <c r="R108" s="2656"/>
      <c r="S108" s="4280"/>
    </row>
    <row r="109" spans="1:37" ht="30" customHeight="1">
      <c r="B109" s="2129"/>
      <c r="C109" s="2102"/>
      <c r="D109" s="2131" t="s">
        <v>2834</v>
      </c>
      <c r="E109" s="4325" t="s">
        <v>2837</v>
      </c>
      <c r="F109" s="4325"/>
      <c r="G109" s="4325"/>
      <c r="H109" s="4325"/>
      <c r="I109" s="4325"/>
      <c r="J109" s="4325"/>
      <c r="K109" s="4325"/>
      <c r="L109" s="4325"/>
      <c r="M109" s="4325"/>
      <c r="N109" s="2100">
        <v>1</v>
      </c>
      <c r="O109" s="2130"/>
      <c r="P109" s="2654"/>
      <c r="Q109" s="2654"/>
      <c r="R109" s="2657"/>
      <c r="S109" s="4280"/>
    </row>
    <row r="110" spans="1:37" s="113" customFormat="1" ht="30" customHeight="1">
      <c r="A110" s="871"/>
      <c r="B110" s="4318"/>
      <c r="C110" s="4319"/>
      <c r="D110" s="4319"/>
      <c r="E110" s="3632" t="s">
        <v>1451</v>
      </c>
      <c r="F110" s="3632"/>
      <c r="G110" s="3632"/>
      <c r="H110" s="3632"/>
      <c r="I110" s="3632"/>
      <c r="J110" s="3632"/>
      <c r="K110" s="3632"/>
      <c r="L110" s="3632"/>
      <c r="M110" s="3632"/>
      <c r="N110" s="4320" t="str">
        <f>IF(AND(startSingleorMulti="Multi-Unit", startMultiUnits&gt;=2), "This project is labelled Multi-Unit &amp; has 2 or more units. It is eligible for points in 901.14.", "This project must be labelled Multi-Unit &amp; have 2 or more units (see Start Here! worksheet) to claim points for 901.14.")</f>
        <v>This project must be labelled Multi-Unit &amp; have 2 or more units (see Start Here! worksheet) to claim points for 901.14.</v>
      </c>
      <c r="O110" s="4321"/>
      <c r="P110" s="4322"/>
      <c r="Q110" s="4322"/>
      <c r="R110" s="4322"/>
      <c r="S110" s="4274"/>
      <c r="X110" s="8"/>
      <c r="Y110" s="8"/>
      <c r="Z110" s="8"/>
      <c r="AA110" s="8"/>
      <c r="AB110" s="8"/>
      <c r="AC110" s="8"/>
      <c r="AD110" s="8"/>
      <c r="AE110" s="8"/>
      <c r="AF110" s="8"/>
      <c r="AG110" s="8"/>
      <c r="AH110" s="8"/>
      <c r="AI110" s="8"/>
      <c r="AJ110" s="8"/>
      <c r="AK110" s="8"/>
    </row>
    <row r="111" spans="1:37">
      <c r="B111" s="3011" t="s">
        <v>457</v>
      </c>
      <c r="C111" s="3011"/>
      <c r="D111" s="3011"/>
      <c r="E111" s="3011"/>
      <c r="F111" s="3011"/>
      <c r="G111" s="3011"/>
      <c r="H111" s="3011"/>
      <c r="I111" s="3011"/>
      <c r="J111" s="3011"/>
      <c r="K111" s="3011"/>
      <c r="L111" s="3011"/>
      <c r="M111" s="3011"/>
      <c r="N111" s="3011"/>
      <c r="O111" s="3011"/>
      <c r="P111" s="3011"/>
      <c r="Q111" s="3011"/>
      <c r="R111" s="3011"/>
      <c r="S111" s="3011"/>
    </row>
    <row r="112" spans="1:37" ht="15" customHeight="1" thickBot="1">
      <c r="B112" s="118">
        <v>902</v>
      </c>
      <c r="C112" s="219"/>
      <c r="D112" s="219"/>
      <c r="E112" s="3111" t="s">
        <v>1452</v>
      </c>
      <c r="F112" s="3111"/>
      <c r="G112" s="3111"/>
      <c r="H112" s="3111"/>
      <c r="I112" s="3111"/>
      <c r="J112" s="3111"/>
      <c r="K112" s="3111"/>
      <c r="L112" s="3111"/>
      <c r="M112" s="3111"/>
      <c r="N112" s="856"/>
      <c r="O112" s="856"/>
      <c r="P112" s="3111"/>
      <c r="Q112" s="3111"/>
      <c r="R112" s="4316"/>
      <c r="S112" s="873"/>
    </row>
    <row r="113" spans="2:19" ht="16" thickTop="1">
      <c r="B113" s="861">
        <v>902.1</v>
      </c>
      <c r="C113" s="862"/>
      <c r="D113" s="862"/>
      <c r="E113" s="3411" t="s">
        <v>458</v>
      </c>
      <c r="F113" s="3411"/>
      <c r="G113" s="3411"/>
      <c r="H113" s="3411"/>
      <c r="I113" s="3411"/>
      <c r="J113" s="3411"/>
      <c r="K113" s="3411"/>
      <c r="L113" s="3411"/>
      <c r="M113" s="3411"/>
      <c r="N113" s="857"/>
      <c r="O113" s="880"/>
      <c r="P113" s="4202"/>
      <c r="Q113" s="4202"/>
      <c r="R113" s="4313"/>
      <c r="S113" s="872"/>
    </row>
    <row r="114" spans="2:19">
      <c r="B114" s="912" t="s">
        <v>459</v>
      </c>
      <c r="C114" s="896"/>
      <c r="D114" s="862"/>
      <c r="E114" s="3065" t="s">
        <v>460</v>
      </c>
      <c r="F114" s="3065"/>
      <c r="G114" s="3065"/>
      <c r="H114" s="3065"/>
      <c r="I114" s="3065"/>
      <c r="J114" s="3065"/>
      <c r="K114" s="3065"/>
      <c r="L114" s="3065"/>
      <c r="M114" s="3065"/>
      <c r="N114" s="857"/>
      <c r="O114" s="880"/>
      <c r="P114" s="4314"/>
      <c r="Q114" s="4314"/>
      <c r="R114" s="4315"/>
      <c r="S114" s="872"/>
    </row>
    <row r="115" spans="2:19" ht="45" customHeight="1">
      <c r="B115" s="913"/>
      <c r="C115" s="54">
        <v>1</v>
      </c>
      <c r="D115" s="867"/>
      <c r="E115" s="3065" t="s">
        <v>1456</v>
      </c>
      <c r="F115" s="3065"/>
      <c r="G115" s="3065"/>
      <c r="H115" s="3065"/>
      <c r="I115" s="3065"/>
      <c r="J115" s="3065"/>
      <c r="K115" s="3065"/>
      <c r="L115" s="3065"/>
      <c r="M115" s="3065"/>
      <c r="N115" s="870" t="s">
        <v>3</v>
      </c>
      <c r="O115" s="1396"/>
      <c r="P115" s="3633"/>
      <c r="Q115" s="3486"/>
      <c r="R115" s="3486"/>
      <c r="S115" s="4311" t="s">
        <v>20</v>
      </c>
    </row>
    <row r="116" spans="2:19" ht="15" customHeight="1">
      <c r="B116" s="913"/>
      <c r="C116" s="54"/>
      <c r="D116" s="867"/>
      <c r="E116" s="3063"/>
      <c r="F116" s="3063"/>
      <c r="G116" s="3063"/>
      <c r="H116" s="3063"/>
      <c r="I116" s="3063"/>
      <c r="J116" s="3063"/>
      <c r="K116" s="3063"/>
      <c r="L116" s="3063"/>
      <c r="M116" s="3063"/>
      <c r="N116" s="914">
        <v>1</v>
      </c>
      <c r="O116" s="865">
        <f>score902.1.1_1</f>
        <v>0</v>
      </c>
      <c r="P116" s="3634"/>
      <c r="Q116" s="3635"/>
      <c r="R116" s="3635"/>
      <c r="S116" s="4312"/>
    </row>
    <row r="117" spans="2:19" ht="30" customHeight="1">
      <c r="B117" s="913"/>
      <c r="C117" s="895">
        <v>2</v>
      </c>
      <c r="D117" s="859"/>
      <c r="E117" s="3086" t="s">
        <v>461</v>
      </c>
      <c r="F117" s="3086"/>
      <c r="G117" s="3086"/>
      <c r="H117" s="3086"/>
      <c r="I117" s="3086"/>
      <c r="J117" s="3086"/>
      <c r="K117" s="3086"/>
      <c r="L117" s="3086"/>
      <c r="M117" s="3086"/>
      <c r="N117" s="566" t="s">
        <v>339</v>
      </c>
      <c r="O117" s="947"/>
      <c r="P117" s="3819"/>
      <c r="Q117" s="3820"/>
      <c r="R117" s="3820"/>
      <c r="S117" s="1601" t="s">
        <v>20</v>
      </c>
    </row>
    <row r="118" spans="2:19" ht="45" customHeight="1">
      <c r="B118" s="913"/>
      <c r="C118" s="895">
        <v>3</v>
      </c>
      <c r="D118" s="859"/>
      <c r="E118" s="3086" t="s">
        <v>462</v>
      </c>
      <c r="F118" s="3086"/>
      <c r="G118" s="3086"/>
      <c r="H118" s="3086"/>
      <c r="I118" s="3086"/>
      <c r="J118" s="3086"/>
      <c r="K118" s="3086"/>
      <c r="L118" s="3086"/>
      <c r="M118" s="3086"/>
      <c r="N118" s="28">
        <v>8</v>
      </c>
      <c r="O118" s="814"/>
      <c r="P118" s="3819"/>
      <c r="Q118" s="3820"/>
      <c r="R118" s="3820"/>
      <c r="S118" s="1601" t="s">
        <v>20</v>
      </c>
    </row>
    <row r="119" spans="2:19" ht="30" customHeight="1">
      <c r="B119" s="213" t="s">
        <v>463</v>
      </c>
      <c r="C119" s="883"/>
      <c r="D119" s="883"/>
      <c r="E119" s="4070" t="s">
        <v>1457</v>
      </c>
      <c r="F119" s="4070"/>
      <c r="G119" s="4070"/>
      <c r="H119" s="4070"/>
      <c r="I119" s="4070"/>
      <c r="J119" s="4070"/>
      <c r="K119" s="4070"/>
      <c r="L119" s="4070"/>
      <c r="M119" s="4070"/>
      <c r="N119" s="4146" t="s">
        <v>1459</v>
      </c>
      <c r="O119" s="1763"/>
      <c r="P119" s="3669"/>
      <c r="Q119" s="3669"/>
      <c r="R119" s="3669"/>
      <c r="S119" s="4306" t="s">
        <v>20</v>
      </c>
    </row>
    <row r="120" spans="2:19" s="8" customFormat="1" ht="30" customHeight="1">
      <c r="B120" s="189"/>
      <c r="C120" s="695"/>
      <c r="D120" s="695"/>
      <c r="E120" s="3632" t="s">
        <v>1458</v>
      </c>
      <c r="F120" s="3632"/>
      <c r="G120" s="3632"/>
      <c r="H120" s="3632"/>
      <c r="I120" s="3632"/>
      <c r="J120" s="3632"/>
      <c r="K120" s="3632"/>
      <c r="L120" s="3632"/>
      <c r="M120" s="3632"/>
      <c r="N120" s="4152"/>
      <c r="O120" s="874">
        <f>score902.1.2</f>
        <v>0</v>
      </c>
      <c r="P120" s="3635"/>
      <c r="Q120" s="3635"/>
      <c r="R120" s="3635"/>
      <c r="S120" s="4307"/>
    </row>
    <row r="121" spans="2:19" ht="60" customHeight="1">
      <c r="B121" s="945" t="s">
        <v>464</v>
      </c>
      <c r="C121" s="527"/>
      <c r="D121" s="527"/>
      <c r="E121" s="4292" t="s">
        <v>465</v>
      </c>
      <c r="F121" s="4292"/>
      <c r="G121" s="4292"/>
      <c r="H121" s="4292"/>
      <c r="I121" s="4292"/>
      <c r="J121" s="4292"/>
      <c r="K121" s="4292"/>
      <c r="L121" s="4292"/>
      <c r="M121" s="4292"/>
      <c r="N121" s="819">
        <v>8</v>
      </c>
      <c r="O121" s="814"/>
      <c r="P121" s="3819"/>
      <c r="Q121" s="3820"/>
      <c r="R121" s="3820"/>
      <c r="S121" s="915" t="s">
        <v>20</v>
      </c>
    </row>
    <row r="122" spans="2:19" ht="25" customHeight="1">
      <c r="B122" s="213" t="s">
        <v>466</v>
      </c>
      <c r="C122" s="883"/>
      <c r="D122" s="883"/>
      <c r="E122" s="4070" t="s">
        <v>467</v>
      </c>
      <c r="F122" s="4070"/>
      <c r="G122" s="4070"/>
      <c r="H122" s="4070"/>
      <c r="I122" s="4070"/>
      <c r="J122" s="4070"/>
      <c r="K122" s="4070"/>
      <c r="L122" s="4070"/>
      <c r="M122" s="4070"/>
      <c r="N122" s="876" t="s">
        <v>257</v>
      </c>
      <c r="O122" s="944">
        <f>score902.1.4</f>
        <v>0</v>
      </c>
      <c r="P122" s="3669"/>
      <c r="Q122" s="3669"/>
      <c r="R122" s="3669"/>
      <c r="S122" s="4308" t="s">
        <v>20</v>
      </c>
    </row>
    <row r="123" spans="2:19" ht="30" customHeight="1">
      <c r="B123" s="210"/>
      <c r="C123" s="881">
        <v>1</v>
      </c>
      <c r="D123" s="881"/>
      <c r="E123" s="3101" t="s">
        <v>1467</v>
      </c>
      <c r="F123" s="3101"/>
      <c r="G123" s="3101"/>
      <c r="H123" s="3101"/>
      <c r="I123" s="3101"/>
      <c r="J123" s="3101"/>
      <c r="K123" s="3101"/>
      <c r="L123" s="3101"/>
      <c r="M123" s="3101"/>
      <c r="N123" s="877" t="s">
        <v>1464</v>
      </c>
      <c r="O123" s="1756"/>
      <c r="P123" s="3486"/>
      <c r="Q123" s="3486"/>
      <c r="R123" s="3486"/>
      <c r="S123" s="4309"/>
    </row>
    <row r="124" spans="2:19" ht="30" customHeight="1" thickBot="1">
      <c r="B124" s="210"/>
      <c r="C124" s="882">
        <v>2</v>
      </c>
      <c r="D124" s="882"/>
      <c r="E124" s="4070" t="s">
        <v>1466</v>
      </c>
      <c r="F124" s="4070"/>
      <c r="G124" s="4070"/>
      <c r="H124" s="4070"/>
      <c r="I124" s="4070"/>
      <c r="J124" s="4070"/>
      <c r="K124" s="4070"/>
      <c r="L124" s="4070"/>
      <c r="M124" s="4070"/>
      <c r="N124" s="946" t="s">
        <v>1465</v>
      </c>
      <c r="O124" s="1756"/>
      <c r="P124" s="3488"/>
      <c r="Q124" s="3488"/>
      <c r="R124" s="3488"/>
      <c r="S124" s="4310"/>
    </row>
    <row r="125" spans="2:19" ht="16" thickTop="1">
      <c r="B125" s="864">
        <v>902.2</v>
      </c>
      <c r="C125" s="886"/>
      <c r="D125" s="886"/>
      <c r="E125" s="4293" t="s">
        <v>468</v>
      </c>
      <c r="F125" s="4293"/>
      <c r="G125" s="4293"/>
      <c r="H125" s="4293"/>
      <c r="I125" s="4293"/>
      <c r="J125" s="4293"/>
      <c r="K125" s="4293"/>
      <c r="L125" s="4293"/>
      <c r="M125" s="4293"/>
      <c r="N125" s="860"/>
      <c r="O125" s="909"/>
      <c r="P125" s="4301"/>
      <c r="Q125" s="4301"/>
      <c r="R125" s="4302"/>
      <c r="S125" s="916"/>
    </row>
    <row r="126" spans="2:19" ht="45" customHeight="1">
      <c r="B126" s="3982" t="s">
        <v>1477</v>
      </c>
      <c r="C126" s="4294"/>
      <c r="D126" s="884"/>
      <c r="E126" s="3101" t="s">
        <v>1478</v>
      </c>
      <c r="F126" s="3101"/>
      <c r="G126" s="3101"/>
      <c r="H126" s="3101"/>
      <c r="I126" s="3101"/>
      <c r="J126" s="3101"/>
      <c r="K126" s="3101"/>
      <c r="L126" s="3101"/>
      <c r="M126" s="3101"/>
      <c r="N126" s="877"/>
      <c r="O126" s="4295">
        <f>score902.2.1</f>
        <v>0</v>
      </c>
      <c r="P126" s="4303"/>
      <c r="Q126" s="3438"/>
      <c r="R126" s="4304"/>
      <c r="S126" s="937"/>
    </row>
    <row r="127" spans="2:19" ht="23.25" customHeight="1">
      <c r="B127" s="938"/>
      <c r="C127" s="939"/>
      <c r="D127" s="884"/>
      <c r="E127" s="4279" t="s">
        <v>469</v>
      </c>
      <c r="F127" s="4279"/>
      <c r="G127" s="4305" t="str">
        <f>IF(AND(OR(choice902.2.1="N/A - air infiltration rate greater than 5 ACH50",choice902.2.1="Not Met"),OR(AND(ch7blowerdoor&lt;&gt;"",ch7blowerdoor&lt;5),AND(ch7ACH50&lt;&gt;"",ch7ACH50&lt;5))),"WARNING! The expected ACH50 entered in 701.4.3.2 or 704.5.2.1 is less than 5 ACH50, making 902.2.1 mandatory.","")</f>
        <v/>
      </c>
      <c r="H127" s="4305"/>
      <c r="I127" s="4305"/>
      <c r="J127" s="4305"/>
      <c r="K127" s="4305"/>
      <c r="L127" s="4305"/>
      <c r="M127" s="4305"/>
      <c r="N127" s="877"/>
      <c r="O127" s="4296"/>
      <c r="P127" s="4303"/>
      <c r="Q127" s="3438"/>
      <c r="R127" s="4282"/>
      <c r="S127" s="924"/>
    </row>
    <row r="128" spans="2:19" ht="18.75" customHeight="1">
      <c r="B128" s="940"/>
      <c r="C128" s="941">
        <v>1</v>
      </c>
      <c r="D128" s="881"/>
      <c r="E128" s="3101" t="s">
        <v>470</v>
      </c>
      <c r="F128" s="3101"/>
      <c r="G128" s="3101"/>
      <c r="H128" s="3101"/>
      <c r="I128" s="3101"/>
      <c r="J128" s="3101"/>
      <c r="K128" s="3101"/>
      <c r="L128" s="3101"/>
      <c r="M128" s="3101"/>
      <c r="N128" s="877">
        <v>3</v>
      </c>
      <c r="O128" s="4297"/>
      <c r="P128" s="3486"/>
      <c r="Q128" s="3486"/>
      <c r="R128" s="3934"/>
      <c r="S128" s="4280" t="s">
        <v>20</v>
      </c>
    </row>
    <row r="129" spans="2:20" ht="30" customHeight="1">
      <c r="B129" s="940"/>
      <c r="C129" s="942">
        <v>2</v>
      </c>
      <c r="D129" s="818"/>
      <c r="E129" s="4292" t="s">
        <v>471</v>
      </c>
      <c r="F129" s="4292"/>
      <c r="G129" s="4292"/>
      <c r="H129" s="4292"/>
      <c r="I129" s="4292"/>
      <c r="J129" s="4292"/>
      <c r="K129" s="4292"/>
      <c r="L129" s="4292"/>
      <c r="M129" s="4292"/>
      <c r="N129" s="819">
        <v>6</v>
      </c>
      <c r="O129" s="4298"/>
      <c r="P129" s="3486"/>
      <c r="Q129" s="3486"/>
      <c r="R129" s="3934"/>
      <c r="S129" s="4280"/>
    </row>
    <row r="130" spans="2:20" ht="15" customHeight="1">
      <c r="B130" s="940"/>
      <c r="C130" s="942">
        <v>3</v>
      </c>
      <c r="D130" s="818"/>
      <c r="E130" s="4292" t="s">
        <v>472</v>
      </c>
      <c r="F130" s="4292"/>
      <c r="G130" s="4292"/>
      <c r="H130" s="4292"/>
      <c r="I130" s="4292"/>
      <c r="J130" s="4292"/>
      <c r="K130" s="4292"/>
      <c r="L130" s="4292"/>
      <c r="M130" s="4292"/>
      <c r="N130" s="819">
        <v>7</v>
      </c>
      <c r="O130" s="4298"/>
      <c r="P130" s="3486"/>
      <c r="Q130" s="3486"/>
      <c r="R130" s="3934"/>
      <c r="S130" s="4280"/>
    </row>
    <row r="131" spans="2:20" ht="15" customHeight="1">
      <c r="B131" s="940"/>
      <c r="C131" s="943">
        <v>4</v>
      </c>
      <c r="D131" s="882"/>
      <c r="E131" s="4070" t="s">
        <v>473</v>
      </c>
      <c r="F131" s="4070"/>
      <c r="G131" s="4070"/>
      <c r="H131" s="4070"/>
      <c r="I131" s="4070"/>
      <c r="J131" s="4070"/>
      <c r="K131" s="4070"/>
      <c r="L131" s="4070"/>
      <c r="M131" s="4070"/>
      <c r="N131" s="4146">
        <v>8</v>
      </c>
      <c r="O131" s="4298"/>
      <c r="P131" s="3486"/>
      <c r="Q131" s="3486"/>
      <c r="R131" s="3934"/>
      <c r="S131" s="4280"/>
      <c r="T131"/>
    </row>
    <row r="132" spans="2:20" ht="15" customHeight="1">
      <c r="B132" s="938"/>
      <c r="C132" s="939"/>
      <c r="D132" s="884"/>
      <c r="E132" s="3548" t="s">
        <v>474</v>
      </c>
      <c r="F132" s="3548"/>
      <c r="G132" s="3548"/>
      <c r="H132" s="3548"/>
      <c r="I132" s="3548"/>
      <c r="J132" s="3548"/>
      <c r="K132" s="3548"/>
      <c r="L132" s="3548"/>
      <c r="M132" s="3548"/>
      <c r="N132" s="4152"/>
      <c r="O132" s="4299"/>
      <c r="P132" s="3635"/>
      <c r="Q132" s="3635"/>
      <c r="R132" s="3782"/>
      <c r="S132" s="4300"/>
    </row>
    <row r="133" spans="2:20" ht="30" customHeight="1">
      <c r="B133" s="213" t="s">
        <v>475</v>
      </c>
      <c r="C133" s="883"/>
      <c r="D133" s="883"/>
      <c r="E133" s="4070" t="s">
        <v>1484</v>
      </c>
      <c r="F133" s="4070"/>
      <c r="G133" s="4070"/>
      <c r="H133" s="4070"/>
      <c r="I133" s="4070"/>
      <c r="J133" s="4070"/>
      <c r="K133" s="4070"/>
      <c r="L133" s="4070"/>
      <c r="M133" s="4070"/>
      <c r="N133" s="4146">
        <v>4</v>
      </c>
      <c r="O133" s="3465"/>
      <c r="P133" s="3669"/>
      <c r="Q133" s="3669"/>
      <c r="R133" s="3670"/>
      <c r="S133" s="4273" t="s">
        <v>20</v>
      </c>
    </row>
    <row r="134" spans="2:20" ht="15" customHeight="1">
      <c r="B134" s="212"/>
      <c r="C134" s="884"/>
      <c r="D134" s="884"/>
      <c r="E134" s="3548" t="s">
        <v>474</v>
      </c>
      <c r="F134" s="3548"/>
      <c r="G134" s="3548"/>
      <c r="H134" s="3548"/>
      <c r="I134" s="3548"/>
      <c r="J134" s="3548"/>
      <c r="K134" s="3548"/>
      <c r="L134" s="3548"/>
      <c r="M134" s="3548"/>
      <c r="N134" s="4152"/>
      <c r="O134" s="3465"/>
      <c r="P134" s="3635"/>
      <c r="Q134" s="3635"/>
      <c r="R134" s="3782"/>
      <c r="S134" s="4281"/>
    </row>
    <row r="135" spans="2:20" ht="45" customHeight="1">
      <c r="B135" s="4285" t="s">
        <v>1485</v>
      </c>
      <c r="C135" s="4286"/>
      <c r="D135" s="4287"/>
      <c r="E135" s="4070" t="s">
        <v>1486</v>
      </c>
      <c r="F135" s="4070"/>
      <c r="G135" s="4070"/>
      <c r="H135" s="4070"/>
      <c r="I135" s="4070"/>
      <c r="J135" s="4070"/>
      <c r="K135" s="4070"/>
      <c r="L135" s="4070"/>
      <c r="M135" s="4070"/>
      <c r="N135" s="4146">
        <v>3</v>
      </c>
      <c r="O135" s="4290"/>
      <c r="P135" s="3669"/>
      <c r="Q135" s="3669"/>
      <c r="R135" s="3670"/>
      <c r="S135" s="4427" t="s">
        <v>20</v>
      </c>
    </row>
    <row r="136" spans="2:20" ht="18" customHeight="1" thickBot="1">
      <c r="B136" s="3983"/>
      <c r="C136" s="3985"/>
      <c r="D136" s="4288"/>
      <c r="E136" s="4289" t="str">
        <f>IF(AND(claim703.3.1&lt;&gt;"",claim703.3.2&lt;&gt;""),"If points are claimed in 703.3.1 and 703.3.2, then points are not available for 902.2.3.","")</f>
        <v/>
      </c>
      <c r="F136" s="4289"/>
      <c r="G136" s="4289"/>
      <c r="H136" s="4289"/>
      <c r="I136" s="4289"/>
      <c r="J136" s="4289"/>
      <c r="K136" s="4289"/>
      <c r="L136" s="4289"/>
      <c r="M136" s="4289"/>
      <c r="N136" s="4147"/>
      <c r="O136" s="4291"/>
      <c r="P136" s="3709"/>
      <c r="Q136" s="3709"/>
      <c r="R136" s="4256"/>
      <c r="S136" s="4428"/>
    </row>
    <row r="137" spans="2:20" ht="30.75" customHeight="1" thickTop="1">
      <c r="B137" s="185">
        <v>902.3</v>
      </c>
      <c r="C137" s="186"/>
      <c r="D137" s="186"/>
      <c r="E137" s="4278" t="s">
        <v>476</v>
      </c>
      <c r="F137" s="4278"/>
      <c r="G137" s="4278"/>
      <c r="H137" s="4278"/>
      <c r="I137" s="4278"/>
      <c r="J137" s="4278"/>
      <c r="K137" s="4278"/>
      <c r="L137" s="4278"/>
      <c r="M137" s="4278"/>
      <c r="N137" s="160"/>
      <c r="O137" s="160"/>
      <c r="P137" s="3520"/>
      <c r="Q137" s="3520"/>
      <c r="R137" s="4284"/>
      <c r="S137" s="929"/>
    </row>
    <row r="138" spans="2:20">
      <c r="B138" s="212"/>
      <c r="C138" s="884"/>
      <c r="D138" s="884"/>
      <c r="E138" s="4279" t="s">
        <v>477</v>
      </c>
      <c r="F138" s="4279"/>
      <c r="G138" s="4279"/>
      <c r="H138" s="4279"/>
      <c r="I138" s="4279"/>
      <c r="J138" s="4279"/>
      <c r="K138" s="4279"/>
      <c r="L138" s="4279"/>
      <c r="M138" s="4279"/>
      <c r="N138" s="877"/>
      <c r="O138" s="868"/>
      <c r="P138" s="3438"/>
      <c r="Q138" s="3438"/>
      <c r="R138" s="4282"/>
      <c r="S138" s="924"/>
    </row>
    <row r="139" spans="2:20" ht="45" customHeight="1">
      <c r="B139" s="210"/>
      <c r="C139" s="881">
        <v>1</v>
      </c>
      <c r="D139" s="881"/>
      <c r="E139" s="3101" t="s">
        <v>1508</v>
      </c>
      <c r="F139" s="3101"/>
      <c r="G139" s="3101"/>
      <c r="H139" s="3101"/>
      <c r="I139" s="3101"/>
      <c r="J139" s="3101"/>
      <c r="K139" s="3101"/>
      <c r="L139" s="3101"/>
      <c r="M139" s="3101"/>
      <c r="N139" s="211" t="s">
        <v>478</v>
      </c>
      <c r="O139" s="925"/>
      <c r="P139" s="3486"/>
      <c r="Q139" s="3486"/>
      <c r="R139" s="3934"/>
      <c r="S139" s="4280" t="s">
        <v>20</v>
      </c>
    </row>
    <row r="140" spans="2:20">
      <c r="B140" s="210"/>
      <c r="C140" s="884"/>
      <c r="D140" s="883" t="s">
        <v>390</v>
      </c>
      <c r="E140" s="4070" t="s">
        <v>479</v>
      </c>
      <c r="F140" s="4070"/>
      <c r="G140" s="4070"/>
      <c r="H140" s="4070"/>
      <c r="I140" s="4070"/>
      <c r="J140" s="4070"/>
      <c r="K140" s="4070"/>
      <c r="L140" s="4070"/>
      <c r="M140" s="4070"/>
      <c r="N140" s="876">
        <v>7</v>
      </c>
      <c r="O140" s="4227" t="str">
        <f>score902.3_1</f>
        <v/>
      </c>
      <c r="P140" s="3486"/>
      <c r="Q140" s="3486"/>
      <c r="R140" s="3934"/>
      <c r="S140" s="4274"/>
    </row>
    <row r="141" spans="2:20" ht="30" customHeight="1">
      <c r="B141" s="210"/>
      <c r="C141" s="884"/>
      <c r="D141" s="883" t="s">
        <v>391</v>
      </c>
      <c r="E141" s="4070" t="s">
        <v>480</v>
      </c>
      <c r="F141" s="4070"/>
      <c r="G141" s="4070"/>
      <c r="H141" s="4070"/>
      <c r="I141" s="4070"/>
      <c r="J141" s="4070"/>
      <c r="K141" s="4070"/>
      <c r="L141" s="4070"/>
      <c r="M141" s="4070"/>
      <c r="N141" s="876">
        <v>10</v>
      </c>
      <c r="O141" s="4283"/>
      <c r="P141" s="3486"/>
      <c r="Q141" s="3486"/>
      <c r="R141" s="3934"/>
      <c r="S141" s="4274"/>
    </row>
    <row r="142" spans="2:20" ht="30" customHeight="1">
      <c r="B142" s="212"/>
      <c r="C142" s="526"/>
      <c r="D142" s="526"/>
      <c r="E142" s="3835" t="s">
        <v>481</v>
      </c>
      <c r="F142" s="3835"/>
      <c r="G142" s="3835"/>
      <c r="H142" s="3835"/>
      <c r="I142" s="3835"/>
      <c r="J142" s="3835"/>
      <c r="K142" s="3835"/>
      <c r="L142" s="3835"/>
      <c r="M142" s="3835"/>
      <c r="N142" s="936"/>
      <c r="O142" s="525"/>
      <c r="P142" s="3635"/>
      <c r="Q142" s="3635"/>
      <c r="R142" s="3782"/>
      <c r="S142" s="4281"/>
    </row>
    <row r="143" spans="2:20">
      <c r="B143" s="210"/>
      <c r="C143" s="881">
        <v>2</v>
      </c>
      <c r="D143" s="881"/>
      <c r="E143" s="3101" t="s">
        <v>2842</v>
      </c>
      <c r="F143" s="3101"/>
      <c r="G143" s="3101"/>
      <c r="H143" s="3101"/>
      <c r="I143" s="3101"/>
      <c r="J143" s="3101"/>
      <c r="K143" s="3101"/>
      <c r="L143" s="3101"/>
      <c r="M143" s="3101"/>
      <c r="N143" s="4146">
        <v>7</v>
      </c>
      <c r="O143" s="3465"/>
      <c r="P143" s="3669"/>
      <c r="Q143" s="3669"/>
      <c r="R143" s="3670"/>
      <c r="S143" s="4273" t="s">
        <v>20</v>
      </c>
    </row>
    <row r="144" spans="2:20" ht="15" customHeight="1">
      <c r="B144" s="210"/>
      <c r="C144" s="884"/>
      <c r="D144" s="884" t="s">
        <v>390</v>
      </c>
      <c r="E144" s="3101" t="s">
        <v>479</v>
      </c>
      <c r="F144" s="3101"/>
      <c r="G144" s="3101"/>
      <c r="H144" s="3101"/>
      <c r="I144" s="3101"/>
      <c r="J144" s="3101"/>
      <c r="K144" s="3101"/>
      <c r="L144" s="3101"/>
      <c r="M144" s="3101"/>
      <c r="N144" s="3149"/>
      <c r="O144" s="3465"/>
      <c r="P144" s="3486"/>
      <c r="Q144" s="3486"/>
      <c r="R144" s="3934"/>
      <c r="S144" s="4274"/>
    </row>
    <row r="145" spans="2:19" s="8" customFormat="1" ht="15" customHeight="1" thickBot="1">
      <c r="B145" s="189"/>
      <c r="C145" s="695"/>
      <c r="D145" s="695"/>
      <c r="E145" s="3548" t="s">
        <v>482</v>
      </c>
      <c r="F145" s="3548"/>
      <c r="G145" s="3548"/>
      <c r="H145" s="3548"/>
      <c r="I145" s="3548"/>
      <c r="J145" s="3548"/>
      <c r="K145" s="3548"/>
      <c r="L145" s="3548"/>
      <c r="M145" s="3548"/>
      <c r="N145" s="4147"/>
      <c r="O145" s="3703"/>
      <c r="P145" s="3709"/>
      <c r="Q145" s="3709"/>
      <c r="R145" s="4256"/>
      <c r="S145" s="4275"/>
    </row>
    <row r="146" spans="2:19" ht="48" customHeight="1" thickTop="1">
      <c r="B146" s="185">
        <v>902.4</v>
      </c>
      <c r="C146" s="186"/>
      <c r="D146" s="186"/>
      <c r="E146" s="3112" t="s">
        <v>483</v>
      </c>
      <c r="F146" s="3112"/>
      <c r="G146" s="3112"/>
      <c r="H146" s="3112"/>
      <c r="I146" s="3112"/>
      <c r="J146" s="3112"/>
      <c r="K146" s="3112"/>
      <c r="L146" s="3112"/>
      <c r="M146" s="3112"/>
      <c r="N146" s="209"/>
      <c r="O146" s="1786"/>
      <c r="P146" s="3516"/>
      <c r="Q146" s="3516"/>
      <c r="R146" s="3516"/>
      <c r="S146" s="1397"/>
    </row>
    <row r="147" spans="2:19" ht="60" customHeight="1">
      <c r="B147" s="210"/>
      <c r="C147" s="881">
        <v>1</v>
      </c>
      <c r="D147" s="881"/>
      <c r="E147" s="3101" t="s">
        <v>484</v>
      </c>
      <c r="F147" s="3101"/>
      <c r="G147" s="3101"/>
      <c r="H147" s="3101"/>
      <c r="I147" s="3101"/>
      <c r="J147" s="3101"/>
      <c r="K147" s="3101"/>
      <c r="L147" s="3101"/>
      <c r="M147" s="3101"/>
      <c r="N147" s="877">
        <v>3</v>
      </c>
      <c r="O147" s="4247">
        <f>score902.4</f>
        <v>0</v>
      </c>
      <c r="P147" s="3806"/>
      <c r="Q147" s="3806"/>
      <c r="R147" s="3806"/>
      <c r="S147" s="4276" t="s">
        <v>20</v>
      </c>
    </row>
    <row r="148" spans="2:19" ht="45" customHeight="1" thickBot="1">
      <c r="B148" s="210"/>
      <c r="C148" s="882">
        <v>2</v>
      </c>
      <c r="D148" s="882"/>
      <c r="E148" s="4070" t="s">
        <v>485</v>
      </c>
      <c r="F148" s="4070"/>
      <c r="G148" s="4070"/>
      <c r="H148" s="4070"/>
      <c r="I148" s="4070"/>
      <c r="J148" s="4070"/>
      <c r="K148" s="4070"/>
      <c r="L148" s="4070"/>
      <c r="M148" s="4070"/>
      <c r="N148" s="876">
        <v>3</v>
      </c>
      <c r="O148" s="4247"/>
      <c r="P148" s="4253"/>
      <c r="Q148" s="4254"/>
      <c r="R148" s="4255"/>
      <c r="S148" s="4277"/>
    </row>
    <row r="149" spans="2:19" ht="30" customHeight="1" thickTop="1" thickBot="1">
      <c r="B149" s="185">
        <v>902.5</v>
      </c>
      <c r="C149" s="186"/>
      <c r="D149" s="186"/>
      <c r="E149" s="3112" t="s">
        <v>486</v>
      </c>
      <c r="F149" s="3112"/>
      <c r="G149" s="3112"/>
      <c r="H149" s="3112"/>
      <c r="I149" s="3112"/>
      <c r="J149" s="3112"/>
      <c r="K149" s="3112"/>
      <c r="L149" s="3112"/>
      <c r="M149" s="3112"/>
      <c r="N149" s="209">
        <v>3</v>
      </c>
      <c r="O149" s="933"/>
      <c r="P149" s="4269"/>
      <c r="Q149" s="4270"/>
      <c r="R149" s="4271"/>
      <c r="S149" s="919" t="s">
        <v>20</v>
      </c>
    </row>
    <row r="150" spans="2:19" ht="41.25" customHeight="1" thickTop="1">
      <c r="B150" s="930">
        <v>902.6</v>
      </c>
      <c r="C150" s="931"/>
      <c r="D150" s="186"/>
      <c r="E150" s="3112" t="s">
        <v>1502</v>
      </c>
      <c r="F150" s="3112"/>
      <c r="G150" s="3112"/>
      <c r="H150" s="3112"/>
      <c r="I150" s="3112"/>
      <c r="J150" s="3112"/>
      <c r="K150" s="3112"/>
      <c r="L150" s="3112"/>
      <c r="M150" s="3112"/>
      <c r="N150" s="932" t="s">
        <v>3</v>
      </c>
      <c r="O150" s="934"/>
      <c r="P150" s="4268"/>
      <c r="Q150" s="3484"/>
      <c r="R150" s="3484"/>
      <c r="S150" s="935" t="s">
        <v>20</v>
      </c>
    </row>
    <row r="151" spans="2:19">
      <c r="B151" s="3011" t="s">
        <v>487</v>
      </c>
      <c r="C151" s="3011"/>
      <c r="D151" s="3011"/>
      <c r="E151" s="3011"/>
      <c r="F151" s="3011"/>
      <c r="G151" s="3011"/>
      <c r="H151" s="3011"/>
      <c r="I151" s="3011"/>
      <c r="J151" s="3011"/>
      <c r="K151" s="3011"/>
      <c r="L151" s="3011"/>
      <c r="M151" s="3011"/>
      <c r="N151" s="3011"/>
      <c r="O151" s="3011"/>
      <c r="P151" s="3011"/>
      <c r="Q151" s="3011"/>
      <c r="R151" s="3011"/>
      <c r="S151" s="3011"/>
    </row>
    <row r="152" spans="2:19" ht="15" customHeight="1" thickBot="1">
      <c r="B152" s="522">
        <v>903</v>
      </c>
      <c r="C152" s="927"/>
      <c r="D152" s="927"/>
      <c r="E152" s="3981" t="s">
        <v>1501</v>
      </c>
      <c r="F152" s="3981"/>
      <c r="G152" s="3981"/>
      <c r="H152" s="3981"/>
      <c r="I152" s="3981"/>
      <c r="J152" s="3981"/>
      <c r="K152" s="3981"/>
      <c r="L152" s="3981"/>
      <c r="M152" s="3981"/>
      <c r="N152" s="878"/>
      <c r="O152" s="878"/>
      <c r="P152" s="3981"/>
      <c r="Q152" s="3981"/>
      <c r="R152" s="4272"/>
      <c r="S152" s="928"/>
    </row>
    <row r="153" spans="2:19" ht="16" thickTop="1">
      <c r="B153" s="185">
        <v>903.1</v>
      </c>
      <c r="C153" s="186"/>
      <c r="D153" s="186"/>
      <c r="E153" s="3203" t="s">
        <v>500</v>
      </c>
      <c r="F153" s="3203"/>
      <c r="G153" s="3203"/>
      <c r="H153" s="3203"/>
      <c r="I153" s="3203"/>
      <c r="J153" s="3203"/>
      <c r="K153" s="3203"/>
      <c r="L153" s="3203"/>
      <c r="M153" s="3203"/>
      <c r="N153" s="209"/>
      <c r="O153" s="1825"/>
      <c r="P153" s="3516"/>
      <c r="Q153" s="3516"/>
      <c r="R153" s="3516"/>
      <c r="S153" s="1397"/>
    </row>
    <row r="154" spans="2:19" ht="30" customHeight="1">
      <c r="B154" s="866" t="s">
        <v>1497</v>
      </c>
      <c r="C154" s="884"/>
      <c r="D154" s="884"/>
      <c r="E154" s="3101" t="s">
        <v>501</v>
      </c>
      <c r="F154" s="3101"/>
      <c r="G154" s="3101"/>
      <c r="H154" s="3101"/>
      <c r="I154" s="3101"/>
      <c r="J154" s="3101"/>
      <c r="K154" s="3101"/>
      <c r="L154" s="3101"/>
      <c r="M154" s="3101"/>
      <c r="N154" s="877">
        <v>2</v>
      </c>
      <c r="O154" s="4247">
        <f>score903.1</f>
        <v>0</v>
      </c>
      <c r="P154" s="4251"/>
      <c r="Q154" s="3708"/>
      <c r="R154" s="4252"/>
      <c r="S154" s="911" t="s">
        <v>20</v>
      </c>
    </row>
    <row r="155" spans="2:19" ht="30" customHeight="1" thickBot="1">
      <c r="B155" s="213" t="s">
        <v>1498</v>
      </c>
      <c r="C155" s="883"/>
      <c r="D155" s="883"/>
      <c r="E155" s="4070" t="s">
        <v>502</v>
      </c>
      <c r="F155" s="4070"/>
      <c r="G155" s="4070"/>
      <c r="H155" s="4070"/>
      <c r="I155" s="4070"/>
      <c r="J155" s="4070"/>
      <c r="K155" s="4070"/>
      <c r="L155" s="4070"/>
      <c r="M155" s="4070"/>
      <c r="N155" s="876">
        <v>5</v>
      </c>
      <c r="O155" s="3455"/>
      <c r="P155" s="4253"/>
      <c r="Q155" s="4254"/>
      <c r="R155" s="4255"/>
      <c r="S155" s="918" t="s">
        <v>20</v>
      </c>
    </row>
    <row r="156" spans="2:19" ht="78.75" customHeight="1" thickTop="1">
      <c r="B156" s="185">
        <v>903.2</v>
      </c>
      <c r="C156" s="186"/>
      <c r="D156" s="186"/>
      <c r="E156" s="3112" t="s">
        <v>1492</v>
      </c>
      <c r="F156" s="3112"/>
      <c r="G156" s="3112"/>
      <c r="H156" s="3112"/>
      <c r="I156" s="3112"/>
      <c r="J156" s="3112"/>
      <c r="K156" s="3112"/>
      <c r="L156" s="3112"/>
      <c r="M156" s="3112"/>
      <c r="N156" s="209"/>
      <c r="O156" s="1787"/>
      <c r="P156" s="3112"/>
      <c r="Q156" s="3112"/>
      <c r="R156" s="3112"/>
      <c r="S156" s="1398"/>
    </row>
    <row r="157" spans="2:19">
      <c r="B157" s="210"/>
      <c r="C157" s="881">
        <v>1</v>
      </c>
      <c r="D157" s="881"/>
      <c r="E157" s="3101" t="s">
        <v>1493</v>
      </c>
      <c r="F157" s="3101"/>
      <c r="G157" s="3101"/>
      <c r="H157" s="3101"/>
      <c r="I157" s="3101"/>
      <c r="J157" s="3101"/>
      <c r="K157" s="3101"/>
      <c r="L157" s="3101"/>
      <c r="M157" s="3101"/>
      <c r="N157" s="926">
        <v>1</v>
      </c>
      <c r="O157" s="4247">
        <f>score903.2</f>
        <v>0</v>
      </c>
      <c r="P157" s="4251"/>
      <c r="Q157" s="3708"/>
      <c r="R157" s="4252"/>
      <c r="S157" s="917" t="s">
        <v>20</v>
      </c>
    </row>
    <row r="158" spans="2:19" ht="30" customHeight="1" thickBot="1">
      <c r="B158" s="210"/>
      <c r="C158" s="882">
        <v>2</v>
      </c>
      <c r="D158" s="882"/>
      <c r="E158" s="4070" t="s">
        <v>1494</v>
      </c>
      <c r="F158" s="4070"/>
      <c r="G158" s="4070"/>
      <c r="H158" s="4070"/>
      <c r="I158" s="4070"/>
      <c r="J158" s="4070"/>
      <c r="K158" s="4070"/>
      <c r="L158" s="4070"/>
      <c r="M158" s="4070"/>
      <c r="N158" s="876">
        <v>3</v>
      </c>
      <c r="O158" s="3455"/>
      <c r="P158" s="4265"/>
      <c r="Q158" s="4266"/>
      <c r="R158" s="4267"/>
      <c r="S158" s="918" t="s">
        <v>20</v>
      </c>
    </row>
    <row r="159" spans="2:19" ht="51" customHeight="1" thickTop="1">
      <c r="B159" s="185">
        <v>903.3</v>
      </c>
      <c r="C159" s="186"/>
      <c r="D159" s="186"/>
      <c r="E159" s="3112" t="s">
        <v>1489</v>
      </c>
      <c r="F159" s="3112"/>
      <c r="G159" s="3112"/>
      <c r="H159" s="3112"/>
      <c r="I159" s="3112"/>
      <c r="J159" s="3112"/>
      <c r="K159" s="3112"/>
      <c r="L159" s="3112"/>
      <c r="M159" s="3112"/>
      <c r="N159" s="3148"/>
      <c r="O159" s="4260"/>
      <c r="P159" s="4263"/>
      <c r="Q159" s="4263"/>
      <c r="R159" s="4263"/>
      <c r="S159" s="1398"/>
    </row>
    <row r="160" spans="2:19" s="1402" customFormat="1" ht="25" customHeight="1">
      <c r="B160" s="1184"/>
      <c r="C160" s="1400"/>
      <c r="D160" s="1400"/>
      <c r="E160" s="4262" t="s">
        <v>490</v>
      </c>
      <c r="F160" s="4262"/>
      <c r="G160" s="4262"/>
      <c r="H160" s="4262"/>
      <c r="I160" s="4262"/>
      <c r="J160" s="4262"/>
      <c r="K160" s="4262"/>
      <c r="L160" s="4262"/>
      <c r="M160" s="4262"/>
      <c r="N160" s="3149"/>
      <c r="O160" s="4261"/>
      <c r="P160" s="3438"/>
      <c r="Q160" s="3438"/>
      <c r="R160" s="3438"/>
      <c r="S160" s="1401"/>
    </row>
    <row r="161" spans="2:19">
      <c r="B161" s="210"/>
      <c r="C161" s="881">
        <v>1</v>
      </c>
      <c r="D161" s="881"/>
      <c r="E161" s="3101" t="s">
        <v>503</v>
      </c>
      <c r="F161" s="3101"/>
      <c r="G161" s="3101"/>
      <c r="H161" s="3101"/>
      <c r="I161" s="3101"/>
      <c r="J161" s="3101"/>
      <c r="K161" s="3101"/>
      <c r="L161" s="3101"/>
      <c r="M161" s="3101"/>
      <c r="N161" s="877">
        <f>IF(E164="Points are available for this practice in the selected Climate Zone and Climate Type",7,0)</f>
        <v>0</v>
      </c>
      <c r="O161" s="4247">
        <f>score903.3</f>
        <v>0</v>
      </c>
      <c r="P161" s="4251"/>
      <c r="Q161" s="3708"/>
      <c r="R161" s="4252"/>
      <c r="S161" s="3689" t="s">
        <v>20</v>
      </c>
    </row>
    <row r="162" spans="2:19" ht="15" customHeight="1">
      <c r="B162" s="210"/>
      <c r="C162" s="882">
        <v>2</v>
      </c>
      <c r="D162" s="882"/>
      <c r="E162" s="4070" t="s">
        <v>504</v>
      </c>
      <c r="F162" s="4070"/>
      <c r="G162" s="4070"/>
      <c r="H162" s="4070"/>
      <c r="I162" s="4070"/>
      <c r="J162" s="4070"/>
      <c r="K162" s="4070"/>
      <c r="L162" s="4070"/>
      <c r="M162" s="4070"/>
      <c r="N162" s="876">
        <f>IF(E164="Points are available for this practice in the selected Climate Zone and Climate Type",7,0)</f>
        <v>0</v>
      </c>
      <c r="O162" s="4247"/>
      <c r="P162" s="3845"/>
      <c r="Q162" s="3845"/>
      <c r="R162" s="3845"/>
      <c r="S162" s="3689"/>
    </row>
    <row r="163" spans="2:19" ht="15" customHeight="1">
      <c r="B163" s="210"/>
      <c r="C163" s="1359"/>
      <c r="D163" s="1359"/>
      <c r="E163" s="3429" t="str">
        <f>IF(startClimateZone="", "No Climate Zone chosen. See Start Here! Worksheet.",CONCATENATE("Climate Zone ",startClimateZone," chosen."))</f>
        <v>No Climate Zone chosen. See Start Here! Worksheet.</v>
      </c>
      <c r="F163" s="3429"/>
      <c r="G163" s="3429"/>
      <c r="H163" s="3429"/>
      <c r="I163" s="3429" t="str">
        <f>IF(startClimateType="","Select a Climate Type on the Start Here! Worksheet",CONCATENATE("Climate Type ", startClimateType," chosen."))</f>
        <v>Select a Climate Type on the Start Here! Worksheet</v>
      </c>
      <c r="J163" s="3429"/>
      <c r="K163" s="3429"/>
      <c r="L163" s="3429"/>
      <c r="M163" s="3429"/>
      <c r="N163" s="1354"/>
      <c r="O163" s="4247"/>
      <c r="P163" s="4248"/>
      <c r="Q163" s="4248"/>
      <c r="R163" s="4248"/>
      <c r="S163" s="3689"/>
    </row>
    <row r="164" spans="2:19" ht="15" customHeight="1">
      <c r="B164" s="210"/>
      <c r="C164" s="1391"/>
      <c r="D164" s="1391"/>
      <c r="E164" s="4246" t="str">
        <f>IF(AND(OR(startClimateZone=1,startClimateZone=2,startClimateZone=3,startClimateZone=4,startClimateZone=5),OR(startClimateType="Warm-Humid",startClimateType="Moist")),"Points are available for this practice in the selected Climate Zone and Climate Type","Points are not available for this practice")</f>
        <v>Points are not available for this practice</v>
      </c>
      <c r="F164" s="4246"/>
      <c r="G164" s="4246"/>
      <c r="H164" s="4246"/>
      <c r="I164" s="4246"/>
      <c r="J164" s="4246"/>
      <c r="K164" s="4246"/>
      <c r="L164" s="4246"/>
      <c r="M164" s="4246"/>
      <c r="N164" s="1389"/>
      <c r="O164" s="4247"/>
      <c r="P164" s="4249"/>
      <c r="Q164" s="4249"/>
      <c r="R164" s="4249"/>
      <c r="S164" s="4250"/>
    </row>
    <row r="165" spans="2:19">
      <c r="B165" s="3011" t="s">
        <v>505</v>
      </c>
      <c r="C165" s="3011"/>
      <c r="D165" s="3011"/>
      <c r="E165" s="3011"/>
      <c r="F165" s="3011"/>
      <c r="G165" s="3011"/>
      <c r="H165" s="3011"/>
      <c r="I165" s="3011"/>
      <c r="J165" s="3011"/>
      <c r="K165" s="3011"/>
      <c r="L165" s="3011"/>
      <c r="M165" s="3011"/>
      <c r="N165" s="3011"/>
      <c r="O165" s="3011"/>
      <c r="P165" s="3011"/>
      <c r="Q165" s="3011"/>
      <c r="R165" s="3011"/>
      <c r="S165" s="3011"/>
    </row>
    <row r="166" spans="2:19" ht="85.5" customHeight="1" thickBot="1">
      <c r="B166" s="866">
        <v>904.1</v>
      </c>
      <c r="C166" s="884"/>
      <c r="D166" s="884"/>
      <c r="E166" s="3101" t="s">
        <v>1487</v>
      </c>
      <c r="F166" s="3101"/>
      <c r="G166" s="3101"/>
      <c r="H166" s="3101"/>
      <c r="I166" s="3101"/>
      <c r="J166" s="3101"/>
      <c r="K166" s="3101"/>
      <c r="L166" s="3101"/>
      <c r="M166" s="3101"/>
      <c r="N166" s="877">
        <v>2</v>
      </c>
      <c r="O166" s="510"/>
      <c r="P166" s="4193"/>
      <c r="Q166" s="3709"/>
      <c r="R166" s="4256"/>
      <c r="S166" s="1270" t="s">
        <v>20</v>
      </c>
    </row>
    <row r="167" spans="2:19" ht="30" customHeight="1" thickTop="1" thickBot="1">
      <c r="B167" s="920">
        <v>904.2</v>
      </c>
      <c r="C167" s="921"/>
      <c r="D167" s="921"/>
      <c r="E167" s="4264" t="s">
        <v>1488</v>
      </c>
      <c r="F167" s="4264"/>
      <c r="G167" s="4264"/>
      <c r="H167" s="4264"/>
      <c r="I167" s="4264"/>
      <c r="J167" s="4264"/>
      <c r="K167" s="4264"/>
      <c r="L167" s="4264"/>
      <c r="M167" s="4264"/>
      <c r="N167" s="922">
        <v>2</v>
      </c>
      <c r="O167" s="1322"/>
      <c r="P167" s="4257"/>
      <c r="Q167" s="4258"/>
      <c r="R167" s="4259"/>
      <c r="S167" s="1323" t="s">
        <v>20</v>
      </c>
    </row>
    <row r="168" spans="2:19" customFormat="1" ht="16" thickBot="1">
      <c r="B168" s="3659"/>
      <c r="C168" s="3659"/>
      <c r="D168" s="3659"/>
      <c r="E168" s="3659"/>
      <c r="F168" s="3659"/>
      <c r="G168" s="3659"/>
      <c r="H168" s="3659"/>
      <c r="I168" s="3659"/>
      <c r="J168" s="3659"/>
      <c r="K168" s="3659"/>
      <c r="L168" s="3659"/>
      <c r="M168" s="3659"/>
      <c r="N168" s="3659"/>
      <c r="O168" s="3659"/>
      <c r="P168" s="3659"/>
      <c r="Q168" s="3659"/>
      <c r="R168" s="3659"/>
      <c r="S168" s="3659"/>
    </row>
    <row r="169" spans="2:19" customFormat="1" ht="20" customHeight="1" thickBot="1">
      <c r="B169" s="3103" t="s">
        <v>506</v>
      </c>
      <c r="C169" s="3104"/>
      <c r="D169" s="3104"/>
      <c r="E169" s="3104"/>
      <c r="F169" s="3104"/>
      <c r="G169" s="3104"/>
      <c r="H169" s="3104"/>
      <c r="I169" s="3104"/>
      <c r="J169" s="3104"/>
      <c r="K169" s="3104"/>
      <c r="L169" s="3104"/>
      <c r="M169" s="3104"/>
      <c r="N169" s="3104"/>
      <c r="O169" s="3105" t="s">
        <v>507</v>
      </c>
      <c r="P169" s="3105"/>
      <c r="Q169" s="3105"/>
      <c r="R169" s="3105"/>
      <c r="S169" s="3106"/>
    </row>
    <row r="170" spans="2:19">
      <c r="B170" s="4230" t="str">
        <f>CONCATENATE(copyright," All rights reserved.  This document is protected by U.S. copyright law. Requirements from ICC700-2012 National Green Building Standard™ © 2013 National Association of Home Builders of the U.S. - used by permission."," Home Innovation authorizes use of this document only by those individuals/organizations participating in Home Innovation's Green Building Certification and solely for purpose of seeking project certification from the Home Innovation Research Labs.")</f>
        <v>© 2020 Home Innovation Research Labs, Inc. All rights reserved.  This document is protected by U.S. copyright law. Requirements from ICC700-2012 National Green Building Standard™ © 2013 National Association of Home Builders of the U.S. - used by permission. Home Innovation authorizes use of this document only by those individuals/organizations participating in Home Innovation's Green Building Certification and solely for purpose of seeking project certification from the Home Innovation Research Labs.</v>
      </c>
      <c r="C170" s="4230"/>
      <c r="D170" s="4230"/>
      <c r="E170" s="4230"/>
      <c r="F170" s="4230"/>
      <c r="G170" s="4230"/>
      <c r="H170" s="4230"/>
      <c r="I170" s="4230"/>
      <c r="J170" s="4230"/>
      <c r="K170" s="4230"/>
      <c r="L170" s="4230"/>
      <c r="M170" s="4230"/>
      <c r="N170" s="4230"/>
      <c r="O170" s="4230"/>
      <c r="P170" s="4230"/>
      <c r="Q170" s="4230"/>
      <c r="R170" s="4230"/>
      <c r="S170" s="4230"/>
    </row>
    <row r="171" spans="2:19">
      <c r="B171" s="4231"/>
      <c r="C171" s="4231"/>
      <c r="D171" s="4231"/>
      <c r="E171" s="4231"/>
      <c r="F171" s="4231"/>
      <c r="G171" s="4231"/>
      <c r="H171" s="4231"/>
      <c r="I171" s="4231"/>
      <c r="J171" s="4231"/>
      <c r="K171" s="4231"/>
      <c r="L171" s="4231"/>
      <c r="M171" s="4231"/>
      <c r="N171" s="4231"/>
      <c r="O171" s="4231"/>
      <c r="P171" s="4231"/>
      <c r="Q171" s="4231"/>
      <c r="R171" s="4231"/>
      <c r="S171" s="4231"/>
    </row>
    <row r="172" spans="2:19" ht="27" customHeight="1">
      <c r="B172" s="4231"/>
      <c r="C172" s="4231"/>
      <c r="D172" s="4231"/>
      <c r="E172" s="4231"/>
      <c r="F172" s="4231"/>
      <c r="G172" s="4231"/>
      <c r="H172" s="4231"/>
      <c r="I172" s="4231"/>
      <c r="J172" s="4231"/>
      <c r="K172" s="4231"/>
      <c r="L172" s="4231"/>
      <c r="M172" s="4231"/>
      <c r="N172" s="4231"/>
      <c r="O172" s="4231"/>
      <c r="P172" s="4231"/>
      <c r="Q172" s="4231"/>
      <c r="R172" s="4231"/>
      <c r="S172" s="4231"/>
    </row>
    <row r="173" spans="2:19">
      <c r="C173" s="32"/>
      <c r="D173" s="32"/>
    </row>
    <row r="174" spans="2:19">
      <c r="C174" s="32"/>
      <c r="D174" s="32"/>
    </row>
  </sheetData>
  <sheetProtection algorithmName="SHA-512" hashValue="NkEnIrhhWXfvqJcPxBzdtSsaCkEIXXfrTJ9k8OMfkjRJNDQcOIQMryL0x/rsXoyGRoxViIa9eYzFFNTcCtgWJg==" saltValue="Dh8xxPnkFNnd8exA4bNvIw==" spinCount="100000" sheet="1" objects="1" scenarios="1" formatRows="0" selectLockedCells="1"/>
  <mergeCells count="376">
    <mergeCell ref="B170:S172"/>
    <mergeCell ref="B4:H5"/>
    <mergeCell ref="S135:S136"/>
    <mergeCell ref="S101:S102"/>
    <mergeCell ref="P103:R103"/>
    <mergeCell ref="P107:R107"/>
    <mergeCell ref="P117:R117"/>
    <mergeCell ref="P118:R118"/>
    <mergeCell ref="S97:S100"/>
    <mergeCell ref="P101:R102"/>
    <mergeCell ref="K56:M56"/>
    <mergeCell ref="P53:R56"/>
    <mergeCell ref="K58:M58"/>
    <mergeCell ref="K59:M59"/>
    <mergeCell ref="K60:M60"/>
    <mergeCell ref="K57:M57"/>
    <mergeCell ref="P57:R60"/>
    <mergeCell ref="K61:M61"/>
    <mergeCell ref="K68:M68"/>
    <mergeCell ref="P65:R68"/>
    <mergeCell ref="K62:M62"/>
    <mergeCell ref="K63:M63"/>
    <mergeCell ref="K64:M64"/>
    <mergeCell ref="P61:R64"/>
    <mergeCell ref="B87:B92"/>
    <mergeCell ref="C87:C92"/>
    <mergeCell ref="D87:D92"/>
    <mergeCell ref="S84:S95"/>
    <mergeCell ref="O84:O86"/>
    <mergeCell ref="N84:N86"/>
    <mergeCell ref="P84:R86"/>
    <mergeCell ref="P83:R83"/>
    <mergeCell ref="E73:M73"/>
    <mergeCell ref="P77:R78"/>
    <mergeCell ref="E83:M83"/>
    <mergeCell ref="S77:S78"/>
    <mergeCell ref="E78:M78"/>
    <mergeCell ref="E79:M79"/>
    <mergeCell ref="E81:M81"/>
    <mergeCell ref="E80:M80"/>
    <mergeCell ref="N79:N80"/>
    <mergeCell ref="B93:B94"/>
    <mergeCell ref="C93:C94"/>
    <mergeCell ref="D93:D94"/>
    <mergeCell ref="E86:M86"/>
    <mergeCell ref="E91:I91"/>
    <mergeCell ref="E82:M82"/>
    <mergeCell ref="E84:M84"/>
    <mergeCell ref="E85:M85"/>
    <mergeCell ref="O79:O80"/>
    <mergeCell ref="P79:R80"/>
    <mergeCell ref="O81:O82"/>
    <mergeCell ref="N81:N82"/>
    <mergeCell ref="P81:R82"/>
    <mergeCell ref="K65:M65"/>
    <mergeCell ref="K66:M66"/>
    <mergeCell ref="D38:D39"/>
    <mergeCell ref="E38:M38"/>
    <mergeCell ref="E40:M40"/>
    <mergeCell ref="E47:M47"/>
    <mergeCell ref="E48:M48"/>
    <mergeCell ref="P49:R52"/>
    <mergeCell ref="K49:M49"/>
    <mergeCell ref="K50:M50"/>
    <mergeCell ref="K51:M51"/>
    <mergeCell ref="K52:M52"/>
    <mergeCell ref="P47:R47"/>
    <mergeCell ref="P48:R48"/>
    <mergeCell ref="E49:J52"/>
    <mergeCell ref="B20:B21"/>
    <mergeCell ref="P22:R22"/>
    <mergeCell ref="P23:R23"/>
    <mergeCell ref="P24:R25"/>
    <mergeCell ref="E23:M23"/>
    <mergeCell ref="D28:D29"/>
    <mergeCell ref="E28:M28"/>
    <mergeCell ref="E29:M29"/>
    <mergeCell ref="D26:D27"/>
    <mergeCell ref="E26:M26"/>
    <mergeCell ref="S24:S25"/>
    <mergeCell ref="E22:M22"/>
    <mergeCell ref="E24:M24"/>
    <mergeCell ref="E25:M25"/>
    <mergeCell ref="S22:S23"/>
    <mergeCell ref="P45:R46"/>
    <mergeCell ref="N42:N44"/>
    <mergeCell ref="O42:O44"/>
    <mergeCell ref="P42:R44"/>
    <mergeCell ref="N34:N35"/>
    <mergeCell ref="O34:O35"/>
    <mergeCell ref="P34:R35"/>
    <mergeCell ref="E34:M34"/>
    <mergeCell ref="S34:S35"/>
    <mergeCell ref="E35:M35"/>
    <mergeCell ref="E36:M36"/>
    <mergeCell ref="E39:M39"/>
    <mergeCell ref="P38:R39"/>
    <mergeCell ref="P36:R36"/>
    <mergeCell ref="P37:R37"/>
    <mergeCell ref="S26:S27"/>
    <mergeCell ref="E27:M27"/>
    <mergeCell ref="P30:R31"/>
    <mergeCell ref="E32:M32"/>
    <mergeCell ref="P16:R17"/>
    <mergeCell ref="S16:S17"/>
    <mergeCell ref="E16:M17"/>
    <mergeCell ref="C16:C17"/>
    <mergeCell ref="D16:D17"/>
    <mergeCell ref="P18:R18"/>
    <mergeCell ref="E19:M19"/>
    <mergeCell ref="P19:R19"/>
    <mergeCell ref="C20:C21"/>
    <mergeCell ref="D20:D21"/>
    <mergeCell ref="E20:M21"/>
    <mergeCell ref="N20:N21"/>
    <mergeCell ref="P20:R21"/>
    <mergeCell ref="S20:S21"/>
    <mergeCell ref="E18:M18"/>
    <mergeCell ref="N16:N17"/>
    <mergeCell ref="I5:S5"/>
    <mergeCell ref="B6:D6"/>
    <mergeCell ref="E6:M6"/>
    <mergeCell ref="B7:S7"/>
    <mergeCell ref="M1:M2"/>
    <mergeCell ref="N1:O1"/>
    <mergeCell ref="P1:S1"/>
    <mergeCell ref="P6:R6"/>
    <mergeCell ref="I1:L3"/>
    <mergeCell ref="I4:L4"/>
    <mergeCell ref="A1:H3"/>
    <mergeCell ref="S10:S11"/>
    <mergeCell ref="E11:M11"/>
    <mergeCell ref="B12:C12"/>
    <mergeCell ref="E12:M12"/>
    <mergeCell ref="E8:M8"/>
    <mergeCell ref="E9:M9"/>
    <mergeCell ref="B10:C11"/>
    <mergeCell ref="E10:M10"/>
    <mergeCell ref="N10:N11"/>
    <mergeCell ref="P10:R11"/>
    <mergeCell ref="P12:R12"/>
    <mergeCell ref="P8:R8"/>
    <mergeCell ref="P9:R9"/>
    <mergeCell ref="O10:O11"/>
    <mergeCell ref="B13:C13"/>
    <mergeCell ref="E13:M13"/>
    <mergeCell ref="N14:N15"/>
    <mergeCell ref="S14:S15"/>
    <mergeCell ref="P14:R15"/>
    <mergeCell ref="P13:R13"/>
    <mergeCell ref="E14:M15"/>
    <mergeCell ref="D14:D15"/>
    <mergeCell ref="C14:C15"/>
    <mergeCell ref="S32:S33"/>
    <mergeCell ref="E33:M33"/>
    <mergeCell ref="E30:M30"/>
    <mergeCell ref="S30:S31"/>
    <mergeCell ref="E31:M31"/>
    <mergeCell ref="P32:R33"/>
    <mergeCell ref="S28:S29"/>
    <mergeCell ref="P26:R27"/>
    <mergeCell ref="P28:R29"/>
    <mergeCell ref="S40:S41"/>
    <mergeCell ref="E41:M41"/>
    <mergeCell ref="E37:M37"/>
    <mergeCell ref="E45:M45"/>
    <mergeCell ref="N45:N46"/>
    <mergeCell ref="O45:O46"/>
    <mergeCell ref="S45:S46"/>
    <mergeCell ref="E46:M46"/>
    <mergeCell ref="E42:M42"/>
    <mergeCell ref="S42:S44"/>
    <mergeCell ref="E43:M43"/>
    <mergeCell ref="E44:M44"/>
    <mergeCell ref="P40:R41"/>
    <mergeCell ref="S38:S39"/>
    <mergeCell ref="S49:S68"/>
    <mergeCell ref="E53:J56"/>
    <mergeCell ref="K53:M53"/>
    <mergeCell ref="K54:M54"/>
    <mergeCell ref="K55:M55"/>
    <mergeCell ref="E69:M69"/>
    <mergeCell ref="E70:M70"/>
    <mergeCell ref="E71:M71"/>
    <mergeCell ref="E72:M72"/>
    <mergeCell ref="E57:J60"/>
    <mergeCell ref="E65:J68"/>
    <mergeCell ref="E61:J64"/>
    <mergeCell ref="N71:N72"/>
    <mergeCell ref="O71:O72"/>
    <mergeCell ref="K67:M67"/>
    <mergeCell ref="S81:S82"/>
    <mergeCell ref="P93:R95"/>
    <mergeCell ref="O97:O99"/>
    <mergeCell ref="P97:R100"/>
    <mergeCell ref="P96:R96"/>
    <mergeCell ref="P87:R92"/>
    <mergeCell ref="S79:S80"/>
    <mergeCell ref="E77:M77"/>
    <mergeCell ref="O69:O70"/>
    <mergeCell ref="S69:S72"/>
    <mergeCell ref="P69:R72"/>
    <mergeCell ref="N75:N76"/>
    <mergeCell ref="O75:O76"/>
    <mergeCell ref="P75:R76"/>
    <mergeCell ref="P73:R73"/>
    <mergeCell ref="E74:M74"/>
    <mergeCell ref="E75:M75"/>
    <mergeCell ref="P74:R74"/>
    <mergeCell ref="E76:M76"/>
    <mergeCell ref="J90:K90"/>
    <mergeCell ref="J91:K91"/>
    <mergeCell ref="J92:K92"/>
    <mergeCell ref="E88:K88"/>
    <mergeCell ref="E87:M87"/>
    <mergeCell ref="N101:N102"/>
    <mergeCell ref="O101:O102"/>
    <mergeCell ref="E101:M101"/>
    <mergeCell ref="E102:M102"/>
    <mergeCell ref="E89:I89"/>
    <mergeCell ref="E90:I90"/>
    <mergeCell ref="E93:M93"/>
    <mergeCell ref="E94:M94"/>
    <mergeCell ref="E95:M95"/>
    <mergeCell ref="N93:N95"/>
    <mergeCell ref="O93:O95"/>
    <mergeCell ref="N97:N98"/>
    <mergeCell ref="E98:M98"/>
    <mergeCell ref="E99:M99"/>
    <mergeCell ref="E100:M100"/>
    <mergeCell ref="E96:M96"/>
    <mergeCell ref="E97:M97"/>
    <mergeCell ref="L88:M92"/>
    <mergeCell ref="N87:N92"/>
    <mergeCell ref="O87:O92"/>
    <mergeCell ref="J89:K89"/>
    <mergeCell ref="E92:I92"/>
    <mergeCell ref="E106:M106"/>
    <mergeCell ref="S107:S110"/>
    <mergeCell ref="B110:D110"/>
    <mergeCell ref="E110:M110"/>
    <mergeCell ref="N110:R110"/>
    <mergeCell ref="E103:M103"/>
    <mergeCell ref="E104:M104"/>
    <mergeCell ref="E105:M105"/>
    <mergeCell ref="O105:O106"/>
    <mergeCell ref="S104:S106"/>
    <mergeCell ref="P104:R106"/>
    <mergeCell ref="E108:M108"/>
    <mergeCell ref="E109:M109"/>
    <mergeCell ref="E107:O107"/>
    <mergeCell ref="E115:M115"/>
    <mergeCell ref="E117:M117"/>
    <mergeCell ref="E118:M118"/>
    <mergeCell ref="B111:S111"/>
    <mergeCell ref="E112:M112"/>
    <mergeCell ref="E113:M113"/>
    <mergeCell ref="E114:M114"/>
    <mergeCell ref="E121:M121"/>
    <mergeCell ref="E119:M119"/>
    <mergeCell ref="E116:M116"/>
    <mergeCell ref="P115:R116"/>
    <mergeCell ref="S115:S116"/>
    <mergeCell ref="P113:R113"/>
    <mergeCell ref="P114:R114"/>
    <mergeCell ref="P112:R112"/>
    <mergeCell ref="E123:M123"/>
    <mergeCell ref="N119:N120"/>
    <mergeCell ref="S119:S120"/>
    <mergeCell ref="P119:R120"/>
    <mergeCell ref="S122:S124"/>
    <mergeCell ref="P121:R121"/>
    <mergeCell ref="E124:M124"/>
    <mergeCell ref="P122:R124"/>
    <mergeCell ref="E122:M122"/>
    <mergeCell ref="E120:M120"/>
    <mergeCell ref="E128:M128"/>
    <mergeCell ref="E129:M129"/>
    <mergeCell ref="E130:M130"/>
    <mergeCell ref="E131:M131"/>
    <mergeCell ref="E125:M125"/>
    <mergeCell ref="B126:C126"/>
    <mergeCell ref="E126:M126"/>
    <mergeCell ref="S133:S134"/>
    <mergeCell ref="E134:M134"/>
    <mergeCell ref="O126:O127"/>
    <mergeCell ref="N131:N132"/>
    <mergeCell ref="O128:O132"/>
    <mergeCell ref="P128:R132"/>
    <mergeCell ref="S128:S132"/>
    <mergeCell ref="P125:R125"/>
    <mergeCell ref="P126:R126"/>
    <mergeCell ref="P127:R127"/>
    <mergeCell ref="E127:F127"/>
    <mergeCell ref="G127:M127"/>
    <mergeCell ref="E135:M135"/>
    <mergeCell ref="E132:M132"/>
    <mergeCell ref="E133:M133"/>
    <mergeCell ref="N133:N134"/>
    <mergeCell ref="O133:O134"/>
    <mergeCell ref="P133:R134"/>
    <mergeCell ref="P137:R137"/>
    <mergeCell ref="B135:C136"/>
    <mergeCell ref="D135:D136"/>
    <mergeCell ref="E136:M136"/>
    <mergeCell ref="N135:N136"/>
    <mergeCell ref="O135:O136"/>
    <mergeCell ref="P135:R136"/>
    <mergeCell ref="E140:M140"/>
    <mergeCell ref="E141:M141"/>
    <mergeCell ref="E142:M142"/>
    <mergeCell ref="E137:M137"/>
    <mergeCell ref="E138:M138"/>
    <mergeCell ref="E139:M139"/>
    <mergeCell ref="S139:S142"/>
    <mergeCell ref="P139:R142"/>
    <mergeCell ref="P138:R138"/>
    <mergeCell ref="O140:O141"/>
    <mergeCell ref="E143:M143"/>
    <mergeCell ref="S143:S145"/>
    <mergeCell ref="E144:M144"/>
    <mergeCell ref="E145:M145"/>
    <mergeCell ref="S147:S148"/>
    <mergeCell ref="P147:R147"/>
    <mergeCell ref="P148:R148"/>
    <mergeCell ref="P146:R146"/>
    <mergeCell ref="P143:R145"/>
    <mergeCell ref="N143:N145"/>
    <mergeCell ref="O143:O145"/>
    <mergeCell ref="E149:M149"/>
    <mergeCell ref="E150:M150"/>
    <mergeCell ref="E146:M146"/>
    <mergeCell ref="E147:M147"/>
    <mergeCell ref="P150:R150"/>
    <mergeCell ref="P149:R149"/>
    <mergeCell ref="B151:S151"/>
    <mergeCell ref="E152:M152"/>
    <mergeCell ref="E153:M153"/>
    <mergeCell ref="E148:M148"/>
    <mergeCell ref="P152:R152"/>
    <mergeCell ref="O147:O148"/>
    <mergeCell ref="P153:R153"/>
    <mergeCell ref="E156:M156"/>
    <mergeCell ref="E157:M157"/>
    <mergeCell ref="E154:M154"/>
    <mergeCell ref="E155:M155"/>
    <mergeCell ref="P157:R157"/>
    <mergeCell ref="P158:R158"/>
    <mergeCell ref="P156:R156"/>
    <mergeCell ref="O154:O155"/>
    <mergeCell ref="E158:M158"/>
    <mergeCell ref="O157:O158"/>
    <mergeCell ref="E163:H163"/>
    <mergeCell ref="I163:M163"/>
    <mergeCell ref="E164:M164"/>
    <mergeCell ref="O161:O164"/>
    <mergeCell ref="P162:R164"/>
    <mergeCell ref="S161:S164"/>
    <mergeCell ref="P154:R154"/>
    <mergeCell ref="P155:R155"/>
    <mergeCell ref="B169:N169"/>
    <mergeCell ref="O169:S169"/>
    <mergeCell ref="E161:M161"/>
    <mergeCell ref="E162:M162"/>
    <mergeCell ref="B165:S165"/>
    <mergeCell ref="P166:R166"/>
    <mergeCell ref="P167:R167"/>
    <mergeCell ref="P161:R161"/>
    <mergeCell ref="E159:M159"/>
    <mergeCell ref="N159:N160"/>
    <mergeCell ref="O159:O160"/>
    <mergeCell ref="E160:M160"/>
    <mergeCell ref="P159:R160"/>
    <mergeCell ref="E166:M166"/>
    <mergeCell ref="E167:M167"/>
    <mergeCell ref="B168:S168"/>
  </mergeCells>
  <conditionalFormatting sqref="O42">
    <cfRule type="expression" dxfId="1709" priority="216" stopIfTrue="1">
      <formula>AND(O42&gt;0,O45&gt;0)</formula>
    </cfRule>
  </conditionalFormatting>
  <conditionalFormatting sqref="O97">
    <cfRule type="expression" dxfId="1708" priority="212" stopIfTrue="1">
      <formula>AND(O97&lt;&gt;0,O98&lt;&gt;0)</formula>
    </cfRule>
  </conditionalFormatting>
  <conditionalFormatting sqref="O34">
    <cfRule type="expression" dxfId="1707" priority="221" stopIfTrue="1">
      <formula>AND(O34&gt;0,OR($O$25&gt;0,$O$27&gt;0,$O$29&gt;0,$O$31&gt;0,$O$33&gt;0))</formula>
    </cfRule>
  </conditionalFormatting>
  <conditionalFormatting sqref="O38">
    <cfRule type="expression" dxfId="1706" priority="11">
      <formula>$A$37="x"</formula>
    </cfRule>
    <cfRule type="expression" dxfId="1705" priority="185" stopIfTrue="1">
      <formula>AND($A$37&lt;&gt;"x",OR(O38="Not Met",O38=""))</formula>
    </cfRule>
    <cfRule type="expression" dxfId="1704" priority="222" stopIfTrue="1">
      <formula>AND(O39&gt;0,O45&gt;0)</formula>
    </cfRule>
  </conditionalFormatting>
  <conditionalFormatting sqref="O45">
    <cfRule type="expression" dxfId="1703" priority="223" stopIfTrue="1">
      <formula>AND(O45&lt;&gt;0,OR(O39&gt;0,O41&gt;0,O42&gt;0))</formula>
    </cfRule>
  </conditionalFormatting>
  <conditionalFormatting sqref="O47 O139 O115 O117">
    <cfRule type="expression" dxfId="1702" priority="183" stopIfTrue="1">
      <formula>OR(O47="Not Met",O47="")</formula>
    </cfRule>
  </conditionalFormatting>
  <conditionalFormatting sqref="O108:O109">
    <cfRule type="expression" dxfId="1701" priority="181" stopIfTrue="1">
      <formula>OR(startSingleorMulti&lt;&gt;"Multi-Unit", startMultiUnits&lt;2)</formula>
    </cfRule>
  </conditionalFormatting>
  <conditionalFormatting sqref="I1">
    <cfRule type="expression" dxfId="1700" priority="169" stopIfTrue="1">
      <formula>levelStatement="This project has not met all the requirements for Bronze, Silver, Gold, or Emerald."</formula>
    </cfRule>
  </conditionalFormatting>
  <conditionalFormatting sqref="O74">
    <cfRule type="expression" dxfId="1699" priority="168" stopIfTrue="1">
      <formula>$O$74="Met"</formula>
    </cfRule>
  </conditionalFormatting>
  <conditionalFormatting sqref="N110:R110">
    <cfRule type="expression" dxfId="1698" priority="166" stopIfTrue="1">
      <formula>$N$110="This project is labelled Multi-Unit &amp; has 2 or more units. It is eligible for points in 901.14."</formula>
    </cfRule>
  </conditionalFormatting>
  <conditionalFormatting sqref="O4">
    <cfRule type="expression" dxfId="1697" priority="165" stopIfTrue="1">
      <formula>$O$4="Not Met"</formula>
    </cfRule>
  </conditionalFormatting>
  <conditionalFormatting sqref="O3">
    <cfRule type="expression" dxfId="1696" priority="164" stopIfTrue="1">
      <formula>$O$3="Not Met"</formula>
    </cfRule>
  </conditionalFormatting>
  <conditionalFormatting sqref="P10:R12 P14:R21 P24:R33 P38:R43 P45:R46 P49 P53 P57 P61 P69 P74:R74 P77:R79 P81:R81 P84:R85 P87:R87 P93 P97:R98 P101:R103 P104 P107:R109 P115:R115 P117:R118 P121:R124 P128:R135 P157:R158 P154:R155 P147:R150 P139:R145 P166:R167 P34:S35">
    <cfRule type="beginsWith" dxfId="1695" priority="158" operator="beginsWith" text="*">
      <formula>LEFT(P10,LEN("*"))="*"</formula>
    </cfRule>
  </conditionalFormatting>
  <conditionalFormatting sqref="O18">
    <cfRule type="expression" dxfId="1694" priority="152" stopIfTrue="1">
      <formula>OR(O18="Not Met", O18="")</formula>
    </cfRule>
  </conditionalFormatting>
  <conditionalFormatting sqref="O32">
    <cfRule type="expression" dxfId="1693" priority="508" stopIfTrue="1">
      <formula>OR(O32="Not Met", O32="")</formula>
    </cfRule>
    <cfRule type="expression" dxfId="1692" priority="509" stopIfTrue="1">
      <formula>AND($O$32="Met", $O$34&lt;&gt;"")</formula>
    </cfRule>
  </conditionalFormatting>
  <conditionalFormatting sqref="O30">
    <cfRule type="expression" dxfId="1691" priority="510" stopIfTrue="1">
      <formula>OR(O30="Not Met", O30="")</formula>
    </cfRule>
    <cfRule type="expression" dxfId="1690" priority="511" stopIfTrue="1">
      <formula>AND($O$30="Met", $O$34&lt;&gt;"")</formula>
    </cfRule>
  </conditionalFormatting>
  <conditionalFormatting sqref="O28">
    <cfRule type="expression" dxfId="1689" priority="512" stopIfTrue="1">
      <formula>OR(O28="Not Met", O28="")</formula>
    </cfRule>
    <cfRule type="expression" dxfId="1688" priority="513" stopIfTrue="1">
      <formula>AND($O$28="Met", $O$34&lt;&gt;"")</formula>
    </cfRule>
  </conditionalFormatting>
  <conditionalFormatting sqref="O24">
    <cfRule type="expression" dxfId="1687" priority="514" stopIfTrue="1">
      <formula>OR(O24="Not Met", O24="")</formula>
    </cfRule>
    <cfRule type="expression" dxfId="1686" priority="515" stopIfTrue="1">
      <formula>AND($O$24="Met", $O$34&lt;&gt;"")</formula>
    </cfRule>
  </conditionalFormatting>
  <conditionalFormatting sqref="O26">
    <cfRule type="expression" dxfId="1685" priority="140" stopIfTrue="1">
      <formula>OR(O26="Not Met", O26="")</formula>
    </cfRule>
    <cfRule type="expression" dxfId="1684" priority="141" stopIfTrue="1">
      <formula>AND($O$26="Met", $O$34&lt;&gt;"")</formula>
    </cfRule>
  </conditionalFormatting>
  <conditionalFormatting sqref="O40">
    <cfRule type="expression" dxfId="1683" priority="10">
      <formula>$A$37="x"</formula>
    </cfRule>
    <cfRule type="expression" dxfId="1682" priority="138" stopIfTrue="1">
      <formula>AND($A$37&lt;&gt;"x",OR(O40="Not Met",O40=""))</formula>
    </cfRule>
    <cfRule type="expression" dxfId="1681" priority="139" stopIfTrue="1">
      <formula>AND(O41&gt;0,O45&gt;0)</formula>
    </cfRule>
  </conditionalFormatting>
  <conditionalFormatting sqref="P47:R47">
    <cfRule type="expression" dxfId="1680" priority="15">
      <formula>AND($O$47="")</formula>
    </cfRule>
    <cfRule type="expression" dxfId="1679" priority="16" stopIfTrue="1">
      <formula>AND($O$47="N/A")</formula>
    </cfRule>
    <cfRule type="beginsWith" dxfId="1678" priority="133" operator="beginsWith" text="*">
      <formula>LEFT(P47,LEN("*"))="*"</formula>
    </cfRule>
  </conditionalFormatting>
  <conditionalFormatting sqref="P65">
    <cfRule type="beginsWith" dxfId="1677" priority="128" operator="beginsWith" text="*">
      <formula>LEFT(P65,LEN("*"))="*"</formula>
    </cfRule>
  </conditionalFormatting>
  <conditionalFormatting sqref="O119">
    <cfRule type="expression" dxfId="1676" priority="516" stopIfTrue="1">
      <formula>AND(O119&lt;&gt;0,SUM(O119:O119)&gt;5)</formula>
    </cfRule>
  </conditionalFormatting>
  <conditionalFormatting sqref="P119:R120">
    <cfRule type="containsBlanks" dxfId="1675" priority="77">
      <formula>LEN(TRIM(P119))=0</formula>
    </cfRule>
    <cfRule type="beginsWith" dxfId="1674" priority="107" operator="beginsWith" text="*">
      <formula>LEFT(P119,LEN("*"))="*"</formula>
    </cfRule>
  </conditionalFormatting>
  <conditionalFormatting sqref="O128:O132">
    <cfRule type="expression" dxfId="1673" priority="103">
      <formula>AND(VentNeeded=1,OR($O$128="",$O$128="Not Met"))</formula>
    </cfRule>
  </conditionalFormatting>
  <conditionalFormatting sqref="P161:R161">
    <cfRule type="beginsWith" dxfId="1672" priority="100" operator="beginsWith" text="*">
      <formula>LEFT(P161,LEN("*"))="*"</formula>
    </cfRule>
  </conditionalFormatting>
  <conditionalFormatting sqref="P162:R162">
    <cfRule type="beginsWith" dxfId="1671" priority="99" operator="beginsWith" text="*">
      <formula>LEFT(P162,LEN("*"))="*"</formula>
    </cfRule>
  </conditionalFormatting>
  <conditionalFormatting sqref="O150">
    <cfRule type="expression" dxfId="1670" priority="91">
      <formula>OR(O150="Not Met",O150="")</formula>
    </cfRule>
  </conditionalFormatting>
  <conditionalFormatting sqref="O49">
    <cfRule type="expression" dxfId="1669" priority="65">
      <formula>AND($O$49&lt;&gt;"",OR($O$53,$O$57,$O$61,$O$65)&lt;&gt;"")</formula>
    </cfRule>
    <cfRule type="expression" dxfId="1668" priority="67">
      <formula>OR($O$53,$O$57,$O$61,$O$65)&lt;&gt;""</formula>
    </cfRule>
  </conditionalFormatting>
  <conditionalFormatting sqref="O53">
    <cfRule type="expression" dxfId="1667" priority="64">
      <formula>AND($O$53&lt;&gt;"",OR($O$49,$O$57,$O$61,$O$65)&lt;&gt;"")</formula>
    </cfRule>
    <cfRule type="expression" dxfId="1666" priority="66">
      <formula>OR($O$49,$O$57,$O$61,$O$65)&lt;&gt;""</formula>
    </cfRule>
  </conditionalFormatting>
  <conditionalFormatting sqref="O57">
    <cfRule type="expression" dxfId="1665" priority="62">
      <formula>AND($O$57&lt;&gt;"",OR($O$49,$O$53,$O$61,$O$65)&lt;&gt;"")</formula>
    </cfRule>
    <cfRule type="expression" dxfId="1664" priority="63">
      <formula>OR($O$49,$O$53,$O$61,$O$65)&lt;&gt;""</formula>
    </cfRule>
  </conditionalFormatting>
  <conditionalFormatting sqref="O61">
    <cfRule type="expression" dxfId="1663" priority="60">
      <formula>AND($O$61&lt;&gt;"",OR($O$49,$O$53,$O$57,$O$65)&lt;&gt;"")</formula>
    </cfRule>
    <cfRule type="expression" dxfId="1662" priority="61">
      <formula>OR($O$49,$O$53,$O$57,$O$65)&lt;&gt;""</formula>
    </cfRule>
  </conditionalFormatting>
  <conditionalFormatting sqref="O65">
    <cfRule type="expression" dxfId="1661" priority="58">
      <formula>AND($O$65&lt;&gt;"",OR($O$49,$O$53,$O$57,$O$61)&lt;&gt;"")</formula>
    </cfRule>
    <cfRule type="expression" dxfId="1660" priority="59">
      <formula>OR($O$49,$O$53,$O$57,$O$61)&lt;&gt;""</formula>
    </cfRule>
  </conditionalFormatting>
  <conditionalFormatting sqref="O50">
    <cfRule type="expression" dxfId="1659" priority="56">
      <formula>AND($O$50&lt;&gt;"",OR($O$54,$O$58,$O$62,$O$66)&lt;&gt;"")</formula>
    </cfRule>
    <cfRule type="expression" dxfId="1658" priority="57">
      <formula>OR($O$54,$O$58,$O$62,$O$66)&lt;&gt;""</formula>
    </cfRule>
  </conditionalFormatting>
  <conditionalFormatting sqref="O54">
    <cfRule type="expression" dxfId="1657" priority="54">
      <formula>AND($O$54&lt;&gt;"",OR($O$50,$O$58,$O$62,$O$66)&lt;&gt;"")</formula>
    </cfRule>
    <cfRule type="expression" dxfId="1656" priority="55">
      <formula>OR($O$50,$O$58,$O$62,$O$66)&lt;&gt;""</formula>
    </cfRule>
  </conditionalFormatting>
  <conditionalFormatting sqref="O58">
    <cfRule type="expression" dxfId="1655" priority="52">
      <formula>AND($O$58&lt;&gt;"",OR($O$50,$O$54,$O$62,$O$66)&lt;&gt;"")</formula>
    </cfRule>
    <cfRule type="expression" dxfId="1654" priority="53">
      <formula>OR($O$50,$O$54,$O$62,$O$66)&lt;&gt;""</formula>
    </cfRule>
  </conditionalFormatting>
  <conditionalFormatting sqref="O62">
    <cfRule type="expression" dxfId="1653" priority="50">
      <formula>AND($O$62&lt;&gt;"",OR($O$50,$O$54,$O$58,$O$66)&lt;&gt;"")</formula>
    </cfRule>
    <cfRule type="expression" dxfId="1652" priority="51">
      <formula>OR($O$50,$O$54,$O$58,$O$66)&lt;&gt;""</formula>
    </cfRule>
  </conditionalFormatting>
  <conditionalFormatting sqref="O66">
    <cfRule type="expression" dxfId="1651" priority="48">
      <formula>AND($O$66&lt;&gt;"",OR($O$50,$O$54,$O$58,$O$62)&lt;&gt;"")</formula>
    </cfRule>
    <cfRule type="expression" dxfId="1650" priority="49">
      <formula>OR($O$50,$O$54,$O$58,$O$62)&lt;&gt;""</formula>
    </cfRule>
  </conditionalFormatting>
  <conditionalFormatting sqref="O51">
    <cfRule type="expression" dxfId="1649" priority="46">
      <formula>AND($O$51&lt;&gt;"",OR($O$55,$O$59,$O$63,$O$67)&lt;&gt;"")</formula>
    </cfRule>
    <cfRule type="expression" dxfId="1648" priority="47">
      <formula>OR($O$55,$O$59,$O$63,$O$67)&lt;&gt;""</formula>
    </cfRule>
  </conditionalFormatting>
  <conditionalFormatting sqref="O55">
    <cfRule type="expression" dxfId="1647" priority="44">
      <formula>AND($O$55&lt;&gt;"",OR($O$51,$O$59,$O$63,$O$67)&lt;&gt;"")</formula>
    </cfRule>
    <cfRule type="expression" dxfId="1646" priority="45">
      <formula>OR($O$51,$O$59,$O$63,$O$67)&lt;&gt;""</formula>
    </cfRule>
  </conditionalFormatting>
  <conditionalFormatting sqref="O59">
    <cfRule type="expression" dxfId="1645" priority="42">
      <formula>AND($O$59&lt;&gt;"",OR($O$51,$O$55,$O$63,$O$67)&lt;&gt;"")</formula>
    </cfRule>
    <cfRule type="expression" dxfId="1644" priority="43">
      <formula>OR($O$51,$O$55,$O$63,$O$67)&lt;&gt;""</formula>
    </cfRule>
  </conditionalFormatting>
  <conditionalFormatting sqref="O63">
    <cfRule type="expression" dxfId="1643" priority="40">
      <formula>AND($O$63&lt;&gt;"",OR($O$51,$O$55,$O$59,$O$67)&lt;&gt;"")</formula>
    </cfRule>
    <cfRule type="expression" dxfId="1642" priority="41">
      <formula>OR($O$51,$O$55,$O$59,$O$67)&lt;&gt;""</formula>
    </cfRule>
  </conditionalFormatting>
  <conditionalFormatting sqref="O67">
    <cfRule type="expression" dxfId="1641" priority="38">
      <formula>AND($O$67&lt;&gt;"",OR($O$51,$O$55,$O$59,$O$63)&lt;&gt;"")</formula>
    </cfRule>
    <cfRule type="expression" dxfId="1640" priority="39">
      <formula>OR($O$51,$O$55,$O$59,$O$63)&lt;&gt;""</formula>
    </cfRule>
  </conditionalFormatting>
  <conditionalFormatting sqref="O52">
    <cfRule type="expression" dxfId="1639" priority="36">
      <formula>AND($O$52&lt;&gt;"",OR($O$56,$O$60,$O$64,$O$68)&lt;&gt;"")</formula>
    </cfRule>
    <cfRule type="expression" dxfId="1638" priority="37">
      <formula>OR($O$56,$O$60,$O$64,$O$68)&lt;&gt;""</formula>
    </cfRule>
  </conditionalFormatting>
  <conditionalFormatting sqref="O56">
    <cfRule type="expression" dxfId="1637" priority="34">
      <formula>AND($O$56&lt;&gt;"",OR($O$52,$O$60,$O$64,$O$68)&lt;&gt;"")</formula>
    </cfRule>
    <cfRule type="expression" dxfId="1636" priority="35">
      <formula>OR($O$52,$O$60,$O$64,$O$68)&lt;&gt;""</formula>
    </cfRule>
  </conditionalFormatting>
  <conditionalFormatting sqref="O60">
    <cfRule type="expression" dxfId="1635" priority="32">
      <formula>AND($O$60&lt;&gt;"",OR($O$52,$O$56,$O$64,$O$68)&lt;&gt;"")</formula>
    </cfRule>
    <cfRule type="expression" dxfId="1634" priority="33">
      <formula>OR($O$52,$O$56,$O$64,$O$68)&lt;&gt;""</formula>
    </cfRule>
  </conditionalFormatting>
  <conditionalFormatting sqref="O64">
    <cfRule type="expression" dxfId="1633" priority="30">
      <formula>AND($O$64&lt;&gt;"",OR($O$52,$O$56,$O$60,$O$68)&lt;&gt;"")</formula>
    </cfRule>
    <cfRule type="expression" dxfId="1632" priority="31">
      <formula>OR($O$52,$O$56,$O$60,$O$68)&lt;&gt;""</formula>
    </cfRule>
  </conditionalFormatting>
  <conditionalFormatting sqref="O68">
    <cfRule type="expression" dxfId="1631" priority="28">
      <formula>AND($O$68&lt;&gt;"",OR($O$52,$O$56,$O$60,$O$64)&lt;&gt;"")</formula>
    </cfRule>
    <cfRule type="expression" dxfId="1630" priority="29">
      <formula>OR($O$52,$O$56,$O$60,$O$64)&lt;&gt;""</formula>
    </cfRule>
  </conditionalFormatting>
  <conditionalFormatting sqref="O38">
    <cfRule type="expression" dxfId="1629" priority="69">
      <formula>OR(AND($O$38="No attached garage",$O$40="Met"),AND($O$38="Met",$O$40="No attached garage"))</formula>
    </cfRule>
    <cfRule type="expression" dxfId="1628" priority="70">
      <formula>AND($O$42=4,$O$38="No attached garage")</formula>
    </cfRule>
  </conditionalFormatting>
  <conditionalFormatting sqref="O40">
    <cfRule type="expression" dxfId="1627" priority="68">
      <formula>OR(AND($O$38="Met",$O$40="No attached garage"),AND($O$38="No attached garage",$O$40="Met"))</formula>
    </cfRule>
    <cfRule type="expression" dxfId="1626" priority="71">
      <formula>AND($O$42=4,$O$40="No attached garage")</formula>
    </cfRule>
  </conditionalFormatting>
  <conditionalFormatting sqref="O42:O44">
    <cfRule type="expression" dxfId="1625" priority="1">
      <formula>AND($O$42&gt;0,startSingleorMulti="Multi-Unit")</formula>
    </cfRule>
    <cfRule type="expression" dxfId="1624" priority="8">
      <formula>AND($A$37="x",$O$42&gt;0)</formula>
    </cfRule>
    <cfRule type="expression" dxfId="1623" priority="9">
      <formula>$A$37="x"</formula>
    </cfRule>
    <cfRule type="expression" dxfId="1622" priority="72">
      <formula>AND($O$42=4,OR($O$38="No attached garage",$O$40="No attached garage"))</formula>
    </cfRule>
  </conditionalFormatting>
  <conditionalFormatting sqref="O18:O19">
    <cfRule type="expression" dxfId="1621" priority="73">
      <formula>AND($O$19=7,$O$18="No gas fireplace or heating equipment")</formula>
    </cfRule>
  </conditionalFormatting>
  <conditionalFormatting sqref="G127:M127">
    <cfRule type="notContainsBlanks" dxfId="1620" priority="806">
      <formula>LEN(TRIM(G127))&gt;0</formula>
    </cfRule>
  </conditionalFormatting>
  <conditionalFormatting sqref="O93:O95">
    <cfRule type="expression" dxfId="1619" priority="24">
      <formula>AND($O$84&lt;&gt;0,$O$93&lt;&gt;0)</formula>
    </cfRule>
    <cfRule type="expression" dxfId="1618" priority="120">
      <formula>$O$84=5</formula>
    </cfRule>
  </conditionalFormatting>
  <conditionalFormatting sqref="O84:O86">
    <cfRule type="expression" dxfId="1617" priority="22">
      <formula>AND($O$84&lt;&gt;0,$O$93&lt;&gt;0)</formula>
    </cfRule>
    <cfRule type="expression" dxfId="1616" priority="215">
      <formula>$O$93=8</formula>
    </cfRule>
  </conditionalFormatting>
  <conditionalFormatting sqref="O128:O132">
    <cfRule type="expression" dxfId="1615" priority="1010">
      <formula>AND(choice902.2.1="N/A - air infiltration rate greater than 5 ACH50",OR(AND(ch7blowerdoor&lt;&gt;"",ch7blowerdoor&lt;5),AND(ch7ACH50&lt;&gt;"",ch7ACH50&lt;5)))</formula>
    </cfRule>
  </conditionalFormatting>
  <conditionalFormatting sqref="O133:O134">
    <cfRule type="expression" dxfId="1614" priority="18">
      <formula>AND($O$133=8,OR($O$126=0,$O$126="N/A"))</formula>
    </cfRule>
  </conditionalFormatting>
  <conditionalFormatting sqref="O135">
    <cfRule type="expression" dxfId="1613" priority="20">
      <formula>AND(claim902.2.3=3,claim703.3.1&gt;0,claim703.3.2&gt;0)</formula>
    </cfRule>
    <cfRule type="expression" dxfId="1612" priority="21">
      <formula>AND(claim703.3.1&lt;&gt;"",claim703.3.2&lt;&gt;"")</formula>
    </cfRule>
  </conditionalFormatting>
  <conditionalFormatting sqref="O20">
    <cfRule type="expression" dxfId="1611" priority="13">
      <formula>AND($A$20="x",$O$20&lt;&gt;"")</formula>
    </cfRule>
    <cfRule type="expression" dxfId="1610" priority="14">
      <formula>$A$20="x"</formula>
    </cfRule>
  </conditionalFormatting>
  <conditionalFormatting sqref="O45:O46">
    <cfRule type="expression" dxfId="1609" priority="6">
      <formula>AND($A$45="x",$O$45&gt;0)</formula>
    </cfRule>
    <cfRule type="expression" dxfId="1608" priority="7">
      <formula>$A$45="x"</formula>
    </cfRule>
  </conditionalFormatting>
  <conditionalFormatting sqref="O143">
    <cfRule type="expression" dxfId="1607" priority="1011" stopIfTrue="1">
      <formula>AND($O$139="Met",$O$143=0)</formula>
    </cfRule>
  </conditionalFormatting>
  <conditionalFormatting sqref="O87:O92">
    <cfRule type="expression" dxfId="1606" priority="5">
      <formula>AND($O$87&gt;0,AND($O$84="",$O$93=""))</formula>
    </cfRule>
  </conditionalFormatting>
  <conditionalFormatting sqref="O109">
    <cfRule type="expression" dxfId="1605" priority="19">
      <formula>AND($O$108&lt;&gt;"", OR(startMultiUnits&lt;2, startSingleorMulti&lt;&gt;"Multi-Unit"))</formula>
    </cfRule>
  </conditionalFormatting>
  <conditionalFormatting sqref="O108">
    <cfRule type="expression" dxfId="1604" priority="4">
      <formula>AND($O$108&lt;&gt;"", OR(startMultiUnits&lt;2, startSingleorMulti&lt;&gt;"Multi-Unit"))</formula>
    </cfRule>
  </conditionalFormatting>
  <conditionalFormatting sqref="O143:O145">
    <cfRule type="expression" dxfId="1603" priority="3">
      <formula>AND(AND(score902.3_1&gt;0,score902.3_1&lt;&gt;""),$O$143&gt;0)</formula>
    </cfRule>
  </conditionalFormatting>
  <conditionalFormatting sqref="O140:O141">
    <cfRule type="expression" dxfId="1602" priority="2">
      <formula>AND($O$140&lt;&gt;"",$O$143&gt;0)</formula>
    </cfRule>
  </conditionalFormatting>
  <dataValidations count="42">
    <dataValidation type="list" allowBlank="1" showInputMessage="1" showErrorMessage="1" errorTitle="Invalid Entry" error="Select an option from the dropdown list provided." sqref="O139" xr:uid="{00000000-0002-0000-0500-000000000000}">
      <formula1>dd902.3</formula1>
    </dataValidation>
    <dataValidation type="list" allowBlank="1" showInputMessage="1" showErrorMessage="1" errorTitle="Invalid Entry" error="Leave cell blank or select an option from the dropdown list provided." sqref="O156" xr:uid="{00000000-0002-0000-0500-000001000000}">
      <formula1>dd903.2</formula1>
    </dataValidation>
    <dataValidation type="whole" operator="equal" allowBlank="1" showInputMessage="1" showErrorMessage="1" errorTitle="Invalid entry" error="Leave cell blank or enter the number 2." sqref="B7:S7 O49:O56" xr:uid="{00000000-0002-0000-0500-000002000000}">
      <formula1>2</formula1>
    </dataValidation>
    <dataValidation type="whole" operator="equal" allowBlank="1" showInputMessage="1" showErrorMessage="1" errorTitle="Invalid value" error="Leave cell blank or enter the number 1." sqref="O87 O108:O109" xr:uid="{00000000-0002-0000-0500-000003000000}">
      <formula1>1</formula1>
    </dataValidation>
    <dataValidation type="whole" operator="equal" allowBlank="1" showInputMessage="1" showErrorMessage="1" errorTitle="Invalid value" error="Leave cell blank or enter the number 7." sqref="O34 O143:O145" xr:uid="{00000000-0002-0000-0500-000004000000}">
      <formula1>7</formula1>
    </dataValidation>
    <dataValidation type="whole" operator="equal" allowBlank="1" showInputMessage="1" showErrorMessage="1" errorTitle="Invalid value" error="Leave cell blank or enter the number 3." sqref="O149 O135 O147 O103" xr:uid="{00000000-0002-0000-0500-000005000000}">
      <formula1>3</formula1>
    </dataValidation>
    <dataValidation type="whole" operator="equal" allowBlank="1" showInputMessage="1" showErrorMessage="1" errorTitle="Invalid value" error="Leave cell blank or enter the number 10." sqref="O45:O46" xr:uid="{00000000-0002-0000-0500-000006000000}">
      <formula1>10</formula1>
    </dataValidation>
    <dataValidation type="whole" operator="equal" allowBlank="1" showInputMessage="1" showErrorMessage="1" errorTitle="Invalid value" error="Leave cell blank or enter the number 6." sqref="O77 O79" xr:uid="{00000000-0002-0000-0500-000007000000}">
      <formula1>6</formula1>
    </dataValidation>
    <dataValidation type="whole" operator="equal" allowBlank="1" showInputMessage="1" showErrorMessage="1" errorTitle="Invalid value" error="Leave cell blank or enter the number 4." sqref="O101 O81 O133:O134" xr:uid="{00000000-0002-0000-0500-000008000000}">
      <formula1>4</formula1>
    </dataValidation>
    <dataValidation type="whole" operator="equal" allowBlank="1" showInputMessage="1" showErrorMessage="1" errorTitle="Invalid value" error="Leave cell blank or enter the number 5." sqref="O12 O84" xr:uid="{00000000-0002-0000-0500-000009000000}">
      <formula1>5</formula1>
    </dataValidation>
    <dataValidation type="whole" operator="equal" allowBlank="1" showInputMessage="1" showErrorMessage="1" errorTitle="Invalid value" error="Leave cell blank or enter the number 8." sqref="O118 O93 O121 O42:O44" xr:uid="{00000000-0002-0000-0500-00000A000000}">
      <formula1>8</formula1>
    </dataValidation>
    <dataValidation type="whole" operator="equal" allowBlank="1" showInputMessage="1" showErrorMessage="1" errorTitle="Invalid value" error="Leave cell blank or enter the number 2." sqref="O166:O167 O78" xr:uid="{00000000-0002-0000-0500-00000B000000}">
      <formula1>2</formula1>
    </dataValidation>
    <dataValidation type="list" operator="equal" allowBlank="1" showInputMessage="1" showErrorMessage="1" errorTitle="Invalid value" error="Leave cell blank or select an option from the dropdown list provided." sqref="O14" xr:uid="{00000000-0002-0000-0500-00000C000000}">
      <formula1>dd901.1.3_1</formula1>
    </dataValidation>
    <dataValidation type="list" operator="equal" allowBlank="1" showInputMessage="1" showErrorMessage="1" errorTitle="Invalid value" error="Leave cell blank or select an option from the dropdown list provided." sqref="O16" xr:uid="{00000000-0002-0000-0500-00000D000000}">
      <formula1>dd901.1.3_2</formula1>
    </dataValidation>
    <dataValidation type="list" allowBlank="1" showInputMessage="1" showErrorMessage="1" errorTitle="Invalid Entry" error="Select an option from the dropdown list provided." sqref="O18" xr:uid="{00000000-0002-0000-0500-00000E000000}">
      <formula1>dd901.1.4</formula1>
    </dataValidation>
    <dataValidation type="whole" operator="equal" allowBlank="1" showInputMessage="1" showErrorMessage="1" errorTitle="Invalid Entry" error="Leave blank or enter the number 7." sqref="O19" xr:uid="{00000000-0002-0000-0500-00000F000000}">
      <formula1>7</formula1>
    </dataValidation>
    <dataValidation type="list" operator="equal" allowBlank="1" showInputMessage="1" showErrorMessage="1" errorTitle="Invalid value" error="Leave cell blank or select an option from the dropdown list provided." sqref="O20" xr:uid="{00000000-0002-0000-0500-000010000000}">
      <formula1>dd901.1.6</formula1>
    </dataValidation>
    <dataValidation type="list" allowBlank="1" showInputMessage="1" showErrorMessage="1" errorTitle="Invalid Entry" error="Select an option from the dropdown list provided." sqref="O24" xr:uid="{00000000-0002-0000-0500-000011000000}">
      <formula1>dd901.2.1_1</formula1>
    </dataValidation>
    <dataValidation type="list" allowBlank="1" showInputMessage="1" showErrorMessage="1" errorTitle="Invalid Entry" error="Select an option from the dropdown list provided." sqref="O28" xr:uid="{00000000-0002-0000-0500-000012000000}">
      <formula1>dd901.2.1_3</formula1>
    </dataValidation>
    <dataValidation type="list" allowBlank="1" showInputMessage="1" showErrorMessage="1" errorTitle="Invalid Entry" error="Select an option from the dropdown list provided." sqref="O32" xr:uid="{00000000-0002-0000-0500-000013000000}">
      <formula1>dd901.2.1_5</formula1>
    </dataValidation>
    <dataValidation type="list" allowBlank="1" showInputMessage="1" showErrorMessage="1" errorTitle="Invalid Entry" error="Select an option from the dropdown list provided." sqref="O38" xr:uid="{00000000-0002-0000-0500-000014000000}">
      <formula1>dd901.3_1_a</formula1>
    </dataValidation>
    <dataValidation type="list" allowBlank="1" showInputMessage="1" showErrorMessage="1" errorTitle="Invalid Entry" error="Select an option from the dropdown list provided." sqref="O40" xr:uid="{00000000-0002-0000-0500-000015000000}">
      <formula1>dd901.3_1_b</formula1>
    </dataValidation>
    <dataValidation type="list" allowBlank="1" showInputMessage="1" showErrorMessage="1" errorTitle="Invalid Entry" error="Select an option from the dropdown list provided." sqref="O47" xr:uid="{00000000-0002-0000-0500-000016000000}">
      <formula1>dd901.4_1</formula1>
    </dataValidation>
    <dataValidation type="whole" operator="equal" allowBlank="1" showInputMessage="1" showErrorMessage="1" errorTitle="Invalid entry" error="Leave cell blank or enter the number 3." sqref="O57:O60" xr:uid="{00000000-0002-0000-0500-000017000000}">
      <formula1>3</formula1>
    </dataValidation>
    <dataValidation type="whole" operator="equal" allowBlank="1" showInputMessage="1" showErrorMessage="1" errorTitle="Invalid entry" error="Leave cell blank or enter the number 4." sqref="O61:O68" xr:uid="{00000000-0002-0000-0500-000018000000}">
      <formula1>4</formula1>
    </dataValidation>
    <dataValidation type="list" operator="equal" allowBlank="1" showInputMessage="1" showErrorMessage="1" errorTitle="Invalid value" error="Leave cell blank or select an option from the dropdown list provided." sqref="O69" xr:uid="{00000000-0002-0000-0500-000019000000}">
      <formula1>dd901.5</formula1>
    </dataValidation>
    <dataValidation type="list" allowBlank="1" showInputMessage="1" showErrorMessage="1" errorTitle="Invalid Entry" error="Select an option from the dropdown list provided." sqref="O74" xr:uid="{00000000-0002-0000-0500-00001A000000}">
      <formula1>dd901.6_1</formula1>
    </dataValidation>
    <dataValidation type="list" operator="equal" allowBlank="1" showInputMessage="1" showErrorMessage="1" errorTitle="Invalid value" error="Leave cell blank or select an option from the dropdown list provided." sqref="O97:O99" xr:uid="{00000000-0002-0000-0500-00001B000000}">
      <formula1>dd901.10</formula1>
    </dataValidation>
    <dataValidation type="list" operator="equal" allowBlank="1" showInputMessage="1" showErrorMessage="1" errorTitle="Invalid value" error="Leave cell blank or select an option from the dropdown list provided." sqref="O104" xr:uid="{00000000-0002-0000-0500-00001C000000}">
      <formula1>dd901.13</formula1>
    </dataValidation>
    <dataValidation type="list" allowBlank="1" showInputMessage="1" showErrorMessage="1" errorTitle="Invalid Entry" error="Select an option from the dropdown list provided." sqref="O115" xr:uid="{00000000-0002-0000-0500-00001D000000}">
      <formula1>dd902.1.1_1</formula1>
    </dataValidation>
    <dataValidation type="list" allowBlank="1" showInputMessage="1" showErrorMessage="1" errorTitle="Invalid Entry" error="Select an option from the dropdown list provided." sqref="O117" xr:uid="{00000000-0002-0000-0500-00001E000000}">
      <formula1>dd902.1.1_2</formula1>
    </dataValidation>
    <dataValidation type="list" operator="equal" allowBlank="1" showInputMessage="1" showErrorMessage="1" errorTitle="Invalid value" error="Leave cell blank or select an option from the dropdown list provided." sqref="O119" xr:uid="{00000000-0002-0000-0500-00001F000000}">
      <formula1>dd902.1.2</formula1>
    </dataValidation>
    <dataValidation type="list" operator="greaterThan" allowBlank="1" showInputMessage="1" showErrorMessage="1" errorTitle="Invalid value" error="Leave cell blank or select an option from the dropdown list provided." sqref="O124" xr:uid="{00000000-0002-0000-0500-000020000000}">
      <formula1>dd902.1.4_2</formula1>
    </dataValidation>
    <dataValidation type="list" operator="greaterThan" allowBlank="1" showInputMessage="1" showErrorMessage="1" errorTitle="Invalid value" error="Leave cell blank or select an option from the dropdown list provided." sqref="O123" xr:uid="{00000000-0002-0000-0500-000021000000}">
      <formula1>dd902.1.4_1</formula1>
    </dataValidation>
    <dataValidation type="list" allowBlank="1" showInputMessage="1" showErrorMessage="1" errorTitle="Invalid value" error="Leave cell blank or select an option from the dropdown list provided." sqref="O128:O132" xr:uid="{00000000-0002-0000-0500-000022000000}">
      <formula1>dd902.2.1</formula1>
    </dataValidation>
    <dataValidation type="list" operator="equal" allowBlank="1" showInputMessage="1" showErrorMessage="1" errorTitle="Invalid value" error="Leave cell blank or select an option from the dropdown list provided." sqref="O159" xr:uid="{00000000-0002-0000-0500-000023000000}">
      <formula1>dd903.3</formula1>
    </dataValidation>
    <dataValidation type="list" operator="equal" allowBlank="1" showInputMessage="1" showErrorMessage="1" errorTitle="Invalid value" error="Leave cell blank or select an option from the dropdown list provided." sqref="O153" xr:uid="{00000000-0002-0000-0500-000024000000}">
      <formula1>dd903.1</formula1>
    </dataValidation>
    <dataValidation type="list" allowBlank="1" showInputMessage="1" showErrorMessage="1" errorTitle="Invalid Entry" error="Select an option from the dropdown list provided." sqref="O150" xr:uid="{00000000-0002-0000-0500-000025000000}">
      <formula1>dd902.6</formula1>
    </dataValidation>
    <dataValidation type="list" operator="equal" allowBlank="1" showInputMessage="1" showErrorMessage="1" errorTitle="Invalid value" error="Leave cell blank or select an option from the dropdown list provided." sqref="O146" xr:uid="{00000000-0002-0000-0500-000026000000}">
      <formula1>dd902.4</formula1>
    </dataValidation>
    <dataValidation type="list" allowBlank="1" showInputMessage="1" showErrorMessage="1" errorTitle="Invalid Entry" error="Select an option from the dropdown list provided." sqref="O26" xr:uid="{00000000-0002-0000-0500-000027000000}">
      <formula1>dd901.2.1_2</formula1>
    </dataValidation>
    <dataValidation type="list" allowBlank="1" showInputMessage="1" showErrorMessage="1" errorTitle="Invalid Entry" error="Select an option from the dropdown list provided." sqref="O30" xr:uid="{00000000-0002-0000-0500-000028000000}">
      <formula1>dd901.2.1_4</formula1>
    </dataValidation>
    <dataValidation type="list" allowBlank="1" showInputMessage="1" showErrorMessage="1" sqref="O10:O11" xr:uid="{00000000-0002-0000-0500-000029000000}">
      <formula1>"0,5"</formula1>
    </dataValidation>
  </dataValidations>
  <hyperlinks>
    <hyperlink ref="E43:M43" location="appendixA" display="See Appendix A" xr:uid="{00000000-0004-0000-0500-000000000000}"/>
    <hyperlink ref="E138:M138" location="figure9_1" display="See Figure 9(1)" xr:uid="{00000000-0004-0000-0500-000001000000}"/>
    <hyperlink ref="E160" location="'Figure 6(3)'!A1" display="See Figure 6(3)." xr:uid="{00000000-0004-0000-0500-000002000000}"/>
    <hyperlink ref="E160:M160" location="figure6_1" display="See Figure 6(1)." xr:uid="{00000000-0004-0000-0500-000003000000}"/>
    <hyperlink ref="O169:S169" location="'Ch10'!A1" display="Proceed to Chapter 10 &gt;&gt;" xr:uid="{00000000-0004-0000-0500-000004000000}"/>
    <hyperlink ref="E72:M72" location="appendixD" display="See Appendix D" xr:uid="{00000000-0004-0000-0500-000005000000}"/>
    <hyperlink ref="E76:M76" location="appendixD" display="See Appendix D" xr:uid="{00000000-0004-0000-0500-000006000000}"/>
    <hyperlink ref="E80:M80" location="appendixD" display="See Appendix D" xr:uid="{00000000-0004-0000-0500-000007000000}"/>
    <hyperlink ref="E94:M94" location="app901.10_3" display="See Appendix D" xr:uid="{00000000-0004-0000-0500-000008000000}"/>
    <hyperlink ref="E98:M98" location="appendixD" display="See Appendix D" xr:uid="{00000000-0004-0000-0500-000009000000}"/>
    <hyperlink ref="E102:M102" location="appendixD" display="See Appendix D" xr:uid="{00000000-0004-0000-0500-00000A000000}"/>
    <hyperlink ref="E85:M85" location="app901.9.1" display="See Table 901.9.1" xr:uid="{00000000-0004-0000-0500-00000B000000}"/>
    <hyperlink ref="E82:M82" location="appendixD" display="See Appendix D" xr:uid="{00000000-0004-0000-0500-00000C000000}"/>
    <hyperlink ref="E127:F127" location="appendixB" display="See Appendix B" xr:uid="{00000000-0004-0000-0500-00000D000000}"/>
  </hyperlinks>
  <pageMargins left="0.7" right="0.7" top="0.75" bottom="0.75" header="0.3" footer="0.3"/>
  <pageSetup scale="54" fitToHeight="0" orientation="portrait" r:id="rId1"/>
  <headerFooter>
    <oddFooter>&amp;C&amp;8© 2013 Home Innovation Research Labs.  Practices of ICC700-2012 © 2013 National Association of Home Builders- used by permission.   Home Innovation authorizes use by those persons participating in the Home Innovation’s Green Building Certification.</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A1:S78"/>
  <sheetViews>
    <sheetView topLeftCell="B1" zoomScaleNormal="100" workbookViewId="0">
      <pane ySplit="6" topLeftCell="A7" activePane="bottomLeft" state="frozen"/>
      <selection activeCell="A3" sqref="A1:K3"/>
      <selection pane="bottomLeft" activeCell="O34" sqref="O34"/>
    </sheetView>
  </sheetViews>
  <sheetFormatPr baseColWidth="10" defaultColWidth="9.1640625" defaultRowHeight="15"/>
  <cols>
    <col min="1" max="1" width="5.6640625" style="32" hidden="1" customWidth="1"/>
    <col min="2" max="2" width="6.6640625" style="32" customWidth="1"/>
    <col min="3" max="3" width="4.33203125" style="226" customWidth="1"/>
    <col min="4" max="4" width="3.6640625" style="226" customWidth="1"/>
    <col min="5" max="12" width="8.6640625" style="32" customWidth="1"/>
    <col min="13" max="13" width="10.6640625" style="32" bestFit="1" customWidth="1"/>
    <col min="14" max="15" width="15.6640625" style="32" customWidth="1"/>
    <col min="16" max="17" width="11.6640625" style="32" customWidth="1"/>
    <col min="18" max="18" width="11.6640625" style="47" customWidth="1"/>
    <col min="19" max="19" width="11.6640625" style="32" customWidth="1"/>
    <col min="20" max="16384" width="9.1640625" style="32"/>
  </cols>
  <sheetData>
    <row r="1" spans="1:19" ht="15" customHeight="1">
      <c r="B1" s="4481"/>
      <c r="C1" s="4481"/>
      <c r="D1" s="4481"/>
      <c r="E1" s="4481"/>
      <c r="F1" s="4481"/>
      <c r="G1" s="4481"/>
      <c r="H1" s="4481"/>
      <c r="I1" s="4031" t="str">
        <f>levelStatement</f>
        <v>This project has not met all the requirements for Bronze, Silver, Gold, or Emerald.</v>
      </c>
      <c r="J1" s="4031"/>
      <c r="K1" s="4031"/>
      <c r="L1" s="4390"/>
      <c r="M1" s="2877">
        <v>2012</v>
      </c>
      <c r="N1" s="4236" t="s">
        <v>0</v>
      </c>
      <c r="O1" s="4236"/>
      <c r="P1" s="4236" t="s">
        <v>1</v>
      </c>
      <c r="Q1" s="4236"/>
      <c r="R1" s="4236"/>
      <c r="S1" s="4236"/>
    </row>
    <row r="2" spans="1:19" ht="15" customHeight="1">
      <c r="B2" s="4481"/>
      <c r="C2" s="4481"/>
      <c r="D2" s="4481"/>
      <c r="E2" s="4481"/>
      <c r="F2" s="4481"/>
      <c r="G2" s="4481"/>
      <c r="H2" s="4481"/>
      <c r="I2" s="4031"/>
      <c r="J2" s="4031"/>
      <c r="K2" s="4031"/>
      <c r="L2" s="4390"/>
      <c r="M2" s="2878"/>
      <c r="N2" s="1" t="s">
        <v>2</v>
      </c>
      <c r="O2" s="1" t="s">
        <v>3</v>
      </c>
      <c r="P2" s="2" t="s">
        <v>4</v>
      </c>
      <c r="Q2" s="3" t="s">
        <v>5</v>
      </c>
      <c r="R2" s="4" t="s">
        <v>6</v>
      </c>
      <c r="S2" s="5" t="s">
        <v>7</v>
      </c>
    </row>
    <row r="3" spans="1:19" ht="15" customHeight="1">
      <c r="B3" s="4481"/>
      <c r="C3" s="4481"/>
      <c r="D3" s="4481"/>
      <c r="E3" s="4481"/>
      <c r="F3" s="4481"/>
      <c r="G3" s="4481"/>
      <c r="H3" s="4481"/>
      <c r="I3" s="4031"/>
      <c r="J3" s="4031"/>
      <c r="K3" s="4031"/>
      <c r="L3" s="4390"/>
      <c r="M3" s="6" t="s">
        <v>8</v>
      </c>
      <c r="N3" s="971">
        <f>SUM(O9,O34,O37,O48,O61)</f>
        <v>0</v>
      </c>
      <c r="O3" s="969" t="str">
        <f>IF(OR(AND(startSingleorMulti="Single-Family", choice1001.1_1="Met", choice1001.1_2="Met", choice1001.1_3="Met"), AND(startSingleorMulti="Multi-Unit", choice1003.1_1="Met", choice1003.1_2="Met", choice1003.1_3="Met", choice1003.2_1="Met", choice1003.2_2="Met", choice1003.3_1="Met")), "Met", "Not Met")</f>
        <v>Not Met</v>
      </c>
      <c r="P3" s="7">
        <v>8</v>
      </c>
      <c r="Q3" s="7">
        <v>10</v>
      </c>
      <c r="R3" s="7">
        <v>11</v>
      </c>
      <c r="S3" s="7">
        <v>12</v>
      </c>
    </row>
    <row r="4" spans="1:19" ht="15" customHeight="1">
      <c r="B4" s="3649" t="s">
        <v>2987</v>
      </c>
      <c r="C4" s="3649"/>
      <c r="D4" s="3649"/>
      <c r="E4" s="3649"/>
      <c r="F4" s="3649"/>
      <c r="G4" s="3649"/>
      <c r="H4" s="3649"/>
      <c r="I4" s="2874" t="str">
        <f>CONCATENATE("Revised ",TEXT(startRevisionDate,"mmmm dd, yyyy"))</f>
        <v>Revised August 21, 2020</v>
      </c>
      <c r="J4" s="2874"/>
      <c r="K4" s="2874"/>
      <c r="L4" s="2875"/>
      <c r="M4" s="2287" t="s">
        <v>10</v>
      </c>
      <c r="N4" s="2288">
        <f>projectTotal</f>
        <v>0</v>
      </c>
      <c r="O4" s="2289" t="str">
        <f>IF(SUM(projectMandatoryCount)=4,"Met","Not Met")</f>
        <v>Not Met</v>
      </c>
      <c r="P4" s="2283">
        <f>SUM(bronzeMinimum)</f>
        <v>231</v>
      </c>
      <c r="Q4" s="2283">
        <f>SUM(silverMinimum)</f>
        <v>349</v>
      </c>
      <c r="R4" s="2283">
        <f>SUM(goldMinimum)</f>
        <v>509</v>
      </c>
      <c r="S4" s="2283">
        <f>SUM(emeraldMinimum)</f>
        <v>641</v>
      </c>
    </row>
    <row r="5" spans="1:19" ht="17.25" customHeight="1" thickBot="1">
      <c r="B5" s="3650"/>
      <c r="C5" s="3650"/>
      <c r="D5" s="3650"/>
      <c r="E5" s="3650"/>
      <c r="F5" s="3650"/>
      <c r="G5" s="3650"/>
      <c r="H5" s="3650"/>
      <c r="I5" s="3024" t="str">
        <f>CONCATENATE(copyright," All rights reserved.  See full notice at bottom of this sheet")</f>
        <v>© 2020 Home Innovation Research Labs, Inc. All rights reserved.  See full notice at bottom of this sheet</v>
      </c>
      <c r="J5" s="3024"/>
      <c r="K5" s="3024"/>
      <c r="L5" s="3024"/>
      <c r="M5" s="3024"/>
      <c r="N5" s="3024"/>
      <c r="O5" s="3024"/>
      <c r="P5" s="3024"/>
      <c r="Q5" s="3024"/>
      <c r="R5" s="3024"/>
      <c r="S5" s="3024"/>
    </row>
    <row r="6" spans="1:19" ht="14.25" customHeight="1" thickBot="1">
      <c r="B6" s="4237" t="s">
        <v>11</v>
      </c>
      <c r="C6" s="4238"/>
      <c r="D6" s="4239"/>
      <c r="E6" s="4240" t="s">
        <v>508</v>
      </c>
      <c r="F6" s="4240"/>
      <c r="G6" s="4240"/>
      <c r="H6" s="4240"/>
      <c r="I6" s="4240"/>
      <c r="J6" s="4240"/>
      <c r="K6" s="4240"/>
      <c r="L6" s="4240"/>
      <c r="M6" s="4240"/>
      <c r="N6" s="2668" t="s">
        <v>13</v>
      </c>
      <c r="O6" s="2668" t="s">
        <v>232</v>
      </c>
      <c r="P6" s="4242" t="s">
        <v>233</v>
      </c>
      <c r="Q6" s="4238"/>
      <c r="R6" s="4239"/>
      <c r="S6" s="2667" t="s">
        <v>2983</v>
      </c>
    </row>
    <row r="7" spans="1:19" ht="17.25" customHeight="1">
      <c r="B7" s="4479" t="s">
        <v>509</v>
      </c>
      <c r="C7" s="4479"/>
      <c r="D7" s="4479"/>
      <c r="E7" s="4479"/>
      <c r="F7" s="4479"/>
      <c r="G7" s="4479"/>
      <c r="H7" s="4479"/>
      <c r="I7" s="4479"/>
      <c r="J7" s="4479"/>
      <c r="K7" s="4479"/>
      <c r="L7" s="4479"/>
      <c r="M7" s="4479"/>
      <c r="N7" s="4479"/>
      <c r="O7" s="4479"/>
      <c r="P7" s="4479"/>
      <c r="Q7" s="4479"/>
      <c r="R7" s="4479"/>
      <c r="S7" s="4479"/>
    </row>
    <row r="8" spans="1:19" ht="16" thickBot="1">
      <c r="B8" s="205">
        <v>1001</v>
      </c>
      <c r="C8" s="206"/>
      <c r="D8" s="206"/>
      <c r="E8" s="4480" t="s">
        <v>1265</v>
      </c>
      <c r="F8" s="4480"/>
      <c r="G8" s="4480"/>
      <c r="H8" s="4480"/>
      <c r="I8" s="4480"/>
      <c r="J8" s="4480"/>
      <c r="K8" s="4480"/>
      <c r="L8" s="4480"/>
      <c r="M8" s="4480"/>
      <c r="N8" s="1472"/>
      <c r="O8" s="1472"/>
      <c r="P8" s="3072"/>
      <c r="Q8" s="3072"/>
      <c r="R8" s="3072"/>
      <c r="S8" s="91"/>
    </row>
    <row r="9" spans="1:19" ht="30" customHeight="1" thickTop="1">
      <c r="B9" s="4457">
        <v>1001.1</v>
      </c>
      <c r="C9" s="3152"/>
      <c r="D9" s="3152"/>
      <c r="E9" s="3066" t="s">
        <v>510</v>
      </c>
      <c r="F9" s="4472"/>
      <c r="G9" s="4472"/>
      <c r="H9" s="4472"/>
      <c r="I9" s="4472"/>
      <c r="J9" s="4472"/>
      <c r="K9" s="4472"/>
      <c r="L9" s="4472"/>
      <c r="M9" s="4472"/>
      <c r="N9" s="4456" t="s">
        <v>2843</v>
      </c>
      <c r="O9" s="4453">
        <f>IF(ROUNDDOWN(((COUNTIF(claim1001.1_man,"Met")/2)),0)&gt;8,8,ROUNDDOWN(((COUNTIF(claim1001.1_man,"Met")/2)),0))</f>
        <v>0</v>
      </c>
      <c r="P9" s="4475"/>
      <c r="Q9" s="4476"/>
      <c r="R9" s="4477"/>
      <c r="S9" s="4468" t="s">
        <v>20</v>
      </c>
    </row>
    <row r="10" spans="1:19" s="184" customFormat="1" ht="45" customHeight="1">
      <c r="A10" s="701"/>
      <c r="B10" s="4458"/>
      <c r="C10" s="3153"/>
      <c r="D10" s="3153"/>
      <c r="E10" s="2993" t="s">
        <v>1269</v>
      </c>
      <c r="F10" s="2993"/>
      <c r="G10" s="2993"/>
      <c r="H10" s="2993"/>
      <c r="I10" s="2993"/>
      <c r="J10" s="2993"/>
      <c r="K10" s="2993"/>
      <c r="L10" s="2993"/>
      <c r="M10" s="2993"/>
      <c r="N10" s="4443"/>
      <c r="O10" s="4454"/>
      <c r="P10" s="4438"/>
      <c r="Q10" s="4439"/>
      <c r="R10" s="4478"/>
      <c r="S10" s="3321"/>
    </row>
    <row r="11" spans="1:19" s="184" customFormat="1" ht="30" customHeight="1">
      <c r="A11" s="701"/>
      <c r="B11" s="4458"/>
      <c r="C11" s="3153"/>
      <c r="D11" s="3153"/>
      <c r="E11" s="4444" t="str">
        <f>IF(startSingleorMulti="Single-Family",CONCATENATE("This project is ",startSingleorMulti," &amp; is eligible for points in 1001.1."),(IF(startSingleorMulti="Multi-Unit",CONCATENATE("This project is ",startSingleorMulti," &amp; is NOT eligible for points in 1001.1."),"To claim points in Chapter 10, you must select Single-Family or Multi-Unit on the Start Here! worksheet.")))</f>
        <v>To claim points in Chapter 10, you must select Single-Family or Multi-Unit on the Start Here! worksheet.</v>
      </c>
      <c r="F11" s="4444"/>
      <c r="G11" s="4444"/>
      <c r="H11" s="4444"/>
      <c r="I11" s="4444"/>
      <c r="J11" s="4444"/>
      <c r="K11" s="4444"/>
      <c r="L11" s="4444"/>
      <c r="M11" s="4444"/>
      <c r="N11" s="4443"/>
      <c r="O11" s="4455"/>
      <c r="P11" s="4438"/>
      <c r="Q11" s="4439"/>
      <c r="R11" s="4478"/>
      <c r="S11" s="3321"/>
    </row>
    <row r="12" spans="1:19" ht="45">
      <c r="B12" s="1450"/>
      <c r="C12" s="1451">
        <v>1</v>
      </c>
      <c r="D12" s="1451"/>
      <c r="E12" s="3065" t="s">
        <v>511</v>
      </c>
      <c r="F12" s="3411"/>
      <c r="G12" s="3411"/>
      <c r="H12" s="3411"/>
      <c r="I12" s="3411"/>
      <c r="J12" s="3411"/>
      <c r="K12" s="3411"/>
      <c r="L12" s="3411"/>
      <c r="M12" s="3411"/>
      <c r="N12" s="1456" t="s">
        <v>512</v>
      </c>
      <c r="O12" s="815"/>
      <c r="P12" s="4473"/>
      <c r="Q12" s="3613"/>
      <c r="R12" s="4474"/>
      <c r="S12" s="832"/>
    </row>
    <row r="13" spans="1:19" ht="45">
      <c r="B13" s="1450"/>
      <c r="C13" s="1440">
        <v>2</v>
      </c>
      <c r="D13" s="1440"/>
      <c r="E13" s="3086" t="s">
        <v>513</v>
      </c>
      <c r="F13" s="4448"/>
      <c r="G13" s="4448"/>
      <c r="H13" s="4448"/>
      <c r="I13" s="4448"/>
      <c r="J13" s="4448"/>
      <c r="K13" s="4448"/>
      <c r="L13" s="4448"/>
      <c r="M13" s="4448"/>
      <c r="N13" s="220" t="s">
        <v>512</v>
      </c>
      <c r="O13" s="813"/>
      <c r="P13" s="4358"/>
      <c r="Q13" s="3635"/>
      <c r="R13" s="3782"/>
      <c r="S13" s="833"/>
    </row>
    <row r="14" spans="1:19" ht="45">
      <c r="B14" s="1450"/>
      <c r="C14" s="1440">
        <v>3</v>
      </c>
      <c r="D14" s="1440"/>
      <c r="E14" s="3064" t="s">
        <v>514</v>
      </c>
      <c r="F14" s="4471"/>
      <c r="G14" s="4471"/>
      <c r="H14" s="4471"/>
      <c r="I14" s="4471"/>
      <c r="J14" s="4471"/>
      <c r="K14" s="4471"/>
      <c r="L14" s="4471"/>
      <c r="M14" s="4471"/>
      <c r="N14" s="220" t="s">
        <v>512</v>
      </c>
      <c r="O14" s="813"/>
      <c r="P14" s="4358"/>
      <c r="Q14" s="3635"/>
      <c r="R14" s="3782"/>
      <c r="S14" s="831"/>
    </row>
    <row r="15" spans="1:19">
      <c r="B15" s="1450"/>
      <c r="C15" s="1440">
        <v>4</v>
      </c>
      <c r="D15" s="1440"/>
      <c r="E15" s="3086" t="s">
        <v>524</v>
      </c>
      <c r="F15" s="4448"/>
      <c r="G15" s="4448"/>
      <c r="H15" s="4448"/>
      <c r="I15" s="4448"/>
      <c r="J15" s="4448"/>
      <c r="K15" s="4448"/>
      <c r="L15" s="4448"/>
      <c r="M15" s="4448"/>
      <c r="N15" s="28">
        <v>0.5</v>
      </c>
      <c r="O15" s="1790"/>
      <c r="P15" s="4358"/>
      <c r="Q15" s="3635"/>
      <c r="R15" s="3782"/>
      <c r="S15" s="831"/>
    </row>
    <row r="16" spans="1:19" ht="30" customHeight="1">
      <c r="B16" s="1450"/>
      <c r="C16" s="1440">
        <v>5</v>
      </c>
      <c r="D16" s="1440"/>
      <c r="E16" s="3086" t="s">
        <v>515</v>
      </c>
      <c r="F16" s="4448"/>
      <c r="G16" s="4448"/>
      <c r="H16" s="4448"/>
      <c r="I16" s="4448"/>
      <c r="J16" s="4448"/>
      <c r="K16" s="4448"/>
      <c r="L16" s="4448"/>
      <c r="M16" s="4448"/>
      <c r="N16" s="28">
        <v>0.5</v>
      </c>
      <c r="O16" s="1790"/>
      <c r="P16" s="4358"/>
      <c r="Q16" s="3635"/>
      <c r="R16" s="3782"/>
      <c r="S16" s="831"/>
    </row>
    <row r="17" spans="2:19" ht="30" customHeight="1">
      <c r="B17" s="1450"/>
      <c r="C17" s="1440">
        <v>6</v>
      </c>
      <c r="D17" s="1440"/>
      <c r="E17" s="3086" t="s">
        <v>516</v>
      </c>
      <c r="F17" s="4448"/>
      <c r="G17" s="4448"/>
      <c r="H17" s="4448"/>
      <c r="I17" s="4448"/>
      <c r="J17" s="4448"/>
      <c r="K17" s="4448"/>
      <c r="L17" s="4448"/>
      <c r="M17" s="4448"/>
      <c r="N17" s="21">
        <v>0.5</v>
      </c>
      <c r="O17" s="1791"/>
      <c r="P17" s="4358"/>
      <c r="Q17" s="3635"/>
      <c r="R17" s="3782"/>
      <c r="S17" s="831"/>
    </row>
    <row r="18" spans="2:19" ht="30" customHeight="1">
      <c r="B18" s="1450"/>
      <c r="C18" s="1440">
        <v>7</v>
      </c>
      <c r="D18" s="1440"/>
      <c r="E18" s="4469" t="s">
        <v>517</v>
      </c>
      <c r="F18" s="4470"/>
      <c r="G18" s="4470"/>
      <c r="H18" s="4470"/>
      <c r="I18" s="4470"/>
      <c r="J18" s="4470"/>
      <c r="K18" s="4470"/>
      <c r="L18" s="4470"/>
      <c r="M18" s="4470"/>
      <c r="N18" s="21">
        <v>0.5</v>
      </c>
      <c r="O18" s="1791"/>
      <c r="P18" s="4358"/>
      <c r="Q18" s="3635"/>
      <c r="R18" s="3782"/>
      <c r="S18" s="831"/>
    </row>
    <row r="19" spans="2:19" ht="30" customHeight="1">
      <c r="B19" s="1450"/>
      <c r="C19" s="1440">
        <v>8</v>
      </c>
      <c r="D19" s="1440"/>
      <c r="E19" s="3086" t="s">
        <v>518</v>
      </c>
      <c r="F19" s="4448"/>
      <c r="G19" s="4448"/>
      <c r="H19" s="4448"/>
      <c r="I19" s="4448"/>
      <c r="J19" s="4448"/>
      <c r="K19" s="4448"/>
      <c r="L19" s="4448"/>
      <c r="M19" s="4448"/>
      <c r="N19" s="28">
        <v>0.5</v>
      </c>
      <c r="O19" s="1790"/>
      <c r="P19" s="4358"/>
      <c r="Q19" s="3635"/>
      <c r="R19" s="3782"/>
      <c r="S19" s="831"/>
    </row>
    <row r="20" spans="2:19" ht="30" customHeight="1">
      <c r="B20" s="1450"/>
      <c r="C20" s="1440">
        <v>9</v>
      </c>
      <c r="D20" s="1440"/>
      <c r="E20" s="3086" t="s">
        <v>519</v>
      </c>
      <c r="F20" s="4448"/>
      <c r="G20" s="4448"/>
      <c r="H20" s="4448"/>
      <c r="I20" s="4448"/>
      <c r="J20" s="4448"/>
      <c r="K20" s="4448"/>
      <c r="L20" s="4448"/>
      <c r="M20" s="4448"/>
      <c r="N20" s="28">
        <v>0.5</v>
      </c>
      <c r="O20" s="1790"/>
      <c r="P20" s="4358"/>
      <c r="Q20" s="3635"/>
      <c r="R20" s="3782"/>
      <c r="S20" s="831"/>
    </row>
    <row r="21" spans="2:19" ht="30" customHeight="1">
      <c r="B21" s="1450"/>
      <c r="C21" s="1440">
        <v>10</v>
      </c>
      <c r="D21" s="1440"/>
      <c r="E21" s="3086" t="s">
        <v>520</v>
      </c>
      <c r="F21" s="4448"/>
      <c r="G21" s="4448"/>
      <c r="H21" s="4448"/>
      <c r="I21" s="4448"/>
      <c r="J21" s="4448"/>
      <c r="K21" s="4448"/>
      <c r="L21" s="4448"/>
      <c r="M21" s="4448"/>
      <c r="N21" s="28">
        <v>0.5</v>
      </c>
      <c r="O21" s="1790"/>
      <c r="P21" s="4358"/>
      <c r="Q21" s="3635"/>
      <c r="R21" s="3782"/>
      <c r="S21" s="831"/>
    </row>
    <row r="22" spans="2:19" ht="75" customHeight="1">
      <c r="B22" s="1450"/>
      <c r="C22" s="1440">
        <v>11</v>
      </c>
      <c r="D22" s="1440"/>
      <c r="E22" s="3086" t="s">
        <v>521</v>
      </c>
      <c r="F22" s="4448"/>
      <c r="G22" s="4448"/>
      <c r="H22" s="4448"/>
      <c r="I22" s="4448"/>
      <c r="J22" s="4448"/>
      <c r="K22" s="4448"/>
      <c r="L22" s="4448"/>
      <c r="M22" s="4448"/>
      <c r="N22" s="806">
        <v>0.5</v>
      </c>
      <c r="O22" s="1792"/>
      <c r="P22" s="4358"/>
      <c r="Q22" s="3635"/>
      <c r="R22" s="3782"/>
      <c r="S22" s="831"/>
    </row>
    <row r="23" spans="2:19" ht="60" customHeight="1">
      <c r="B23" s="1450"/>
      <c r="C23" s="1440">
        <v>12</v>
      </c>
      <c r="D23" s="1440"/>
      <c r="E23" s="3086" t="s">
        <v>522</v>
      </c>
      <c r="F23" s="4448"/>
      <c r="G23" s="4448"/>
      <c r="H23" s="4448"/>
      <c r="I23" s="4448"/>
      <c r="J23" s="4448"/>
      <c r="K23" s="4448"/>
      <c r="L23" s="4448"/>
      <c r="M23" s="4448"/>
      <c r="N23" s="543">
        <v>0.5</v>
      </c>
      <c r="O23" s="1793"/>
      <c r="P23" s="4358"/>
      <c r="Q23" s="3635"/>
      <c r="R23" s="3782"/>
      <c r="S23" s="831"/>
    </row>
    <row r="24" spans="2:19" ht="45" customHeight="1">
      <c r="B24" s="1450"/>
      <c r="C24" s="1440">
        <v>13</v>
      </c>
      <c r="D24" s="1440"/>
      <c r="E24" s="3086" t="s">
        <v>523</v>
      </c>
      <c r="F24" s="4448"/>
      <c r="G24" s="4448"/>
      <c r="H24" s="4448"/>
      <c r="I24" s="4448"/>
      <c r="J24" s="4448"/>
      <c r="K24" s="4448"/>
      <c r="L24" s="4448"/>
      <c r="M24" s="4448"/>
      <c r="N24" s="543">
        <v>0.5</v>
      </c>
      <c r="O24" s="1793"/>
      <c r="P24" s="4358"/>
      <c r="Q24" s="3635"/>
      <c r="R24" s="3782"/>
      <c r="S24" s="831"/>
    </row>
    <row r="25" spans="2:19" ht="30" customHeight="1">
      <c r="B25" s="210"/>
      <c r="C25" s="1469">
        <v>14</v>
      </c>
      <c r="D25" s="1469"/>
      <c r="E25" s="3155" t="s">
        <v>525</v>
      </c>
      <c r="F25" s="3155"/>
      <c r="G25" s="3155"/>
      <c r="H25" s="3155"/>
      <c r="I25" s="3155"/>
      <c r="J25" s="3155"/>
      <c r="K25" s="3155"/>
      <c r="L25" s="3155"/>
      <c r="M25" s="3155"/>
      <c r="N25" s="803">
        <v>0.5</v>
      </c>
      <c r="O25" s="1794"/>
      <c r="P25" s="4358"/>
      <c r="Q25" s="3635"/>
      <c r="R25" s="3782"/>
      <c r="S25" s="831"/>
    </row>
    <row r="26" spans="2:19" ht="15" customHeight="1">
      <c r="B26" s="210"/>
      <c r="C26" s="1469">
        <v>15</v>
      </c>
      <c r="D26" s="1469"/>
      <c r="E26" s="4070" t="s">
        <v>526</v>
      </c>
      <c r="F26" s="4445"/>
      <c r="G26" s="4445"/>
      <c r="H26" s="4445"/>
      <c r="I26" s="4445"/>
      <c r="J26" s="4445"/>
      <c r="K26" s="4445"/>
      <c r="L26" s="4445"/>
      <c r="M26" s="4445"/>
      <c r="N26" s="802">
        <v>0.5</v>
      </c>
      <c r="O26" s="1793"/>
      <c r="P26" s="4358"/>
      <c r="Q26" s="3635"/>
      <c r="R26" s="3782"/>
      <c r="S26" s="831"/>
    </row>
    <row r="27" spans="2:19" ht="30" customHeight="1">
      <c r="B27" s="210"/>
      <c r="C27" s="1469">
        <v>16</v>
      </c>
      <c r="D27" s="1469"/>
      <c r="E27" s="3155" t="s">
        <v>527</v>
      </c>
      <c r="F27" s="3155"/>
      <c r="G27" s="3155"/>
      <c r="H27" s="3155"/>
      <c r="I27" s="3155"/>
      <c r="J27" s="3155"/>
      <c r="K27" s="3155"/>
      <c r="L27" s="3155"/>
      <c r="M27" s="3155"/>
      <c r="N27" s="803">
        <v>0.5</v>
      </c>
      <c r="O27" s="1794"/>
      <c r="P27" s="4358"/>
      <c r="Q27" s="3635"/>
      <c r="R27" s="3782"/>
      <c r="S27" s="831"/>
    </row>
    <row r="28" spans="2:19" ht="30" customHeight="1">
      <c r="B28" s="210"/>
      <c r="C28" s="1469">
        <v>17</v>
      </c>
      <c r="D28" s="1469"/>
      <c r="E28" s="4070" t="s">
        <v>528</v>
      </c>
      <c r="F28" s="4445"/>
      <c r="G28" s="4445"/>
      <c r="H28" s="4445"/>
      <c r="I28" s="4445"/>
      <c r="J28" s="4445"/>
      <c r="K28" s="4445"/>
      <c r="L28" s="4445"/>
      <c r="M28" s="4445"/>
      <c r="N28" s="804">
        <v>0.5</v>
      </c>
      <c r="O28" s="1793"/>
      <c r="P28" s="4358"/>
      <c r="Q28" s="3635"/>
      <c r="R28" s="3782"/>
      <c r="S28" s="831"/>
    </row>
    <row r="29" spans="2:19">
      <c r="B29" s="210"/>
      <c r="C29" s="1469">
        <v>18</v>
      </c>
      <c r="D29" s="1469"/>
      <c r="E29" s="4070" t="s">
        <v>529</v>
      </c>
      <c r="F29" s="4445"/>
      <c r="G29" s="4445"/>
      <c r="H29" s="4445"/>
      <c r="I29" s="4445"/>
      <c r="J29" s="4445"/>
      <c r="K29" s="4445"/>
      <c r="L29" s="4445"/>
      <c r="M29" s="4445"/>
      <c r="N29" s="805">
        <v>0.5</v>
      </c>
      <c r="O29" s="1793"/>
      <c r="P29" s="4358"/>
      <c r="Q29" s="3635"/>
      <c r="R29" s="3782"/>
      <c r="S29" s="831"/>
    </row>
    <row r="30" spans="2:19" ht="30" customHeight="1">
      <c r="B30" s="210"/>
      <c r="C30" s="1469">
        <v>19</v>
      </c>
      <c r="D30" s="1469"/>
      <c r="E30" s="4070" t="s">
        <v>530</v>
      </c>
      <c r="F30" s="4445"/>
      <c r="G30" s="4445"/>
      <c r="H30" s="4445"/>
      <c r="I30" s="4445"/>
      <c r="J30" s="4445"/>
      <c r="K30" s="4445"/>
      <c r="L30" s="4445"/>
      <c r="M30" s="4445"/>
      <c r="N30" s="805">
        <v>0.5</v>
      </c>
      <c r="O30" s="1793"/>
      <c r="P30" s="4358"/>
      <c r="Q30" s="3635"/>
      <c r="R30" s="3782"/>
      <c r="S30" s="831"/>
    </row>
    <row r="31" spans="2:19" ht="30" customHeight="1">
      <c r="B31" s="210"/>
      <c r="C31" s="1469">
        <v>20</v>
      </c>
      <c r="D31" s="1469"/>
      <c r="E31" s="4070" t="s">
        <v>531</v>
      </c>
      <c r="F31" s="4445"/>
      <c r="G31" s="4445"/>
      <c r="H31" s="4445"/>
      <c r="I31" s="4445"/>
      <c r="J31" s="4445"/>
      <c r="K31" s="4445"/>
      <c r="L31" s="4445"/>
      <c r="M31" s="4445"/>
      <c r="N31" s="1467">
        <v>0.5</v>
      </c>
      <c r="O31" s="1795"/>
      <c r="P31" s="4466"/>
      <c r="Q31" s="3669"/>
      <c r="R31" s="3670"/>
      <c r="S31" s="831"/>
    </row>
    <row r="32" spans="2:19" ht="30" customHeight="1">
      <c r="B32" s="210"/>
      <c r="C32" s="809">
        <v>21</v>
      </c>
      <c r="D32" s="809"/>
      <c r="E32" s="4150" t="s">
        <v>1262</v>
      </c>
      <c r="F32" s="4150"/>
      <c r="G32" s="4150"/>
      <c r="H32" s="4150"/>
      <c r="I32" s="4150"/>
      <c r="J32" s="4150"/>
      <c r="K32" s="4150"/>
      <c r="L32" s="4150"/>
      <c r="M32" s="4150"/>
      <c r="N32" s="1467">
        <v>0.5</v>
      </c>
      <c r="O32" s="1795"/>
      <c r="P32" s="3684"/>
      <c r="Q32" s="3684"/>
      <c r="R32" s="3684"/>
      <c r="S32" s="1529"/>
    </row>
    <row r="33" spans="1:19">
      <c r="B33" s="3319" t="s">
        <v>532</v>
      </c>
      <c r="C33" s="3319"/>
      <c r="D33" s="3319"/>
      <c r="E33" s="3319"/>
      <c r="F33" s="3319"/>
      <c r="G33" s="3319"/>
      <c r="H33" s="3319"/>
      <c r="I33" s="3319"/>
      <c r="J33" s="3319"/>
      <c r="K33" s="3319"/>
      <c r="L33" s="3319"/>
      <c r="M33" s="3319"/>
      <c r="N33" s="3319"/>
      <c r="O33" s="3319"/>
      <c r="P33" s="3319"/>
      <c r="Q33" s="3319"/>
      <c r="R33" s="3319"/>
      <c r="S33" s="3319"/>
    </row>
    <row r="34" spans="1:19" ht="150" customHeight="1">
      <c r="B34" s="223">
        <v>1002.1</v>
      </c>
      <c r="C34" s="1444"/>
      <c r="D34" s="1444"/>
      <c r="E34" s="3065" t="s">
        <v>1263</v>
      </c>
      <c r="F34" s="3411"/>
      <c r="G34" s="3411"/>
      <c r="H34" s="3411"/>
      <c r="I34" s="3411"/>
      <c r="J34" s="3411"/>
      <c r="K34" s="3411"/>
      <c r="L34" s="3411"/>
      <c r="M34" s="3411"/>
      <c r="N34" s="1430">
        <v>8</v>
      </c>
      <c r="O34" s="1453"/>
      <c r="P34" s="3633"/>
      <c r="Q34" s="3486"/>
      <c r="R34" s="3486"/>
      <c r="S34" s="1434" t="s">
        <v>20</v>
      </c>
    </row>
    <row r="35" spans="1:19">
      <c r="B35" s="3319" t="s">
        <v>533</v>
      </c>
      <c r="C35" s="3319"/>
      <c r="D35" s="3319"/>
      <c r="E35" s="3319"/>
      <c r="F35" s="3319"/>
      <c r="G35" s="3319"/>
      <c r="H35" s="3319"/>
      <c r="I35" s="3319"/>
      <c r="J35" s="3319"/>
      <c r="K35" s="3319"/>
      <c r="L35" s="3319"/>
      <c r="M35" s="3319"/>
      <c r="N35" s="3319"/>
      <c r="O35" s="3319"/>
      <c r="P35" s="3319"/>
      <c r="Q35" s="3319"/>
      <c r="R35" s="3319"/>
      <c r="S35" s="3319"/>
    </row>
    <row r="36" spans="1:19" ht="90" customHeight="1" thickBot="1">
      <c r="B36" s="1471">
        <v>1003</v>
      </c>
      <c r="C36" s="816"/>
      <c r="D36" s="816"/>
      <c r="E36" s="3065" t="s">
        <v>1264</v>
      </c>
      <c r="F36" s="3065"/>
      <c r="G36" s="3065"/>
      <c r="H36" s="3065"/>
      <c r="I36" s="3065"/>
      <c r="J36" s="3065"/>
      <c r="K36" s="3065"/>
      <c r="L36" s="3065"/>
      <c r="M36" s="3065"/>
      <c r="N36" s="1437"/>
      <c r="O36" s="1437"/>
      <c r="P36" s="4441"/>
      <c r="Q36" s="4441"/>
      <c r="R36" s="4441"/>
      <c r="S36" s="91"/>
    </row>
    <row r="37" spans="1:19" ht="50" customHeight="1" thickTop="1">
      <c r="B37" s="4482">
        <v>1003.1</v>
      </c>
      <c r="C37" s="4467"/>
      <c r="D37" s="4467"/>
      <c r="E37" s="4463" t="s">
        <v>534</v>
      </c>
      <c r="F37" s="4464"/>
      <c r="G37" s="4464"/>
      <c r="H37" s="4464"/>
      <c r="I37" s="4464"/>
      <c r="J37" s="4464"/>
      <c r="K37" s="4464"/>
      <c r="L37" s="4464"/>
      <c r="M37" s="4464"/>
      <c r="N37" s="4442" t="s">
        <v>535</v>
      </c>
      <c r="O37" s="4465">
        <f>ROUNDDOWN(((COUNTIF(claim1003.1_man,"Met")/2)),0)</f>
        <v>0</v>
      </c>
      <c r="P37" s="4435"/>
      <c r="Q37" s="4436"/>
      <c r="R37" s="4437"/>
      <c r="S37" s="4141" t="s">
        <v>20</v>
      </c>
    </row>
    <row r="38" spans="1:19" s="184" customFormat="1" ht="45" customHeight="1">
      <c r="A38" s="701"/>
      <c r="B38" s="4458"/>
      <c r="C38" s="3153"/>
      <c r="D38" s="3153"/>
      <c r="E38" s="2993" t="s">
        <v>1267</v>
      </c>
      <c r="F38" s="2993"/>
      <c r="G38" s="2993"/>
      <c r="H38" s="2993"/>
      <c r="I38" s="2993"/>
      <c r="J38" s="2993"/>
      <c r="K38" s="2993"/>
      <c r="L38" s="2993"/>
      <c r="M38" s="2993"/>
      <c r="N38" s="4443"/>
      <c r="O38" s="4454"/>
      <c r="P38" s="4438"/>
      <c r="Q38" s="4439"/>
      <c r="R38" s="4440"/>
      <c r="S38" s="3055"/>
    </row>
    <row r="39" spans="1:19" s="184" customFormat="1" ht="30" customHeight="1">
      <c r="A39" s="701"/>
      <c r="B39" s="4458"/>
      <c r="C39" s="3153"/>
      <c r="D39" s="3153"/>
      <c r="E39" s="4444" t="str">
        <f>IF(startSingleorMulti="Single-Family",CONCATENATE("This project is ",startSingleorMulti," &amp; is NOT eligible for points in 1003.1."),(IF(startSingleorMulti="Multi-Unit",CONCATENATE("This project is ",startSingleorMulti," &amp; is eligible for points in 1003.1."),"To claim points in Chapter 10, you must select Single-Family or Multi-Unit on the Start Here! worksheet.")))</f>
        <v>To claim points in Chapter 10, you must select Single-Family or Multi-Unit on the Start Here! worksheet.</v>
      </c>
      <c r="F39" s="4444"/>
      <c r="G39" s="4444"/>
      <c r="H39" s="4444"/>
      <c r="I39" s="4444"/>
      <c r="J39" s="4444"/>
      <c r="K39" s="4444"/>
      <c r="L39" s="4444"/>
      <c r="M39" s="4444"/>
      <c r="N39" s="4443"/>
      <c r="O39" s="4455"/>
      <c r="P39" s="4438"/>
      <c r="Q39" s="4439"/>
      <c r="R39" s="4440"/>
      <c r="S39" s="3055"/>
    </row>
    <row r="40" spans="1:19" ht="45" customHeight="1">
      <c r="B40" s="210"/>
      <c r="C40" s="1470">
        <v>1</v>
      </c>
      <c r="D40" s="1470"/>
      <c r="E40" s="4460" t="s">
        <v>536</v>
      </c>
      <c r="F40" s="4460"/>
      <c r="G40" s="4460"/>
      <c r="H40" s="4460"/>
      <c r="I40" s="4460"/>
      <c r="J40" s="4460"/>
      <c r="K40" s="4460"/>
      <c r="L40" s="4460"/>
      <c r="M40" s="4460"/>
      <c r="N40" s="817" t="s">
        <v>537</v>
      </c>
      <c r="O40" s="815"/>
      <c r="P40" s="4358"/>
      <c r="Q40" s="3635"/>
      <c r="R40" s="3782"/>
      <c r="S40" s="832"/>
    </row>
    <row r="41" spans="1:19" ht="45" customHeight="1">
      <c r="B41" s="210"/>
      <c r="C41" s="818">
        <v>2</v>
      </c>
      <c r="D41" s="818"/>
      <c r="E41" s="4292" t="s">
        <v>538</v>
      </c>
      <c r="F41" s="4461"/>
      <c r="G41" s="4461"/>
      <c r="H41" s="4461"/>
      <c r="I41" s="4461"/>
      <c r="J41" s="4461"/>
      <c r="K41" s="4461"/>
      <c r="L41" s="4461"/>
      <c r="M41" s="4461"/>
      <c r="N41" s="167" t="s">
        <v>537</v>
      </c>
      <c r="O41" s="813"/>
      <c r="P41" s="4358"/>
      <c r="Q41" s="3635"/>
      <c r="R41" s="3782"/>
      <c r="S41" s="833"/>
    </row>
    <row r="42" spans="1:19" ht="45" customHeight="1">
      <c r="B42" s="210"/>
      <c r="C42" s="818">
        <v>3</v>
      </c>
      <c r="D42" s="818"/>
      <c r="E42" s="4292" t="s">
        <v>539</v>
      </c>
      <c r="F42" s="4292"/>
      <c r="G42" s="4292"/>
      <c r="H42" s="4292"/>
      <c r="I42" s="4292"/>
      <c r="J42" s="4292"/>
      <c r="K42" s="4292"/>
      <c r="L42" s="4292"/>
      <c r="M42" s="4292"/>
      <c r="N42" s="167" t="s">
        <v>537</v>
      </c>
      <c r="O42" s="813"/>
      <c r="P42" s="4358"/>
      <c r="Q42" s="3635"/>
      <c r="R42" s="3782"/>
      <c r="S42" s="833"/>
    </row>
    <row r="43" spans="1:19" ht="30" customHeight="1">
      <c r="B43" s="210"/>
      <c r="C43" s="818">
        <v>4</v>
      </c>
      <c r="D43" s="818"/>
      <c r="E43" s="4292" t="s">
        <v>540</v>
      </c>
      <c r="F43" s="4292"/>
      <c r="G43" s="4292"/>
      <c r="H43" s="4292"/>
      <c r="I43" s="4292"/>
      <c r="J43" s="4292"/>
      <c r="K43" s="4292"/>
      <c r="L43" s="4292"/>
      <c r="M43" s="4292"/>
      <c r="N43" s="1460">
        <v>0.5</v>
      </c>
      <c r="O43" s="1796"/>
      <c r="P43" s="4358"/>
      <c r="Q43" s="3635"/>
      <c r="R43" s="3782"/>
      <c r="S43" s="833"/>
    </row>
    <row r="44" spans="1:19" ht="30" customHeight="1">
      <c r="B44" s="210"/>
      <c r="C44" s="818">
        <v>5</v>
      </c>
      <c r="D44" s="818"/>
      <c r="E44" s="4459" t="s">
        <v>541</v>
      </c>
      <c r="F44" s="4459"/>
      <c r="G44" s="4459"/>
      <c r="H44" s="4459"/>
      <c r="I44" s="4459"/>
      <c r="J44" s="4459"/>
      <c r="K44" s="4459"/>
      <c r="L44" s="4459"/>
      <c r="M44" s="4459"/>
      <c r="N44" s="820">
        <v>0.5</v>
      </c>
      <c r="O44" s="1796"/>
      <c r="P44" s="4358"/>
      <c r="Q44" s="3635"/>
      <c r="R44" s="3782"/>
      <c r="S44" s="833"/>
    </row>
    <row r="45" spans="1:19" ht="30" customHeight="1">
      <c r="B45" s="210"/>
      <c r="C45" s="818">
        <v>6</v>
      </c>
      <c r="D45" s="818"/>
      <c r="E45" s="4292" t="s">
        <v>520</v>
      </c>
      <c r="F45" s="4292"/>
      <c r="G45" s="4292"/>
      <c r="H45" s="4292"/>
      <c r="I45" s="4292"/>
      <c r="J45" s="4292"/>
      <c r="K45" s="4292"/>
      <c r="L45" s="4292"/>
      <c r="M45" s="4292"/>
      <c r="N45" s="528">
        <v>0.5</v>
      </c>
      <c r="O45" s="1796"/>
      <c r="P45" s="4358"/>
      <c r="Q45" s="3635"/>
      <c r="R45" s="3782"/>
      <c r="S45" s="833"/>
    </row>
    <row r="46" spans="1:19" ht="30" customHeight="1">
      <c r="B46" s="210"/>
      <c r="C46" s="818">
        <v>7</v>
      </c>
      <c r="D46" s="818"/>
      <c r="E46" s="4459" t="s">
        <v>542</v>
      </c>
      <c r="F46" s="4459"/>
      <c r="G46" s="4459"/>
      <c r="H46" s="4459"/>
      <c r="I46" s="4459"/>
      <c r="J46" s="4459"/>
      <c r="K46" s="4459"/>
      <c r="L46" s="4459"/>
      <c r="M46" s="4459"/>
      <c r="N46" s="820">
        <v>0.5</v>
      </c>
      <c r="O46" s="1796"/>
      <c r="P46" s="4358"/>
      <c r="Q46" s="3635"/>
      <c r="R46" s="3782"/>
      <c r="S46" s="833"/>
    </row>
    <row r="47" spans="1:19" ht="30" customHeight="1" thickBot="1">
      <c r="B47" s="210"/>
      <c r="C47" s="821">
        <v>8</v>
      </c>
      <c r="D47" s="821"/>
      <c r="E47" s="4335" t="s">
        <v>543</v>
      </c>
      <c r="F47" s="4462"/>
      <c r="G47" s="4462"/>
      <c r="H47" s="4462"/>
      <c r="I47" s="4462"/>
      <c r="J47" s="4462"/>
      <c r="K47" s="4462"/>
      <c r="L47" s="4462"/>
      <c r="M47" s="4462"/>
      <c r="N47" s="822">
        <v>0.5</v>
      </c>
      <c r="O47" s="1797"/>
      <c r="P47" s="4149"/>
      <c r="Q47" s="3486"/>
      <c r="R47" s="3934"/>
      <c r="S47" s="834"/>
    </row>
    <row r="48" spans="1:19" ht="60" customHeight="1" thickTop="1">
      <c r="B48" s="4457">
        <v>1003.2</v>
      </c>
      <c r="C48" s="3152"/>
      <c r="D48" s="3152"/>
      <c r="E48" s="3585" t="s">
        <v>1270</v>
      </c>
      <c r="F48" s="3555"/>
      <c r="G48" s="3555"/>
      <c r="H48" s="3555"/>
      <c r="I48" s="3555"/>
      <c r="J48" s="3555"/>
      <c r="K48" s="3555"/>
      <c r="L48" s="3555"/>
      <c r="M48" s="3555"/>
      <c r="N48" s="4456" t="s">
        <v>535</v>
      </c>
      <c r="O48" s="4453">
        <f>ROUNDDOWN(((COUNTIF(claim1003.2_man,"Met")/2)),0)</f>
        <v>0</v>
      </c>
      <c r="P48" s="4435"/>
      <c r="Q48" s="4436"/>
      <c r="R48" s="4437"/>
      <c r="S48" s="3204" t="s">
        <v>20</v>
      </c>
    </row>
    <row r="49" spans="1:19" s="184" customFormat="1" ht="45" customHeight="1">
      <c r="A49" s="701"/>
      <c r="B49" s="4458"/>
      <c r="C49" s="3153"/>
      <c r="D49" s="3153"/>
      <c r="E49" s="2993" t="s">
        <v>1268</v>
      </c>
      <c r="F49" s="2993"/>
      <c r="G49" s="2993"/>
      <c r="H49" s="2993"/>
      <c r="I49" s="2993"/>
      <c r="J49" s="2993"/>
      <c r="K49" s="2993"/>
      <c r="L49" s="2993"/>
      <c r="M49" s="2993"/>
      <c r="N49" s="4443"/>
      <c r="O49" s="4454"/>
      <c r="P49" s="4438"/>
      <c r="Q49" s="4439"/>
      <c r="R49" s="4440"/>
      <c r="S49" s="3055"/>
    </row>
    <row r="50" spans="1:19" s="184" customFormat="1" ht="30" customHeight="1">
      <c r="A50" s="701"/>
      <c r="B50" s="4458"/>
      <c r="C50" s="3153"/>
      <c r="D50" s="3153"/>
      <c r="E50" s="4444" t="str">
        <f>IF(startSingleorMulti="Single-Family",CONCATENATE("This project is ",startSingleorMulti," &amp; is NOT eligible for points in 1003.2."),(IF(startSingleorMulti="Multi-Unit",CONCATENATE("This project is ",startSingleorMulti," &amp; is eligible for points in 1003.2."),"To claim points in Chapter 10, you must select Single-Family or Multi-Unit on the Start Here! worksheet.")))</f>
        <v>To claim points in Chapter 10, you must select Single-Family or Multi-Unit on the Start Here! worksheet.</v>
      </c>
      <c r="F50" s="4444"/>
      <c r="G50" s="4444"/>
      <c r="H50" s="4444"/>
      <c r="I50" s="4444"/>
      <c r="J50" s="4444"/>
      <c r="K50" s="4444"/>
      <c r="L50" s="4444"/>
      <c r="M50" s="4444"/>
      <c r="N50" s="4443"/>
      <c r="O50" s="4455"/>
      <c r="P50" s="4438"/>
      <c r="Q50" s="4439"/>
      <c r="R50" s="4440"/>
      <c r="S50" s="3055"/>
    </row>
    <row r="51" spans="1:19" ht="30">
      <c r="B51" s="1450"/>
      <c r="C51" s="1451">
        <v>1</v>
      </c>
      <c r="D51" s="1451"/>
      <c r="E51" s="3065" t="s">
        <v>544</v>
      </c>
      <c r="F51" s="3411"/>
      <c r="G51" s="3411"/>
      <c r="H51" s="3411"/>
      <c r="I51" s="3411"/>
      <c r="J51" s="3411"/>
      <c r="K51" s="3411"/>
      <c r="L51" s="3411"/>
      <c r="M51" s="3411"/>
      <c r="N51" s="1456" t="s">
        <v>537</v>
      </c>
      <c r="O51" s="807"/>
      <c r="P51" s="4358"/>
      <c r="Q51" s="3635"/>
      <c r="R51" s="3782"/>
      <c r="S51" s="832"/>
    </row>
    <row r="52" spans="1:19" ht="30">
      <c r="B52" s="1450"/>
      <c r="C52" s="1440">
        <v>2</v>
      </c>
      <c r="D52" s="1440"/>
      <c r="E52" s="3086" t="s">
        <v>545</v>
      </c>
      <c r="F52" s="4448"/>
      <c r="G52" s="4448"/>
      <c r="H52" s="4448"/>
      <c r="I52" s="4448"/>
      <c r="J52" s="4448"/>
      <c r="K52" s="4448"/>
      <c r="L52" s="4448"/>
      <c r="M52" s="4448"/>
      <c r="N52" s="220" t="s">
        <v>537</v>
      </c>
      <c r="O52" s="808"/>
      <c r="P52" s="4358"/>
      <c r="Q52" s="3635"/>
      <c r="R52" s="3782"/>
      <c r="S52" s="833"/>
    </row>
    <row r="53" spans="1:19">
      <c r="B53" s="1450"/>
      <c r="C53" s="1440">
        <v>3</v>
      </c>
      <c r="D53" s="1440"/>
      <c r="E53" s="3086" t="s">
        <v>528</v>
      </c>
      <c r="F53" s="4448"/>
      <c r="G53" s="4448"/>
      <c r="H53" s="4448"/>
      <c r="I53" s="4448"/>
      <c r="J53" s="4448"/>
      <c r="K53" s="4448"/>
      <c r="L53" s="4448"/>
      <c r="M53" s="4448"/>
      <c r="N53" s="830">
        <v>0.5</v>
      </c>
      <c r="O53" s="808"/>
      <c r="P53" s="4358"/>
      <c r="Q53" s="3635"/>
      <c r="R53" s="3782"/>
      <c r="S53" s="833"/>
    </row>
    <row r="54" spans="1:19" ht="45" customHeight="1">
      <c r="B54" s="1450"/>
      <c r="C54" s="1440">
        <v>4</v>
      </c>
      <c r="D54" s="1440"/>
      <c r="E54" s="3086" t="s">
        <v>546</v>
      </c>
      <c r="F54" s="4448"/>
      <c r="G54" s="4448"/>
      <c r="H54" s="4448"/>
      <c r="I54" s="4448"/>
      <c r="J54" s="4448"/>
      <c r="K54" s="4448"/>
      <c r="L54" s="4448"/>
      <c r="M54" s="4448"/>
      <c r="N54" s="28">
        <v>0.5</v>
      </c>
      <c r="O54" s="808"/>
      <c r="P54" s="4358"/>
      <c r="Q54" s="3635"/>
      <c r="R54" s="3782"/>
      <c r="S54" s="833"/>
    </row>
    <row r="55" spans="1:19" ht="45" customHeight="1">
      <c r="B55" s="1450"/>
      <c r="C55" s="1440">
        <v>5</v>
      </c>
      <c r="D55" s="1440"/>
      <c r="E55" s="3086" t="s">
        <v>547</v>
      </c>
      <c r="F55" s="4448"/>
      <c r="G55" s="4448"/>
      <c r="H55" s="4448"/>
      <c r="I55" s="4448"/>
      <c r="J55" s="4448"/>
      <c r="K55" s="4448"/>
      <c r="L55" s="4448"/>
      <c r="M55" s="4448"/>
      <c r="N55" s="28">
        <v>0.5</v>
      </c>
      <c r="O55" s="808"/>
      <c r="P55" s="4358"/>
      <c r="Q55" s="3635"/>
      <c r="R55" s="3782"/>
      <c r="S55" s="833"/>
    </row>
    <row r="56" spans="1:19">
      <c r="B56" s="1450"/>
      <c r="C56" s="1440">
        <v>6</v>
      </c>
      <c r="D56" s="1440"/>
      <c r="E56" s="3086" t="s">
        <v>548</v>
      </c>
      <c r="F56" s="4448"/>
      <c r="G56" s="4448"/>
      <c r="H56" s="4448"/>
      <c r="I56" s="4448"/>
      <c r="J56" s="4448"/>
      <c r="K56" s="4448"/>
      <c r="L56" s="4448"/>
      <c r="M56" s="4448"/>
      <c r="N56" s="28">
        <v>0.5</v>
      </c>
      <c r="O56" s="808"/>
      <c r="P56" s="4358"/>
      <c r="Q56" s="3635"/>
      <c r="R56" s="3782"/>
      <c r="S56" s="833"/>
    </row>
    <row r="57" spans="1:19" ht="30" customHeight="1">
      <c r="B57" s="1450"/>
      <c r="C57" s="1440">
        <v>7</v>
      </c>
      <c r="D57" s="1440"/>
      <c r="E57" s="3086" t="s">
        <v>549</v>
      </c>
      <c r="F57" s="4448"/>
      <c r="G57" s="4448"/>
      <c r="H57" s="4448"/>
      <c r="I57" s="4448"/>
      <c r="J57" s="4448"/>
      <c r="K57" s="4448"/>
      <c r="L57" s="4448"/>
      <c r="M57" s="4448"/>
      <c r="N57" s="28">
        <v>0.5</v>
      </c>
      <c r="O57" s="808"/>
      <c r="P57" s="4358"/>
      <c r="Q57" s="3635"/>
      <c r="R57" s="3782"/>
      <c r="S57" s="833"/>
    </row>
    <row r="58" spans="1:19" ht="30" customHeight="1">
      <c r="B58" s="1450"/>
      <c r="C58" s="1440">
        <v>8</v>
      </c>
      <c r="D58" s="1440"/>
      <c r="E58" s="3086" t="s">
        <v>550</v>
      </c>
      <c r="F58" s="4448"/>
      <c r="G58" s="4448"/>
      <c r="H58" s="4448"/>
      <c r="I58" s="4448"/>
      <c r="J58" s="4448"/>
      <c r="K58" s="4448"/>
      <c r="L58" s="4448"/>
      <c r="M58" s="4448"/>
      <c r="N58" s="28">
        <v>0.5</v>
      </c>
      <c r="O58" s="808"/>
      <c r="P58" s="4358"/>
      <c r="Q58" s="3635"/>
      <c r="R58" s="3782"/>
      <c r="S58" s="833"/>
    </row>
    <row r="59" spans="1:19">
      <c r="B59" s="1450"/>
      <c r="C59" s="1440">
        <v>9</v>
      </c>
      <c r="D59" s="1440"/>
      <c r="E59" s="3086" t="s">
        <v>551</v>
      </c>
      <c r="F59" s="4448"/>
      <c r="G59" s="4448"/>
      <c r="H59" s="4448"/>
      <c r="I59" s="4448"/>
      <c r="J59" s="4448"/>
      <c r="K59" s="4448"/>
      <c r="L59" s="4448"/>
      <c r="M59" s="4448"/>
      <c r="N59" s="28">
        <v>0.5</v>
      </c>
      <c r="O59" s="808"/>
      <c r="P59" s="4358"/>
      <c r="Q59" s="3635"/>
      <c r="R59" s="3782"/>
      <c r="S59" s="833"/>
    </row>
    <row r="60" spans="1:19" ht="45" customHeight="1" thickBot="1">
      <c r="B60" s="1450"/>
      <c r="C60" s="1440">
        <v>10</v>
      </c>
      <c r="D60" s="1440"/>
      <c r="E60" s="3086" t="s">
        <v>552</v>
      </c>
      <c r="F60" s="4448"/>
      <c r="G60" s="4448"/>
      <c r="H60" s="4448"/>
      <c r="I60" s="4448"/>
      <c r="J60" s="4448"/>
      <c r="K60" s="4448"/>
      <c r="L60" s="4448"/>
      <c r="M60" s="4448"/>
      <c r="N60" s="824">
        <v>0.5</v>
      </c>
      <c r="O60" s="823"/>
      <c r="P60" s="4149"/>
      <c r="Q60" s="3486"/>
      <c r="R60" s="3934"/>
      <c r="S60" s="834"/>
    </row>
    <row r="61" spans="1:19" ht="60" customHeight="1" thickTop="1">
      <c r="B61" s="4457">
        <v>1003.3</v>
      </c>
      <c r="C61" s="3152"/>
      <c r="D61" s="3152"/>
      <c r="E61" s="3585" t="s">
        <v>1271</v>
      </c>
      <c r="F61" s="3555"/>
      <c r="G61" s="3555"/>
      <c r="H61" s="3555"/>
      <c r="I61" s="3555"/>
      <c r="J61" s="3555"/>
      <c r="K61" s="3555"/>
      <c r="L61" s="3555"/>
      <c r="M61" s="3555"/>
      <c r="N61" s="4456" t="s">
        <v>535</v>
      </c>
      <c r="O61" s="4453">
        <f>ROUNDDOWN(((COUNTIF(claim1003.3_man,"Met")/2)),0)</f>
        <v>0</v>
      </c>
      <c r="P61" s="4435"/>
      <c r="Q61" s="4436"/>
      <c r="R61" s="4437"/>
      <c r="S61" s="3204" t="s">
        <v>20</v>
      </c>
    </row>
    <row r="62" spans="1:19" s="184" customFormat="1" ht="45" customHeight="1">
      <c r="A62" s="701"/>
      <c r="B62" s="4458"/>
      <c r="C62" s="3153"/>
      <c r="D62" s="3153"/>
      <c r="E62" s="2993" t="s">
        <v>1266</v>
      </c>
      <c r="F62" s="2993"/>
      <c r="G62" s="2993"/>
      <c r="H62" s="2993"/>
      <c r="I62" s="2993"/>
      <c r="J62" s="2993"/>
      <c r="K62" s="2993"/>
      <c r="L62" s="2993"/>
      <c r="M62" s="2993"/>
      <c r="N62" s="4443"/>
      <c r="O62" s="4454"/>
      <c r="P62" s="4438"/>
      <c r="Q62" s="4439"/>
      <c r="R62" s="4440"/>
      <c r="S62" s="3055"/>
    </row>
    <row r="63" spans="1:19" s="184" customFormat="1" ht="30" customHeight="1">
      <c r="A63" s="701"/>
      <c r="B63" s="4458"/>
      <c r="C63" s="3153"/>
      <c r="D63" s="3153"/>
      <c r="E63" s="4444" t="str">
        <f>IF(startSingleorMulti="Single-Family",CONCATENATE("This project is ",startSingleorMulti," &amp; is NOT eligible for points in 1003.3."),(IF(startSingleorMulti="Multi-Unit",CONCATENATE("This project is ",startSingleorMulti," &amp; is eligible for points in 1003.3."),"To claim points in Chapter 10, you must select Single-Family or Multi-Unit on the Start Here! worksheet.")))</f>
        <v>To claim points in Chapter 10, you must select Single-Family or Multi-Unit on the Start Here! worksheet.</v>
      </c>
      <c r="F63" s="4444"/>
      <c r="G63" s="4444"/>
      <c r="H63" s="4444"/>
      <c r="I63" s="4444"/>
      <c r="J63" s="4444"/>
      <c r="K63" s="4444"/>
      <c r="L63" s="4444"/>
      <c r="M63" s="4444"/>
      <c r="N63" s="4443"/>
      <c r="O63" s="4455"/>
      <c r="P63" s="4438"/>
      <c r="Q63" s="4439"/>
      <c r="R63" s="4440"/>
      <c r="S63" s="3055"/>
    </row>
    <row r="64" spans="1:19" ht="45" customHeight="1">
      <c r="B64" s="1450"/>
      <c r="C64" s="1451">
        <v>1</v>
      </c>
      <c r="D64" s="1451"/>
      <c r="E64" s="3065" t="s">
        <v>553</v>
      </c>
      <c r="F64" s="3411"/>
      <c r="G64" s="3411"/>
      <c r="H64" s="3411"/>
      <c r="I64" s="3411"/>
      <c r="J64" s="3411"/>
      <c r="K64" s="3411"/>
      <c r="L64" s="3411"/>
      <c r="M64" s="3411"/>
      <c r="N64" s="825" t="s">
        <v>537</v>
      </c>
      <c r="O64" s="827"/>
      <c r="P64" s="4450"/>
      <c r="Q64" s="3307"/>
      <c r="R64" s="3936"/>
      <c r="S64" s="832"/>
    </row>
    <row r="65" spans="2:19" ht="60" customHeight="1">
      <c r="B65" s="1450"/>
      <c r="C65" s="1440">
        <v>2</v>
      </c>
      <c r="D65" s="1440"/>
      <c r="E65" s="3086" t="s">
        <v>522</v>
      </c>
      <c r="F65" s="4448"/>
      <c r="G65" s="4448"/>
      <c r="H65" s="4448"/>
      <c r="I65" s="4448"/>
      <c r="J65" s="4448"/>
      <c r="K65" s="4448"/>
      <c r="L65" s="4448"/>
      <c r="M65" s="4448"/>
      <c r="N65" s="543">
        <v>0.5</v>
      </c>
      <c r="O65" s="828"/>
      <c r="P65" s="4450"/>
      <c r="Q65" s="3307"/>
      <c r="R65" s="3936"/>
      <c r="S65" s="833"/>
    </row>
    <row r="66" spans="2:19" ht="105" customHeight="1">
      <c r="B66" s="1450"/>
      <c r="C66" s="1440">
        <v>3</v>
      </c>
      <c r="D66" s="1440"/>
      <c r="E66" s="3086" t="s">
        <v>554</v>
      </c>
      <c r="F66" s="4448"/>
      <c r="G66" s="4448"/>
      <c r="H66" s="4448"/>
      <c r="I66" s="4448"/>
      <c r="J66" s="4448"/>
      <c r="K66" s="4448"/>
      <c r="L66" s="4448"/>
      <c r="M66" s="4448"/>
      <c r="N66" s="543">
        <v>0.5</v>
      </c>
      <c r="O66" s="828"/>
      <c r="P66" s="4450"/>
      <c r="Q66" s="3307"/>
      <c r="R66" s="3936"/>
      <c r="S66" s="833"/>
    </row>
    <row r="67" spans="2:19" ht="30" customHeight="1">
      <c r="B67" s="1450"/>
      <c r="C67" s="1440">
        <v>4</v>
      </c>
      <c r="D67" s="1440"/>
      <c r="E67" s="3086" t="s">
        <v>525</v>
      </c>
      <c r="F67" s="4448"/>
      <c r="G67" s="4448"/>
      <c r="H67" s="4448"/>
      <c r="I67" s="4448"/>
      <c r="J67" s="4448"/>
      <c r="K67" s="4448"/>
      <c r="L67" s="4448"/>
      <c r="M67" s="4448"/>
      <c r="N67" s="543">
        <v>0.5</v>
      </c>
      <c r="O67" s="828"/>
      <c r="P67" s="4450"/>
      <c r="Q67" s="3307"/>
      <c r="R67" s="3936"/>
      <c r="S67" s="833"/>
    </row>
    <row r="68" spans="2:19" ht="30" customHeight="1">
      <c r="B68" s="1450"/>
      <c r="C68" s="1440">
        <v>5</v>
      </c>
      <c r="D68" s="1440"/>
      <c r="E68" s="3086" t="s">
        <v>526</v>
      </c>
      <c r="F68" s="4448"/>
      <c r="G68" s="4448"/>
      <c r="H68" s="4448"/>
      <c r="I68" s="4448"/>
      <c r="J68" s="4448"/>
      <c r="K68" s="4448"/>
      <c r="L68" s="4448"/>
      <c r="M68" s="4448"/>
      <c r="N68" s="543">
        <v>0.5</v>
      </c>
      <c r="O68" s="828"/>
      <c r="P68" s="4450"/>
      <c r="Q68" s="3307"/>
      <c r="R68" s="3936"/>
      <c r="S68" s="833"/>
    </row>
    <row r="69" spans="2:19" ht="30" customHeight="1">
      <c r="B69" s="1450"/>
      <c r="C69" s="1440">
        <v>6</v>
      </c>
      <c r="D69" s="1440"/>
      <c r="E69" s="3086" t="s">
        <v>530</v>
      </c>
      <c r="F69" s="4448"/>
      <c r="G69" s="4448"/>
      <c r="H69" s="4448"/>
      <c r="I69" s="4448"/>
      <c r="J69" s="4448"/>
      <c r="K69" s="4448"/>
      <c r="L69" s="4448"/>
      <c r="M69" s="4448"/>
      <c r="N69" s="543">
        <v>0.5</v>
      </c>
      <c r="O69" s="828"/>
      <c r="P69" s="4450"/>
      <c r="Q69" s="3307"/>
      <c r="R69" s="3936"/>
      <c r="S69" s="833"/>
    </row>
    <row r="70" spans="2:19" ht="30" customHeight="1">
      <c r="B70" s="1450"/>
      <c r="C70" s="1440">
        <v>7</v>
      </c>
      <c r="D70" s="1440"/>
      <c r="E70" s="3086" t="s">
        <v>529</v>
      </c>
      <c r="F70" s="4448"/>
      <c r="G70" s="4448"/>
      <c r="H70" s="4448"/>
      <c r="I70" s="4448"/>
      <c r="J70" s="4448"/>
      <c r="K70" s="4448"/>
      <c r="L70" s="4448"/>
      <c r="M70" s="4448"/>
      <c r="N70" s="543">
        <v>0.5</v>
      </c>
      <c r="O70" s="828"/>
      <c r="P70" s="4450"/>
      <c r="Q70" s="3307"/>
      <c r="R70" s="3936"/>
      <c r="S70" s="833"/>
    </row>
    <row r="71" spans="2:19" ht="30" customHeight="1">
      <c r="B71" s="1450"/>
      <c r="C71" s="1440">
        <v>8</v>
      </c>
      <c r="D71" s="1440"/>
      <c r="E71" s="3086" t="s">
        <v>555</v>
      </c>
      <c r="F71" s="4448"/>
      <c r="G71" s="4448"/>
      <c r="H71" s="4448"/>
      <c r="I71" s="4448"/>
      <c r="J71" s="4448"/>
      <c r="K71" s="4448"/>
      <c r="L71" s="4448"/>
      <c r="M71" s="4448"/>
      <c r="N71" s="543">
        <v>0.5</v>
      </c>
      <c r="O71" s="828"/>
      <c r="P71" s="4450"/>
      <c r="Q71" s="3307"/>
      <c r="R71" s="3936"/>
      <c r="S71" s="833"/>
    </row>
    <row r="72" spans="2:19" ht="30" customHeight="1" thickBot="1">
      <c r="B72" s="1473"/>
      <c r="C72" s="225">
        <v>9</v>
      </c>
      <c r="D72" s="225"/>
      <c r="E72" s="4449" t="s">
        <v>556</v>
      </c>
      <c r="F72" s="4449"/>
      <c r="G72" s="4449"/>
      <c r="H72" s="4449"/>
      <c r="I72" s="4449"/>
      <c r="J72" s="4449"/>
      <c r="K72" s="4449"/>
      <c r="L72" s="4449"/>
      <c r="M72" s="4449"/>
      <c r="N72" s="826">
        <v>0.5</v>
      </c>
      <c r="O72" s="829"/>
      <c r="P72" s="4451"/>
      <c r="Q72" s="3715"/>
      <c r="R72" s="4452"/>
      <c r="S72" s="835"/>
    </row>
    <row r="73" spans="2:19" customFormat="1" ht="16" thickBot="1">
      <c r="B73" s="3659"/>
      <c r="C73" s="3659"/>
      <c r="D73" s="3659"/>
      <c r="E73" s="3659"/>
      <c r="F73" s="3659"/>
      <c r="G73" s="3659"/>
      <c r="H73" s="3659"/>
      <c r="I73" s="3659"/>
      <c r="J73" s="3659"/>
      <c r="K73" s="3659"/>
      <c r="L73" s="3659"/>
      <c r="M73" s="3659"/>
      <c r="N73" s="3659"/>
      <c r="O73" s="3659"/>
      <c r="P73" s="3659"/>
      <c r="Q73" s="3659"/>
      <c r="R73" s="3659"/>
      <c r="S73" s="3659"/>
    </row>
    <row r="74" spans="2:19" customFormat="1" ht="20" customHeight="1" thickBot="1">
      <c r="B74" s="3103" t="s">
        <v>557</v>
      </c>
      <c r="C74" s="3104"/>
      <c r="D74" s="3104"/>
      <c r="E74" s="3104"/>
      <c r="F74" s="3104"/>
      <c r="G74" s="3104"/>
      <c r="H74" s="3104"/>
      <c r="I74" s="3104"/>
      <c r="J74" s="3104"/>
      <c r="K74" s="3104"/>
      <c r="L74" s="3104"/>
      <c r="M74" s="3104"/>
      <c r="N74" s="3104"/>
      <c r="O74" s="4446"/>
      <c r="P74" s="4446"/>
      <c r="Q74" s="4446"/>
      <c r="R74" s="4446"/>
      <c r="S74" s="4447"/>
    </row>
    <row r="75" spans="2:19">
      <c r="B75" s="4230" t="str">
        <f>CONCATENATE(copyright," All rights reserved.  This document is protected by U.S. copyright law. Requirements from ICC700-2012 National Green Building Standard™ © 2013 National Association of Home Builders of the U.S. - used by permission."," Home Innovation authorizes use of this document only by those individuals/organizations participating in Home Innovation's Green Building Certification and solely for purpose of seeking project certification from the Home Innovation Research Labs.")</f>
        <v>© 2020 Home Innovation Research Labs, Inc. All rights reserved.  This document is protected by U.S. copyright law. Requirements from ICC700-2012 National Green Building Standard™ © 2013 National Association of Home Builders of the U.S. - used by permission. Home Innovation authorizes use of this document only by those individuals/organizations participating in Home Innovation's Green Building Certification and solely for purpose of seeking project certification from the Home Innovation Research Labs.</v>
      </c>
      <c r="C75" s="4230"/>
      <c r="D75" s="4230"/>
      <c r="E75" s="4230"/>
      <c r="F75" s="4230"/>
      <c r="G75" s="4230"/>
      <c r="H75" s="4230"/>
      <c r="I75" s="4230"/>
      <c r="J75" s="4230"/>
      <c r="K75" s="4230"/>
      <c r="L75" s="4230"/>
      <c r="M75" s="4230"/>
      <c r="N75" s="4230"/>
      <c r="O75" s="4230"/>
      <c r="P75" s="4230"/>
      <c r="Q75" s="4230"/>
      <c r="R75" s="4230"/>
      <c r="S75" s="4230"/>
    </row>
    <row r="76" spans="2:19">
      <c r="B76" s="4231"/>
      <c r="C76" s="4231"/>
      <c r="D76" s="4231"/>
      <c r="E76" s="4231"/>
      <c r="F76" s="4231"/>
      <c r="G76" s="4231"/>
      <c r="H76" s="4231"/>
      <c r="I76" s="4231"/>
      <c r="J76" s="4231"/>
      <c r="K76" s="4231"/>
      <c r="L76" s="4231"/>
      <c r="M76" s="4231"/>
      <c r="N76" s="4231"/>
      <c r="O76" s="4231"/>
      <c r="P76" s="4231"/>
      <c r="Q76" s="4231"/>
      <c r="R76" s="4231"/>
      <c r="S76" s="4231"/>
    </row>
    <row r="77" spans="2:19">
      <c r="B77" s="4231"/>
      <c r="C77" s="4231"/>
      <c r="D77" s="4231"/>
      <c r="E77" s="4231"/>
      <c r="F77" s="4231"/>
      <c r="G77" s="4231"/>
      <c r="H77" s="4231"/>
      <c r="I77" s="4231"/>
      <c r="J77" s="4231"/>
      <c r="K77" s="4231"/>
      <c r="L77" s="4231"/>
      <c r="M77" s="4231"/>
      <c r="N77" s="4231"/>
      <c r="O77" s="4231"/>
      <c r="P77" s="4231"/>
      <c r="Q77" s="4231"/>
      <c r="R77" s="4231"/>
      <c r="S77" s="4231"/>
    </row>
    <row r="78" spans="2:19">
      <c r="B78" s="4231"/>
      <c r="C78" s="4231"/>
      <c r="D78" s="4231"/>
      <c r="E78" s="4231"/>
      <c r="F78" s="4231"/>
      <c r="G78" s="4231"/>
      <c r="H78" s="4231"/>
      <c r="I78" s="4231"/>
      <c r="J78" s="4231"/>
      <c r="K78" s="4231"/>
      <c r="L78" s="4231"/>
      <c r="M78" s="4231"/>
      <c r="N78" s="4231"/>
      <c r="O78" s="4231"/>
      <c r="P78" s="4231"/>
      <c r="Q78" s="4231"/>
      <c r="R78" s="4231"/>
      <c r="S78" s="4231"/>
    </row>
  </sheetData>
  <sheetProtection algorithmName="SHA-512" hashValue="Gj+v0ql7AHJPqhRvnlKYDv7WMLNJxoFQwvvhxztJgiUHLjTLw400b0GhXbmqQavaf50mJ34smimDLxpQ8lJp8w==" saltValue="9iI3zfFbWVGbbntSl96otw==" spinCount="100000" sheet="1" objects="1" scenarios="1" formatRows="0" selectLockedCells="1"/>
  <mergeCells count="160">
    <mergeCell ref="B75:S78"/>
    <mergeCell ref="E19:M19"/>
    <mergeCell ref="E20:M20"/>
    <mergeCell ref="E21:M21"/>
    <mergeCell ref="P19:R19"/>
    <mergeCell ref="P20:R20"/>
    <mergeCell ref="P21:R21"/>
    <mergeCell ref="E25:M25"/>
    <mergeCell ref="E26:M26"/>
    <mergeCell ref="E22:M22"/>
    <mergeCell ref="E23:M23"/>
    <mergeCell ref="E24:M24"/>
    <mergeCell ref="P22:R22"/>
    <mergeCell ref="P23:R23"/>
    <mergeCell ref="P24:R24"/>
    <mergeCell ref="P25:R25"/>
    <mergeCell ref="P26:R26"/>
    <mergeCell ref="S61:S63"/>
    <mergeCell ref="C48:C50"/>
    <mergeCell ref="D48:D50"/>
    <mergeCell ref="B61:B63"/>
    <mergeCell ref="C61:C63"/>
    <mergeCell ref="D61:D63"/>
    <mergeCell ref="B37:B39"/>
    <mergeCell ref="M1:M2"/>
    <mergeCell ref="N1:O1"/>
    <mergeCell ref="P1:S1"/>
    <mergeCell ref="I5:S5"/>
    <mergeCell ref="E10:M10"/>
    <mergeCell ref="E11:M11"/>
    <mergeCell ref="B6:D6"/>
    <mergeCell ref="E6:M6"/>
    <mergeCell ref="B7:S7"/>
    <mergeCell ref="E8:M8"/>
    <mergeCell ref="P6:R6"/>
    <mergeCell ref="P8:R8"/>
    <mergeCell ref="B9:B11"/>
    <mergeCell ref="C9:C11"/>
    <mergeCell ref="D9:D11"/>
    <mergeCell ref="I1:L3"/>
    <mergeCell ref="I4:L4"/>
    <mergeCell ref="B1:H3"/>
    <mergeCell ref="B4:H5"/>
    <mergeCell ref="C37:C39"/>
    <mergeCell ref="D37:D39"/>
    <mergeCell ref="S9:S11"/>
    <mergeCell ref="E18:M18"/>
    <mergeCell ref="E12:M12"/>
    <mergeCell ref="E13:M13"/>
    <mergeCell ref="E14:M14"/>
    <mergeCell ref="E9:M9"/>
    <mergeCell ref="N9:N11"/>
    <mergeCell ref="O9:O11"/>
    <mergeCell ref="P12:R12"/>
    <mergeCell ref="P13:R13"/>
    <mergeCell ref="P14:R14"/>
    <mergeCell ref="P16:R16"/>
    <mergeCell ref="P17:R17"/>
    <mergeCell ref="P18:R18"/>
    <mergeCell ref="E16:M16"/>
    <mergeCell ref="E17:M17"/>
    <mergeCell ref="E15:M15"/>
    <mergeCell ref="P15:R15"/>
    <mergeCell ref="P9:R11"/>
    <mergeCell ref="B33:S33"/>
    <mergeCell ref="E34:M34"/>
    <mergeCell ref="E27:M27"/>
    <mergeCell ref="E28:M28"/>
    <mergeCell ref="E29:M29"/>
    <mergeCell ref="P27:R27"/>
    <mergeCell ref="P28:R28"/>
    <mergeCell ref="P29:R29"/>
    <mergeCell ref="P30:R30"/>
    <mergeCell ref="P31:R31"/>
    <mergeCell ref="E32:M32"/>
    <mergeCell ref="P32:R32"/>
    <mergeCell ref="P34:R34"/>
    <mergeCell ref="E30:M30"/>
    <mergeCell ref="P46:R46"/>
    <mergeCell ref="P47:R47"/>
    <mergeCell ref="P48:R50"/>
    <mergeCell ref="E43:M43"/>
    <mergeCell ref="E44:M44"/>
    <mergeCell ref="E45:M45"/>
    <mergeCell ref="P45:R45"/>
    <mergeCell ref="E40:M40"/>
    <mergeCell ref="E41:M41"/>
    <mergeCell ref="E42:M42"/>
    <mergeCell ref="P40:R40"/>
    <mergeCell ref="P41:R41"/>
    <mergeCell ref="P42:R42"/>
    <mergeCell ref="P43:R43"/>
    <mergeCell ref="P44:R44"/>
    <mergeCell ref="E46:M46"/>
    <mergeCell ref="E47:M47"/>
    <mergeCell ref="B35:S35"/>
    <mergeCell ref="E36:M36"/>
    <mergeCell ref="E37:M37"/>
    <mergeCell ref="O37:O39"/>
    <mergeCell ref="E38:M38"/>
    <mergeCell ref="B48:B50"/>
    <mergeCell ref="E55:M55"/>
    <mergeCell ref="E56:M56"/>
    <mergeCell ref="E57:M57"/>
    <mergeCell ref="E52:M52"/>
    <mergeCell ref="E53:M53"/>
    <mergeCell ref="E54:M54"/>
    <mergeCell ref="P52:R52"/>
    <mergeCell ref="P53:R53"/>
    <mergeCell ref="P54:R54"/>
    <mergeCell ref="P55:R55"/>
    <mergeCell ref="P56:R56"/>
    <mergeCell ref="P57:R57"/>
    <mergeCell ref="E49:M49"/>
    <mergeCell ref="E50:M50"/>
    <mergeCell ref="E51:M51"/>
    <mergeCell ref="E48:M48"/>
    <mergeCell ref="O48:O50"/>
    <mergeCell ref="P58:R58"/>
    <mergeCell ref="P59:R59"/>
    <mergeCell ref="P60:R60"/>
    <mergeCell ref="N61:N63"/>
    <mergeCell ref="P61:R63"/>
    <mergeCell ref="E61:M61"/>
    <mergeCell ref="S48:S50"/>
    <mergeCell ref="P51:R51"/>
    <mergeCell ref="N48:N50"/>
    <mergeCell ref="E64:M64"/>
    <mergeCell ref="E65:M65"/>
    <mergeCell ref="E66:M66"/>
    <mergeCell ref="O61:O63"/>
    <mergeCell ref="E62:M62"/>
    <mergeCell ref="E63:M63"/>
    <mergeCell ref="E58:M58"/>
    <mergeCell ref="E59:M59"/>
    <mergeCell ref="E60:M60"/>
    <mergeCell ref="P37:R39"/>
    <mergeCell ref="S37:S39"/>
    <mergeCell ref="P36:R36"/>
    <mergeCell ref="N37:N39"/>
    <mergeCell ref="E39:M39"/>
    <mergeCell ref="E31:M31"/>
    <mergeCell ref="B73:S73"/>
    <mergeCell ref="B74:N74"/>
    <mergeCell ref="O74:S74"/>
    <mergeCell ref="E70:M70"/>
    <mergeCell ref="E71:M71"/>
    <mergeCell ref="E72:M72"/>
    <mergeCell ref="P71:R71"/>
    <mergeCell ref="P72:R72"/>
    <mergeCell ref="P64:R64"/>
    <mergeCell ref="P65:R65"/>
    <mergeCell ref="P66:R66"/>
    <mergeCell ref="P67:R67"/>
    <mergeCell ref="P68:R68"/>
    <mergeCell ref="P69:R69"/>
    <mergeCell ref="P70:R70"/>
    <mergeCell ref="E67:M67"/>
    <mergeCell ref="E68:M68"/>
    <mergeCell ref="E69:M69"/>
  </mergeCells>
  <conditionalFormatting sqref="I1">
    <cfRule type="expression" dxfId="1601" priority="209" stopIfTrue="1">
      <formula>levelStatement="This project has not met all the requirements for Bronze, Silver, Gold, or Emerald."</formula>
    </cfRule>
  </conditionalFormatting>
  <conditionalFormatting sqref="O12">
    <cfRule type="expression" dxfId="1600" priority="176" stopIfTrue="1">
      <formula>AND($O$12="Met", startSingleorMulti&lt;&gt;"Single-Family")</formula>
    </cfRule>
    <cfRule type="expression" dxfId="1599" priority="206" stopIfTrue="1">
      <formula>$O$12="Met"</formula>
    </cfRule>
    <cfRule type="expression" dxfId="1598" priority="208" stopIfTrue="1">
      <formula>startSingleorMulti&lt;&gt;"Single-Family"</formula>
    </cfRule>
  </conditionalFormatting>
  <conditionalFormatting sqref="O40">
    <cfRule type="expression" dxfId="1597" priority="186" stopIfTrue="1">
      <formula>AND($O$40="Met", startSingleorMulti&lt;&gt;"Multi-Unit")</formula>
    </cfRule>
    <cfRule type="expression" dxfId="1596" priority="205" stopIfTrue="1">
      <formula>$O$40="Met"</formula>
    </cfRule>
    <cfRule type="expression" dxfId="1595" priority="207" stopIfTrue="1">
      <formula>AND($O$40&lt;&gt;"Met",startSingleorMulti&lt;&gt;"Multi-Unit")</formula>
    </cfRule>
  </conditionalFormatting>
  <conditionalFormatting sqref="O51">
    <cfRule type="expression" dxfId="1594" priority="108" stopIfTrue="1">
      <formula>AND($O$51="Met", startSingleorMulti&lt;&gt;"Multi-Unit")</formula>
    </cfRule>
    <cfRule type="expression" dxfId="1593" priority="196" stopIfTrue="1">
      <formula>AND($O$51&lt;&gt;"Met", startSingleorMulti&lt;&gt;"Multi-Unit")</formula>
    </cfRule>
    <cfRule type="expression" dxfId="1592" priority="204" stopIfTrue="1">
      <formula>$O$51="Met"</formula>
    </cfRule>
  </conditionalFormatting>
  <conditionalFormatting sqref="O52">
    <cfRule type="expression" dxfId="1591" priority="107" stopIfTrue="1">
      <formula>AND($O$52="Met", startSingleorMulti&lt;&gt;"Multi-Unit")</formula>
    </cfRule>
    <cfRule type="expression" dxfId="1590" priority="195" stopIfTrue="1">
      <formula>AND($O$52&lt;&gt;"Met", startSingleorMulti&lt;&gt;"Multi-Unit")</formula>
    </cfRule>
    <cfRule type="expression" dxfId="1589" priority="203" stopIfTrue="1">
      <formula>$O$52="Met"</formula>
    </cfRule>
  </conditionalFormatting>
  <conditionalFormatting sqref="O64">
    <cfRule type="expression" dxfId="1588" priority="177" stopIfTrue="1">
      <formula>AND($O$64="Met", startSingleorMulti&lt;&gt;"Multi-Unit")</formula>
    </cfRule>
    <cfRule type="expression" dxfId="1587" priority="193" stopIfTrue="1">
      <formula>AND($O$64&lt;&gt;"Met",startSingleorMulti&lt;&gt;"Multi-Unit")</formula>
    </cfRule>
    <cfRule type="expression" dxfId="1586" priority="201" stopIfTrue="1">
      <formula>$O$64="Met"</formula>
    </cfRule>
  </conditionalFormatting>
  <conditionalFormatting sqref="O16">
    <cfRule type="expression" dxfId="1585" priority="173" stopIfTrue="1">
      <formula>AND($O$16="Met", startSingleorMulti&lt;&gt;"Single-Family")</formula>
    </cfRule>
    <cfRule type="expression" dxfId="1584" priority="191" stopIfTrue="1">
      <formula>AND($O$16&lt;&gt;"Met",startSingleorMulti&lt;&gt;"Single-Family")</formula>
    </cfRule>
  </conditionalFormatting>
  <conditionalFormatting sqref="E63:M63">
    <cfRule type="expression" dxfId="1583" priority="184" stopIfTrue="1">
      <formula>startSingleorMulti&lt;&gt;"Multi-Unit"</formula>
    </cfRule>
    <cfRule type="expression" dxfId="1582" priority="185" stopIfTrue="1">
      <formula>startSingleorMulti="Multi-Unit"</formula>
    </cfRule>
  </conditionalFormatting>
  <conditionalFormatting sqref="E50:M50">
    <cfRule type="expression" dxfId="1581" priority="182" stopIfTrue="1">
      <formula>startSingleorMulti&lt;&gt;"Multi-Unit"</formula>
    </cfRule>
    <cfRule type="expression" dxfId="1580" priority="183" stopIfTrue="1">
      <formula>startSingleorMulti="Multi-Unit"</formula>
    </cfRule>
  </conditionalFormatting>
  <conditionalFormatting sqref="E39:M39">
    <cfRule type="expression" dxfId="1579" priority="180" stopIfTrue="1">
      <formula>startSingleorMulti&lt;&gt;"Multi-Unit"</formula>
    </cfRule>
    <cfRule type="expression" dxfId="1578" priority="181" stopIfTrue="1">
      <formula>startSingleorMulti="Multi-Unit"</formula>
    </cfRule>
  </conditionalFormatting>
  <conditionalFormatting sqref="E11:M11">
    <cfRule type="expression" dxfId="1577" priority="178" stopIfTrue="1">
      <formula>startSingleorMulti&lt;&gt;"Single-Family"</formula>
    </cfRule>
    <cfRule type="expression" dxfId="1576" priority="179" stopIfTrue="1">
      <formula>startSingleorMulti="Single-Family"</formula>
    </cfRule>
  </conditionalFormatting>
  <conditionalFormatting sqref="O17">
    <cfRule type="expression" dxfId="1575" priority="172" stopIfTrue="1">
      <formula>AND($O$17="Met", startSingleorMulti&lt;&gt;"Single-Family")</formula>
    </cfRule>
    <cfRule type="expression" dxfId="1574" priority="190" stopIfTrue="1">
      <formula>AND($O$17&lt;&gt;"Met", startSingleorMulti&lt;&gt;"Single-Family")</formula>
    </cfRule>
  </conditionalFormatting>
  <conditionalFormatting sqref="O18">
    <cfRule type="expression" dxfId="1573" priority="170" stopIfTrue="1">
      <formula>AND($O$18&lt;&gt;"Met", startSingleorMulti&lt;&gt;"Single-Family")</formula>
    </cfRule>
    <cfRule type="expression" dxfId="1572" priority="171" stopIfTrue="1">
      <formula>AND($O$18="Met",startSingleorMulti&lt;&gt;"Single-Family")</formula>
    </cfRule>
  </conditionalFormatting>
  <conditionalFormatting sqref="O19">
    <cfRule type="expression" dxfId="1571" priority="155" stopIfTrue="1">
      <formula>AND($O$19="Met", startSingleorMulti&lt;&gt;"Single-Family")</formula>
    </cfRule>
    <cfRule type="expression" dxfId="1570" priority="169" stopIfTrue="1">
      <formula>AND($O$19&lt;&gt;"Met", startSingleorMulti&lt;&gt;"Single-Family")</formula>
    </cfRule>
  </conditionalFormatting>
  <conditionalFormatting sqref="O20">
    <cfRule type="expression" dxfId="1569" priority="154" stopIfTrue="1">
      <formula>AND($O$20="Met", startSingleorMulti&lt;&gt;"Single-Family")</formula>
    </cfRule>
    <cfRule type="expression" dxfId="1568" priority="168" stopIfTrue="1">
      <formula>AND($O$20&lt;&gt;"Met", startSingleorMulti&lt;&gt;"Single-Family")</formula>
    </cfRule>
  </conditionalFormatting>
  <conditionalFormatting sqref="O21">
    <cfRule type="expression" dxfId="1567" priority="153" stopIfTrue="1">
      <formula>AND($O$21="Met", startSingleorMulti&lt;&gt;"Single-Family")</formula>
    </cfRule>
    <cfRule type="expression" dxfId="1566" priority="167" stopIfTrue="1">
      <formula>AND($O$21&lt;&gt;"Met", startSingleorMulti&lt;&gt;"Single-Family")</formula>
    </cfRule>
  </conditionalFormatting>
  <conditionalFormatting sqref="O22">
    <cfRule type="expression" dxfId="1565" priority="152" stopIfTrue="1">
      <formula>AND($O$22="Met", startSingleorMulti&lt;&gt;"Single-Family")</formula>
    </cfRule>
    <cfRule type="expression" dxfId="1564" priority="166" stopIfTrue="1">
      <formula>AND($O$22&lt;&gt;"Met",startSingleorMulti&lt;&gt;"Single-Family")</formula>
    </cfRule>
  </conditionalFormatting>
  <conditionalFormatting sqref="O23">
    <cfRule type="expression" dxfId="1563" priority="151" stopIfTrue="1">
      <formula>AND($O$23="Met", startSingleorMulti&lt;&gt;"Single-Family")</formula>
    </cfRule>
    <cfRule type="expression" dxfId="1562" priority="165" stopIfTrue="1">
      <formula>AND($O$23&lt;&gt;"Met", startSingleorMulti&lt;&gt;"Single-Family")</formula>
    </cfRule>
  </conditionalFormatting>
  <conditionalFormatting sqref="O24">
    <cfRule type="expression" dxfId="1561" priority="150" stopIfTrue="1">
      <formula>AND($O$24="Met", startSingleorMulti&lt;&gt;"Single-Family")</formula>
    </cfRule>
    <cfRule type="expression" dxfId="1560" priority="164" stopIfTrue="1">
      <formula>AND($O$24&lt;&gt;"Met", startSingleorMulti&lt;&gt;"Single-Family")</formula>
    </cfRule>
  </conditionalFormatting>
  <conditionalFormatting sqref="O15">
    <cfRule type="expression" dxfId="1559" priority="149" stopIfTrue="1">
      <formula>AND($O$15="Met", startSingleorMulti&lt;&gt;"Single-Family")</formula>
    </cfRule>
    <cfRule type="expression" dxfId="1558" priority="163" stopIfTrue="1">
      <formula>AND($O$15&lt;&gt;"Met", startSingleorMulti&lt;&gt;"Single-Family")</formula>
    </cfRule>
  </conditionalFormatting>
  <conditionalFormatting sqref="O25">
    <cfRule type="expression" dxfId="1557" priority="148" stopIfTrue="1">
      <formula>AND($O$25="Met", startSingleorMulti&lt;&gt;"Single-Family")</formula>
    </cfRule>
    <cfRule type="expression" dxfId="1556" priority="162" stopIfTrue="1">
      <formula>AND($O$25&lt;&gt;"Met", startSingleorMulti&lt;&gt;"Single-Family")</formula>
    </cfRule>
  </conditionalFormatting>
  <conditionalFormatting sqref="O26">
    <cfRule type="expression" dxfId="1555" priority="147" stopIfTrue="1">
      <formula>AND($O$26="Met", startSingleorMulti&lt;&gt;"Single-Family")</formula>
    </cfRule>
    <cfRule type="expression" dxfId="1554" priority="161" stopIfTrue="1">
      <formula>AND($O$26&lt;&gt;"Met", startSingleorMulti&lt;&gt;"Single-Family")</formula>
    </cfRule>
  </conditionalFormatting>
  <conditionalFormatting sqref="O27">
    <cfRule type="expression" dxfId="1553" priority="146" stopIfTrue="1">
      <formula>AND($O$27="Met", startSingleorMulti&lt;&gt;"Single-Family")</formula>
    </cfRule>
    <cfRule type="expression" dxfId="1552" priority="160" stopIfTrue="1">
      <formula>AND($O$27&lt;&gt;"Met", startSingleorMulti&lt;&gt;"Single-Family")</formula>
    </cfRule>
  </conditionalFormatting>
  <conditionalFormatting sqref="O28">
    <cfRule type="expression" dxfId="1551" priority="145" stopIfTrue="1">
      <formula>AND($O$28="Met", startSingleorMulti&lt;&gt;"Single-Family")</formula>
    </cfRule>
    <cfRule type="expression" dxfId="1550" priority="159" stopIfTrue="1">
      <formula>AND($O$28&lt;&gt;"Met", startSingleorMulti&lt;&gt;"Single-Family")</formula>
    </cfRule>
  </conditionalFormatting>
  <conditionalFormatting sqref="O29">
    <cfRule type="expression" dxfId="1549" priority="144" stopIfTrue="1">
      <formula>AND($O$29="Met", startSingleorMulti&lt;&gt;"Single-Family")</formula>
    </cfRule>
    <cfRule type="expression" dxfId="1548" priority="158" stopIfTrue="1">
      <formula>AND($O$29&lt;&gt;"Met", startSingleorMulti&lt;&gt;"Single-Family")</formula>
    </cfRule>
  </conditionalFormatting>
  <conditionalFormatting sqref="O30">
    <cfRule type="expression" dxfId="1547" priority="143" stopIfTrue="1">
      <formula>AND($O$30="Met", startSingleorMulti&lt;&gt;"Single-Family")</formula>
    </cfRule>
    <cfRule type="expression" dxfId="1546" priority="157" stopIfTrue="1">
      <formula>AND($O$30&lt;&gt;"Met", startSingleorMulti&lt;&gt;"Single-Family")</formula>
    </cfRule>
  </conditionalFormatting>
  <conditionalFormatting sqref="O9">
    <cfRule type="expression" dxfId="1545" priority="80" stopIfTrue="1">
      <formula>AND(startSingleorMulti&lt;&gt;"Single-family",COUNTBLANK(claim1001.1_man)=20)</formula>
    </cfRule>
    <cfRule type="expression" dxfId="1544" priority="84" stopIfTrue="1">
      <formula>AND(startSingleorMulti&lt;&gt;"Single-Family", COUNTIF(claim1001.1_man,"&lt;&gt;0")&gt;0)</formula>
    </cfRule>
    <cfRule type="expression" dxfId="1543" priority="141" stopIfTrue="1">
      <formula>AND(O12="Met",O13="Met",O14="Met")</formula>
    </cfRule>
  </conditionalFormatting>
  <conditionalFormatting sqref="O37:O39">
    <cfRule type="expression" dxfId="1542" priority="83" stopIfTrue="1">
      <formula>AND(startSingleorMulti&lt;&gt;"Multi-Unit",COUNTBLANK(claim1003.1_man)=8)</formula>
    </cfRule>
    <cfRule type="expression" dxfId="1541" priority="87" stopIfTrue="1">
      <formula>AND(startSingleorMulti&lt;&gt;"Multi-Unit",COUNTIF(claim1003.1_man,"&lt;&gt;NULL")&gt;0)</formula>
    </cfRule>
    <cfRule type="expression" dxfId="1540" priority="140" stopIfTrue="1">
      <formula>AND(startSingleorMulti="Multi-Unit",COUNTIF(claim1003.1_man,"&lt;&gt;Met")&lt;4, AND(O40="Met",O41="Met",O42="Met"))</formula>
    </cfRule>
  </conditionalFormatting>
  <conditionalFormatting sqref="O41">
    <cfRule type="expression" dxfId="1539" priority="137" stopIfTrue="1">
      <formula>AND($O$41="Met", startSingleorMulti&lt;&gt;"Multi-Unit")</formula>
    </cfRule>
    <cfRule type="expression" dxfId="1538" priority="138" stopIfTrue="1">
      <formula>$O$41="Met"</formula>
    </cfRule>
    <cfRule type="expression" dxfId="1537" priority="139" stopIfTrue="1">
      <formula>AND($O$41&lt;&gt;"Met",startSingleorMulti&lt;&gt;"Multi-Unit")</formula>
    </cfRule>
  </conditionalFormatting>
  <conditionalFormatting sqref="O42">
    <cfRule type="expression" dxfId="1536" priority="134" stopIfTrue="1">
      <formula>AND($O$42="Met", startSingleorMulti&lt;&gt;"Multi-Unit")</formula>
    </cfRule>
    <cfRule type="expression" dxfId="1535" priority="135" stopIfTrue="1">
      <formula>$O$42="Met"</formula>
    </cfRule>
    <cfRule type="expression" dxfId="1534" priority="136" stopIfTrue="1">
      <formula>AND($O$42&lt;&gt;"Met",startSingleorMulti&lt;&gt;"Multi-Unit")</formula>
    </cfRule>
  </conditionalFormatting>
  <conditionalFormatting sqref="O43">
    <cfRule type="expression" dxfId="1533" priority="79">
      <formula>AND(startSingleorMulti="Multi-Unit",COUNTIF($O$43:$O$47,"Met")&gt;1)</formula>
    </cfRule>
    <cfRule type="expression" dxfId="1532" priority="133" stopIfTrue="1">
      <formula>AND($O$43&lt;&gt;"Met",startSingleorMulti&lt;&gt;"Multi-Unit")</formula>
    </cfRule>
    <cfRule type="expression" dxfId="1531" priority="192" stopIfTrue="1">
      <formula>AND($O$43="Met", startSingleorMulti&lt;&gt;"Multi-Unit")</formula>
    </cfRule>
  </conditionalFormatting>
  <conditionalFormatting sqref="O44">
    <cfRule type="expression" dxfId="1530" priority="78">
      <formula>AND(startSingleorMulti="Multi-Unit",COUNTIF($O$43:$O$47,"Met")&gt;1)</formula>
    </cfRule>
    <cfRule type="expression" dxfId="1529" priority="113" stopIfTrue="1">
      <formula>AND($O$44="Met", startSingleorMulti&lt;&gt;"Multi-Unit")</formula>
    </cfRule>
    <cfRule type="expression" dxfId="1528" priority="132" stopIfTrue="1">
      <formula>AND($O$44&lt;&gt;"Met",startSingleorMulti&lt;&gt;"Multi-Unit")</formula>
    </cfRule>
  </conditionalFormatting>
  <conditionalFormatting sqref="O45">
    <cfRule type="expression" dxfId="1527" priority="77">
      <formula>AND(startSingleorMulti="Multi-Unit",COUNTIF($O$43:$O$47,"Met")&gt;1)</formula>
    </cfRule>
    <cfRule type="expression" dxfId="1526" priority="112" stopIfTrue="1">
      <formula>AND($O$45="Met",startSingleorMulti&lt;&gt;"Multi-Unit")</formula>
    </cfRule>
    <cfRule type="expression" dxfId="1525" priority="131" stopIfTrue="1">
      <formula>AND($O$45&lt;&gt;"Met",startSingleorMulti&lt;&gt;"Multi-Unit")</formula>
    </cfRule>
  </conditionalFormatting>
  <conditionalFormatting sqref="O46">
    <cfRule type="expression" dxfId="1524" priority="76">
      <formula>AND(startSingleorMulti="Multi-Unit",COUNTIF($O$43:$O$47,"Met")&gt;1)</formula>
    </cfRule>
    <cfRule type="expression" dxfId="1523" priority="111" stopIfTrue="1">
      <formula>AND($O$46="Met",startSingleorMulti&lt;&gt;"Multi-Unit")</formula>
    </cfRule>
    <cfRule type="expression" dxfId="1522" priority="130" stopIfTrue="1">
      <formula>AND($O$46&lt;&gt;"Met",startSingleorMulti&lt;&gt;"Multi-Unit")</formula>
    </cfRule>
  </conditionalFormatting>
  <conditionalFormatting sqref="O47">
    <cfRule type="expression" dxfId="1521" priority="75">
      <formula>AND(startSingleorMulti="Multi-Unit",COUNTIF($O$43:$O$47,"Met")&gt;1)</formula>
    </cfRule>
    <cfRule type="expression" dxfId="1520" priority="110" stopIfTrue="1">
      <formula>AND($O$47="Met",startSingleorMulti&lt;&gt;"Multi-Unit")</formula>
    </cfRule>
    <cfRule type="expression" dxfId="1519" priority="129" stopIfTrue="1">
      <formula>AND($O$47&lt;&gt;"Met",startSingleorMulti&lt;&gt;"Multi-Unit")</formula>
    </cfRule>
  </conditionalFormatting>
  <conditionalFormatting sqref="O54">
    <cfRule type="expression" dxfId="1518" priority="74" stopIfTrue="1">
      <formula>AND($O$54="Met", startSingleorMulti&lt;&gt;"Multi-Unit")</formula>
    </cfRule>
    <cfRule type="expression" dxfId="1517" priority="105">
      <formula>AND(startSingleorMulti="Multi-Unit",COUNTIF($O$53:$O$60,"Met")&gt;2)</formula>
    </cfRule>
    <cfRule type="expression" dxfId="1516" priority="128" stopIfTrue="1">
      <formula>AND($O$54&lt;&gt;"Met",startSingleorMulti&lt;&gt;"Multi-Unit")</formula>
    </cfRule>
  </conditionalFormatting>
  <conditionalFormatting sqref="O55">
    <cfRule type="expression" dxfId="1515" priority="73">
      <formula>AND(startSingleorMulti="Multi-Unit",COUNTIF($O$53:$O$60,"Met")&gt;2)</formula>
    </cfRule>
    <cfRule type="expression" dxfId="1514" priority="104" stopIfTrue="1">
      <formula>AND($O$55="Met", startSingleorMulti&lt;&gt;"Multi-Unit")</formula>
    </cfRule>
    <cfRule type="expression" dxfId="1513" priority="127" stopIfTrue="1">
      <formula>AND($O$55&lt;&gt;"Met",startSingleorMulti&lt;&gt;"Multi-Unit")</formula>
    </cfRule>
  </conditionalFormatting>
  <conditionalFormatting sqref="O56">
    <cfRule type="expression" dxfId="1512" priority="72">
      <formula>AND(startSingleorMulti="Multi-Unit",COUNTIF($O$53:$O$60,"Met")&gt;2)</formula>
    </cfRule>
    <cfRule type="expression" dxfId="1511" priority="103" stopIfTrue="1">
      <formula>AND($O$56="Met", startSingleorMulti&lt;&gt;"Multi-Unit")</formula>
    </cfRule>
    <cfRule type="expression" dxfId="1510" priority="126" stopIfTrue="1">
      <formula>AND($O$56&lt;&gt;"Met",startSingleorMulti&lt;&gt;"Multi-Unit")</formula>
    </cfRule>
  </conditionalFormatting>
  <conditionalFormatting sqref="O57">
    <cfRule type="expression" dxfId="1509" priority="71">
      <formula>AND(startSingleorMulti="Multi-Unit",COUNTIF($O$53:$O$60,"Met")&gt;2)</formula>
    </cfRule>
    <cfRule type="expression" dxfId="1508" priority="102" stopIfTrue="1">
      <formula>AND($O$57="Met", startSingleorMulti&lt;&gt;"Multi-Unit")</formula>
    </cfRule>
    <cfRule type="expression" dxfId="1507" priority="125" stopIfTrue="1">
      <formula>AND($O$57&lt;&gt;"Met",startSingleorMulti&lt;&gt;"Multi-Unit")</formula>
    </cfRule>
  </conditionalFormatting>
  <conditionalFormatting sqref="O58">
    <cfRule type="expression" dxfId="1506" priority="70">
      <formula>AND(startSingleorMulti="Multi-Unit",COUNTIF($O$53:$O$60,"Met")&gt;2)</formula>
    </cfRule>
    <cfRule type="expression" dxfId="1505" priority="101" stopIfTrue="1">
      <formula>AND($O$58="Met", startSingleorMulti&lt;&gt;"Multi-Unit")</formula>
    </cfRule>
    <cfRule type="expression" dxfId="1504" priority="124" stopIfTrue="1">
      <formula>AND($O$58&lt;&gt;"Met",startSingleorMulti&lt;&gt;"Multi-Unit")</formula>
    </cfRule>
  </conditionalFormatting>
  <conditionalFormatting sqref="O59">
    <cfRule type="expression" dxfId="1503" priority="69">
      <formula>AND(startSingleorMulti="Multi-Unit",COUNTIF($O$53:$O$60,"Met")&gt;2)</formula>
    </cfRule>
    <cfRule type="expression" dxfId="1502" priority="100" stopIfTrue="1">
      <formula>AND($O$59="Met", startSingleorMulti&lt;&gt;"Multi-Unit")</formula>
    </cfRule>
    <cfRule type="expression" dxfId="1501" priority="123" stopIfTrue="1">
      <formula>AND($O$59&lt;&gt;"Met",startSingleorMulti&lt;&gt;"Multi-Unit")</formula>
    </cfRule>
  </conditionalFormatting>
  <conditionalFormatting sqref="O60">
    <cfRule type="expression" dxfId="1500" priority="68">
      <formula>AND(startSingleorMulti="Multi-Unit",COUNTIF($O$53:$O$60,"Met")&gt;2)</formula>
    </cfRule>
    <cfRule type="expression" dxfId="1499" priority="99" stopIfTrue="1">
      <formula>AND($O$60="Met", startSingleorMulti&lt;&gt;"Multi-Unit")</formula>
    </cfRule>
    <cfRule type="expression" dxfId="1498" priority="122" stopIfTrue="1">
      <formula>AND($O$60&lt;&gt;"Met",startSingleorMulti&lt;&gt;"Multi-Unit")</formula>
    </cfRule>
  </conditionalFormatting>
  <conditionalFormatting sqref="O65">
    <cfRule type="expression" dxfId="1497" priority="67">
      <formula>AND(startSingleorMulti="Multi-Unit",COUNTIF($O$65:$O$72,"Met")&gt;3)</formula>
    </cfRule>
    <cfRule type="expression" dxfId="1496" priority="97" stopIfTrue="1">
      <formula>AND($O$65="Met", startSingleorMulti&lt;&gt;"Multi-Unit")</formula>
    </cfRule>
    <cfRule type="expression" dxfId="1495" priority="121" stopIfTrue="1">
      <formula>AND($O$65&lt;&gt;"Met",startSingleorMulti&lt;&gt;"Multi-Unit")</formula>
    </cfRule>
  </conditionalFormatting>
  <conditionalFormatting sqref="O66">
    <cfRule type="expression" dxfId="1494" priority="66">
      <formula>AND(startSingleorMulti="Multi-Unit",COUNTIF($O$65:$O$72,"Met")&gt;3)</formula>
    </cfRule>
    <cfRule type="expression" dxfId="1493" priority="96" stopIfTrue="1">
      <formula>AND($O$66="Met", startSingleorMulti&lt;&gt;"Multi-Unit")</formula>
    </cfRule>
    <cfRule type="expression" dxfId="1492" priority="120" stopIfTrue="1">
      <formula>AND($O$66&lt;&gt;"Met",startSingleorMulti&lt;&gt;"Multi-Unit")</formula>
    </cfRule>
  </conditionalFormatting>
  <conditionalFormatting sqref="O67">
    <cfRule type="expression" dxfId="1491" priority="65">
      <formula>AND(startSingleorMulti="Multi-Unit",COUNTIF($O$65:$O$72,"Met")&gt;3)</formula>
    </cfRule>
    <cfRule type="expression" dxfId="1490" priority="95" stopIfTrue="1">
      <formula>AND($O$67="Met", startSingleorMulti&lt;&gt;"Multi-Unit")</formula>
    </cfRule>
    <cfRule type="expression" dxfId="1489" priority="119" stopIfTrue="1">
      <formula>AND($O$67&lt;&gt;"Met",startSingleorMulti&lt;&gt;"Multi-Unit")</formula>
    </cfRule>
  </conditionalFormatting>
  <conditionalFormatting sqref="O68">
    <cfRule type="expression" dxfId="1488" priority="64">
      <formula>AND(startSingleorMulti="Multi-Unit",COUNTIF($O$65:$O$72,"Met")&gt;3)</formula>
    </cfRule>
    <cfRule type="expression" dxfId="1487" priority="94" stopIfTrue="1">
      <formula>AND($O$68="Met", startSingleorMulti&lt;&gt;"Multi-Unit")</formula>
    </cfRule>
    <cfRule type="expression" dxfId="1486" priority="118" stopIfTrue="1">
      <formula>AND($O$68&lt;&gt;"Met",startSingleorMulti&lt;&gt;"Multi-Unit")</formula>
    </cfRule>
  </conditionalFormatting>
  <conditionalFormatting sqref="O69">
    <cfRule type="expression" dxfId="1485" priority="63">
      <formula>AND(startSingleorMulti="Multi-Unit",COUNTIF($O$65:$O$72,"Met")&gt;3)</formula>
    </cfRule>
    <cfRule type="expression" dxfId="1484" priority="93" stopIfTrue="1">
      <formula>AND($O$69="Met", startSingleorMulti&lt;&gt;"Multi-Unit")</formula>
    </cfRule>
    <cfRule type="expression" dxfId="1483" priority="117" stopIfTrue="1">
      <formula>AND($O$69&lt;&gt;"Met",startSingleorMulti&lt;&gt;"Multi-Unit")</formula>
    </cfRule>
  </conditionalFormatting>
  <conditionalFormatting sqref="O70">
    <cfRule type="expression" dxfId="1482" priority="62">
      <formula>AND(startSingleorMulti="Multi-Unit",COUNTIF($O$65:$O$72,"Met")&gt;3)</formula>
    </cfRule>
    <cfRule type="expression" dxfId="1481" priority="92" stopIfTrue="1">
      <formula>AND($O$70="Met", startSingleorMulti&lt;&gt;"Multi-Unit")</formula>
    </cfRule>
    <cfRule type="expression" dxfId="1480" priority="116" stopIfTrue="1">
      <formula>AND($O$70&lt;&gt;"Met",startSingleorMulti&lt;&gt;"Multi-Unit")</formula>
    </cfRule>
  </conditionalFormatting>
  <conditionalFormatting sqref="O71">
    <cfRule type="expression" dxfId="1479" priority="61">
      <formula>AND(startSingleorMulti="Multi-Unit",COUNTIF($O$65:$O$72,"Met")&gt;3)</formula>
    </cfRule>
    <cfRule type="expression" dxfId="1478" priority="91" stopIfTrue="1">
      <formula>AND($O$71="Met", startSingleorMulti&lt;&gt;"Multi-Unit")</formula>
    </cfRule>
    <cfRule type="expression" dxfId="1477" priority="115" stopIfTrue="1">
      <formula>AND($O$71&lt;&gt;"Met",startSingleorMulti&lt;&gt;"Multi-Unit")</formula>
    </cfRule>
  </conditionalFormatting>
  <conditionalFormatting sqref="O72">
    <cfRule type="expression" dxfId="1476" priority="60">
      <formula>AND(startSingleorMulti="Multi-Unit",COUNTIF($O$65:$O$72,"Met")&gt;3)</formula>
    </cfRule>
    <cfRule type="expression" dxfId="1475" priority="90" stopIfTrue="1">
      <formula>AND($O$72="Met", startSingleorMulti&lt;&gt;"Multi-Unit")</formula>
    </cfRule>
    <cfRule type="expression" dxfId="1474" priority="114" stopIfTrue="1">
      <formula>AND($O$72&lt;&gt;"Met",startSingleorMulti&lt;&gt;"Multi-Unit")</formula>
    </cfRule>
  </conditionalFormatting>
  <conditionalFormatting sqref="O48:O50">
    <cfRule type="expression" dxfId="1473" priority="82" stopIfTrue="1">
      <formula>AND(startSingleorMulti&lt;&gt;"Multi-Unit",COUNTBLANK(claim1003.2_man)=10)</formula>
    </cfRule>
    <cfRule type="expression" dxfId="1472" priority="86" stopIfTrue="1">
      <formula>AND(startSingleorMulti&lt;&gt;"Multi-Unit",COUNTIF(claim1003.2_man,"&lt;&gt;NULL")&gt;0)</formula>
    </cfRule>
    <cfRule type="expression" dxfId="1471" priority="109" stopIfTrue="1">
      <formula>AND(startSingleorMulti="Multi-Unit",COUNTIF(claim1003.2_man,"&lt;&gt;Met")&lt;6, AND(O51="Met",O52="Met"))</formula>
    </cfRule>
  </conditionalFormatting>
  <conditionalFormatting sqref="O61:O63">
    <cfRule type="expression" dxfId="1470" priority="81" stopIfTrue="1">
      <formula>AND(startSingleorMulti&lt;&gt;"Multi-Unit",COUNTBLANK(claim1003.3_man)=9)</formula>
    </cfRule>
    <cfRule type="expression" dxfId="1469" priority="85" stopIfTrue="1">
      <formula>AND(startSingleorMulti&lt;&gt;"Multi-Unit",COUNTIF(claim1003.3_man,"&lt;&gt;NULL")&gt;0)</formula>
    </cfRule>
    <cfRule type="expression" dxfId="1468" priority="98" stopIfTrue="1">
      <formula>AND(startSingleorMulti="Multi-Unit",COUNTIF(claim1003.3_man,"&lt;&gt;Met")&lt;5, O64="Met")</formula>
    </cfRule>
  </conditionalFormatting>
  <conditionalFormatting sqref="O4">
    <cfRule type="expression" dxfId="1467" priority="89" stopIfTrue="1">
      <formula>$O$4="Not Met"</formula>
    </cfRule>
  </conditionalFormatting>
  <conditionalFormatting sqref="O3">
    <cfRule type="expression" dxfId="1466" priority="88" stopIfTrue="1">
      <formula>$O$3="Not Met"</formula>
    </cfRule>
  </conditionalFormatting>
  <conditionalFormatting sqref="O13">
    <cfRule type="expression" dxfId="1465" priority="57" stopIfTrue="1">
      <formula>AND($O$13="Met", startSingleorMulti&lt;&gt;"Single-Family")</formula>
    </cfRule>
    <cfRule type="expression" dxfId="1464" priority="58" stopIfTrue="1">
      <formula>$O$13="Met"</formula>
    </cfRule>
    <cfRule type="expression" dxfId="1463" priority="59" stopIfTrue="1">
      <formula>startSingleorMulti&lt;&gt;"Single-Family"</formula>
    </cfRule>
  </conditionalFormatting>
  <conditionalFormatting sqref="O14">
    <cfRule type="expression" dxfId="1462" priority="54" stopIfTrue="1">
      <formula>AND($O$14="Met", startSingleorMulti&lt;&gt;"Single-Family")</formula>
    </cfRule>
    <cfRule type="expression" dxfId="1461" priority="55" stopIfTrue="1">
      <formula>$O$14="Met"</formula>
    </cfRule>
    <cfRule type="expression" dxfId="1460" priority="56" stopIfTrue="1">
      <formula>startSingleorMulti&lt;&gt;"Single-Family"</formula>
    </cfRule>
  </conditionalFormatting>
  <conditionalFormatting sqref="P12:R12">
    <cfRule type="beginsWith" dxfId="1459" priority="53" operator="beginsWith" text="*">
      <formula>LEFT(P12,LEN("*"))="*"</formula>
    </cfRule>
  </conditionalFormatting>
  <conditionalFormatting sqref="P13">
    <cfRule type="beginsWith" dxfId="1458" priority="52" operator="beginsWith" text="*">
      <formula>LEFT(P13,LEN("*"))="*"</formula>
    </cfRule>
  </conditionalFormatting>
  <conditionalFormatting sqref="P14:R14">
    <cfRule type="beginsWith" dxfId="1457" priority="51" operator="beginsWith" text="*">
      <formula>LEFT(P14,LEN("*"))="*"</formula>
    </cfRule>
  </conditionalFormatting>
  <conditionalFormatting sqref="P15:R15">
    <cfRule type="beginsWith" dxfId="1456" priority="50" operator="beginsWith" text="*">
      <formula>LEFT(P15,LEN("*"))="*"</formula>
    </cfRule>
  </conditionalFormatting>
  <conditionalFormatting sqref="P16:R16">
    <cfRule type="beginsWith" dxfId="1455" priority="49" operator="beginsWith" text="*">
      <formula>LEFT(P16,LEN("*"))="*"</formula>
    </cfRule>
  </conditionalFormatting>
  <conditionalFormatting sqref="P17:R17">
    <cfRule type="beginsWith" dxfId="1454" priority="48" operator="beginsWith" text="*">
      <formula>LEFT(P17,LEN("*"))="*"</formula>
    </cfRule>
  </conditionalFormatting>
  <conditionalFormatting sqref="P18:R18">
    <cfRule type="beginsWith" dxfId="1453" priority="47" operator="beginsWith" text="*">
      <formula>LEFT(P18,LEN("*"))="*"</formula>
    </cfRule>
  </conditionalFormatting>
  <conditionalFormatting sqref="P19:R19">
    <cfRule type="beginsWith" dxfId="1452" priority="46" operator="beginsWith" text="*">
      <formula>LEFT(P19,LEN("*"))="*"</formula>
    </cfRule>
  </conditionalFormatting>
  <conditionalFormatting sqref="P20:R20">
    <cfRule type="beginsWith" dxfId="1451" priority="45" operator="beginsWith" text="*">
      <formula>LEFT(P20,LEN("*"))="*"</formula>
    </cfRule>
  </conditionalFormatting>
  <conditionalFormatting sqref="P21:R21">
    <cfRule type="beginsWith" dxfId="1450" priority="44" operator="beginsWith" text="*">
      <formula>LEFT(P21,LEN("*"))="*"</formula>
    </cfRule>
  </conditionalFormatting>
  <conditionalFormatting sqref="P22:R22">
    <cfRule type="beginsWith" dxfId="1449" priority="43" operator="beginsWith" text="*">
      <formula>LEFT(P22,LEN("*"))="*"</formula>
    </cfRule>
  </conditionalFormatting>
  <conditionalFormatting sqref="P23:R23">
    <cfRule type="beginsWith" dxfId="1448" priority="42" operator="beginsWith" text="*">
      <formula>LEFT(P23,LEN("*"))="*"</formula>
    </cfRule>
  </conditionalFormatting>
  <conditionalFormatting sqref="P24:R24">
    <cfRule type="beginsWith" dxfId="1447" priority="41" operator="beginsWith" text="*">
      <formula>LEFT(P24,LEN("*"))="*"</formula>
    </cfRule>
  </conditionalFormatting>
  <conditionalFormatting sqref="P25:R25">
    <cfRule type="beginsWith" dxfId="1446" priority="40" operator="beginsWith" text="*">
      <formula>LEFT(P25,LEN("*"))="*"</formula>
    </cfRule>
  </conditionalFormatting>
  <conditionalFormatting sqref="P26:R26">
    <cfRule type="beginsWith" dxfId="1445" priority="39" operator="beginsWith" text="*">
      <formula>LEFT(P26,LEN("*"))="*"</formula>
    </cfRule>
  </conditionalFormatting>
  <conditionalFormatting sqref="P27:R27">
    <cfRule type="beginsWith" dxfId="1444" priority="38" operator="beginsWith" text="*">
      <formula>LEFT(P27,LEN("*"))="*"</formula>
    </cfRule>
  </conditionalFormatting>
  <conditionalFormatting sqref="P28:R28">
    <cfRule type="beginsWith" dxfId="1443" priority="37" operator="beginsWith" text="*">
      <formula>LEFT(P28,LEN("*"))="*"</formula>
    </cfRule>
  </conditionalFormatting>
  <conditionalFormatting sqref="P29:R29">
    <cfRule type="beginsWith" dxfId="1442" priority="36" operator="beginsWith" text="*">
      <formula>LEFT(P29,LEN("*"))="*"</formula>
    </cfRule>
  </conditionalFormatting>
  <conditionalFormatting sqref="P30:R30">
    <cfRule type="beginsWith" dxfId="1441" priority="35" operator="beginsWith" text="*">
      <formula>LEFT(P30,LEN("*"))="*"</formula>
    </cfRule>
  </conditionalFormatting>
  <conditionalFormatting sqref="P31:R31 P32">
    <cfRule type="beginsWith" dxfId="1440" priority="34" operator="beginsWith" text="*">
      <formula>LEFT(P31,LEN("*"))="*"</formula>
    </cfRule>
  </conditionalFormatting>
  <conditionalFormatting sqref="O53">
    <cfRule type="expression" dxfId="1439" priority="31">
      <formula>AND(startSingleorMulti="Multi-Unit",COUNTIF($O$53:$O$60,"Met")&gt;2)</formula>
    </cfRule>
    <cfRule type="expression" dxfId="1438" priority="32" stopIfTrue="1">
      <formula>AND($O$53="Met", startSingleorMulti&lt;&gt;"Multi-Unit")</formula>
    </cfRule>
    <cfRule type="expression" dxfId="1437" priority="33" stopIfTrue="1">
      <formula>AND($O$53&lt;&gt;"Met",startSingleorMulti&lt;&gt;"Multi-Unit")</formula>
    </cfRule>
  </conditionalFormatting>
  <conditionalFormatting sqref="P34:R34">
    <cfRule type="beginsWith" dxfId="1436" priority="30" operator="beginsWith" text="*">
      <formula>LEFT(P34,LEN("*"))="*"</formula>
    </cfRule>
  </conditionalFormatting>
  <conditionalFormatting sqref="P40:R40">
    <cfRule type="beginsWith" dxfId="1435" priority="29" operator="beginsWith" text="*">
      <formula>LEFT(P40,LEN("*"))="*"</formula>
    </cfRule>
  </conditionalFormatting>
  <conditionalFormatting sqref="P41:R41">
    <cfRule type="beginsWith" dxfId="1434" priority="28" operator="beginsWith" text="*">
      <formula>LEFT(P41,LEN("*"))="*"</formula>
    </cfRule>
  </conditionalFormatting>
  <conditionalFormatting sqref="P42:R42">
    <cfRule type="beginsWith" dxfId="1433" priority="27" operator="beginsWith" text="*">
      <formula>LEFT(P42,LEN("*"))="*"</formula>
    </cfRule>
  </conditionalFormatting>
  <conditionalFormatting sqref="P43:R43">
    <cfRule type="beginsWith" dxfId="1432" priority="26" operator="beginsWith" text="*">
      <formula>LEFT(P43,LEN("*"))="*"</formula>
    </cfRule>
  </conditionalFormatting>
  <conditionalFormatting sqref="P44:R44">
    <cfRule type="beginsWith" dxfId="1431" priority="25" operator="beginsWith" text="*">
      <formula>LEFT(P44,LEN("*"))="*"</formula>
    </cfRule>
  </conditionalFormatting>
  <conditionalFormatting sqref="P45:R45">
    <cfRule type="beginsWith" dxfId="1430" priority="24" operator="beginsWith" text="*">
      <formula>LEFT(P45,LEN("*"))="*"</formula>
    </cfRule>
  </conditionalFormatting>
  <conditionalFormatting sqref="P46:R46">
    <cfRule type="beginsWith" dxfId="1429" priority="23" operator="beginsWith" text="*">
      <formula>LEFT(P46,LEN("*"))="*"</formula>
    </cfRule>
  </conditionalFormatting>
  <conditionalFormatting sqref="P47:R47">
    <cfRule type="beginsWith" dxfId="1428" priority="22" operator="beginsWith" text="*">
      <formula>LEFT(P47,LEN("*"))="*"</formula>
    </cfRule>
  </conditionalFormatting>
  <conditionalFormatting sqref="P51:R51">
    <cfRule type="beginsWith" dxfId="1427" priority="21" operator="beginsWith" text="*">
      <formula>LEFT(P51,LEN("*"))="*"</formula>
    </cfRule>
  </conditionalFormatting>
  <conditionalFormatting sqref="P52:R52">
    <cfRule type="beginsWith" dxfId="1426" priority="20" operator="beginsWith" text="*">
      <formula>LEFT(P52,LEN("*"))="*"</formula>
    </cfRule>
  </conditionalFormatting>
  <conditionalFormatting sqref="P53:R53">
    <cfRule type="beginsWith" dxfId="1425" priority="19" operator="beginsWith" text="*">
      <formula>LEFT(P53,LEN("*"))="*"</formula>
    </cfRule>
  </conditionalFormatting>
  <conditionalFormatting sqref="P54:R54">
    <cfRule type="beginsWith" dxfId="1424" priority="18" operator="beginsWith" text="*">
      <formula>LEFT(P54,LEN("*"))="*"</formula>
    </cfRule>
  </conditionalFormatting>
  <conditionalFormatting sqref="P55:R55">
    <cfRule type="beginsWith" dxfId="1423" priority="17" operator="beginsWith" text="*">
      <formula>LEFT(P55,LEN("*"))="*"</formula>
    </cfRule>
  </conditionalFormatting>
  <conditionalFormatting sqref="P56:R56">
    <cfRule type="beginsWith" dxfId="1422" priority="16" operator="beginsWith" text="*">
      <formula>LEFT(P56,LEN("*"))="*"</formula>
    </cfRule>
  </conditionalFormatting>
  <conditionalFormatting sqref="P57:R57">
    <cfRule type="beginsWith" dxfId="1421" priority="15" operator="beginsWith" text="*">
      <formula>LEFT(P57,LEN("*"))="*"</formula>
    </cfRule>
  </conditionalFormatting>
  <conditionalFormatting sqref="P58:R58">
    <cfRule type="beginsWith" dxfId="1420" priority="14" operator="beginsWith" text="*">
      <formula>LEFT(P58,LEN("*"))="*"</formula>
    </cfRule>
  </conditionalFormatting>
  <conditionalFormatting sqref="P59:R59">
    <cfRule type="beginsWith" dxfId="1419" priority="13" operator="beginsWith" text="*">
      <formula>LEFT(P59,LEN("*"))="*"</formula>
    </cfRule>
  </conditionalFormatting>
  <conditionalFormatting sqref="P60:R60">
    <cfRule type="beginsWith" dxfId="1418" priority="12" operator="beginsWith" text="*">
      <formula>LEFT(P60,LEN("*"))="*"</formula>
    </cfRule>
  </conditionalFormatting>
  <conditionalFormatting sqref="P64:R64">
    <cfRule type="beginsWith" dxfId="1417" priority="11" operator="beginsWith" text="*">
      <formula>LEFT(P64,LEN("*"))="*"</formula>
    </cfRule>
  </conditionalFormatting>
  <conditionalFormatting sqref="P65:R65">
    <cfRule type="beginsWith" dxfId="1416" priority="10" operator="beginsWith" text="*">
      <formula>LEFT(P65,LEN("*"))="*"</formula>
    </cfRule>
  </conditionalFormatting>
  <conditionalFormatting sqref="P66:R66">
    <cfRule type="beginsWith" dxfId="1415" priority="9" operator="beginsWith" text="*">
      <formula>LEFT(P66,LEN("*"))="*"</formula>
    </cfRule>
  </conditionalFormatting>
  <conditionalFormatting sqref="P67:R67">
    <cfRule type="beginsWith" dxfId="1414" priority="8" operator="beginsWith" text="*">
      <formula>LEFT(P67,LEN("*"))="*"</formula>
    </cfRule>
  </conditionalFormatting>
  <conditionalFormatting sqref="P68:R68">
    <cfRule type="beginsWith" dxfId="1413" priority="7" operator="beginsWith" text="*">
      <formula>LEFT(P68,LEN("*"))="*"</formula>
    </cfRule>
  </conditionalFormatting>
  <conditionalFormatting sqref="P69:R69">
    <cfRule type="beginsWith" dxfId="1412" priority="6" operator="beginsWith" text="*">
      <formula>LEFT(P69,LEN("*"))="*"</formula>
    </cfRule>
  </conditionalFormatting>
  <conditionalFormatting sqref="P70:R70">
    <cfRule type="beginsWith" dxfId="1411" priority="5" operator="beginsWith" text="*">
      <formula>LEFT(P70,LEN("*"))="*"</formula>
    </cfRule>
  </conditionalFormatting>
  <conditionalFormatting sqref="P71:R71">
    <cfRule type="beginsWith" dxfId="1410" priority="4" operator="beginsWith" text="*">
      <formula>LEFT(P71,LEN("*"))="*"</formula>
    </cfRule>
  </conditionalFormatting>
  <conditionalFormatting sqref="P72:R72">
    <cfRule type="beginsWith" dxfId="1409" priority="3" operator="beginsWith" text="*">
      <formula>LEFT(P72,LEN("*"))="*"</formula>
    </cfRule>
  </conditionalFormatting>
  <conditionalFormatting sqref="O31">
    <cfRule type="expression" dxfId="1408" priority="142" stopIfTrue="1">
      <formula>AND($O$31="Met", startSingleorMulti&lt;&gt;"Single-Family")</formula>
    </cfRule>
    <cfRule type="expression" dxfId="1407" priority="156" stopIfTrue="1">
      <formula>AND($O$31&lt;&gt;"Met", startSingleorMulti&lt;&gt;"Single-Family")</formula>
    </cfRule>
  </conditionalFormatting>
  <conditionalFormatting sqref="O32">
    <cfRule type="expression" dxfId="1406" priority="1" stopIfTrue="1">
      <formula>AND($O$32="Met", startSingleorMulti&lt;&gt;"Single-Family")</formula>
    </cfRule>
    <cfRule type="expression" dxfId="1405" priority="2" stopIfTrue="1">
      <formula>AND($O$32&lt;&gt;"Met", startSingleorMulti&lt;&gt;"Single-Family")</formula>
    </cfRule>
  </conditionalFormatting>
  <dataValidations count="6">
    <dataValidation type="whole" operator="equal" allowBlank="1" showInputMessage="1" showErrorMessage="1" errorTitle="Invalid value" error="Leave cell blank or enter the number 8." sqref="O34" xr:uid="{00000000-0002-0000-0600-000000000000}">
      <formula1>8</formula1>
    </dataValidation>
    <dataValidation type="list" errorStyle="warning" allowBlank="1" showInputMessage="1" showErrorMessage="1" errorTitle="Invalid Entry" error="Select an option from the dropdown list provided." sqref="O64 O40:O42 O51:O52" xr:uid="{00000000-0002-0000-0600-000001000000}">
      <formula1>ddMetNotMet</formula1>
    </dataValidation>
    <dataValidation type="list" allowBlank="1" showInputMessage="1" showErrorMessage="1" errorTitle="Invalid Entry" error="Select an option from the dropdown list provided." sqref="O53:O60 O65:O72 O43:O47 O15:O32" xr:uid="{00000000-0002-0000-0600-000002000000}">
      <formula1>ddMetNotMet</formula1>
    </dataValidation>
    <dataValidation type="list" allowBlank="1" showInputMessage="1" showErrorMessage="1" errorTitle="Invalid Entry" error="Select an option from the dropdown list provided." sqref="O12" xr:uid="{00000000-0002-0000-0600-000003000000}">
      <formula1>dd1001.1_1</formula1>
    </dataValidation>
    <dataValidation type="list" allowBlank="1" showInputMessage="1" showErrorMessage="1" errorTitle="Invalid Entry" error="Select an option from the dropdown list provided." sqref="O13" xr:uid="{00000000-0002-0000-0600-000004000000}">
      <formula1>dd1001.1_2</formula1>
    </dataValidation>
    <dataValidation type="list" allowBlank="1" showInputMessage="1" showErrorMessage="1" errorTitle="Invalid Entry" error="Select an option from the dropdown list provided." sqref="O14" xr:uid="{00000000-0002-0000-0600-000005000000}">
      <formula1>dd1001.1_3</formula1>
    </dataValidation>
  </dataValidations>
  <pageMargins left="0.7" right="0.7" top="0.75" bottom="0.75" header="0.3" footer="0.3"/>
  <pageSetup scale="54" fitToHeight="0" orientation="portrait" r:id="rId1"/>
  <headerFooter>
    <oddFooter xml:space="preserve">&amp;C&amp;8© 2013 Home Innovation Research Labs.  Practices of ICC700-2012 © 2013 National Association of Home Builders- used by permission.   Home Innovation authorizes use by those persons participating in the Home Innovation’s Green Building Certification.&amp;R
</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rgb="FFFFC000"/>
    <pageSetUpPr fitToPage="1"/>
  </sheetPr>
  <dimension ref="A1:Y764"/>
  <sheetViews>
    <sheetView showZeros="0" topLeftCell="C1" zoomScaleNormal="100" workbookViewId="0">
      <pane ySplit="10" topLeftCell="A11" activePane="bottomLeft" state="frozen"/>
      <selection activeCell="A3" sqref="A1:K3"/>
      <selection pane="bottomLeft" activeCell="E13" sqref="E13"/>
    </sheetView>
  </sheetViews>
  <sheetFormatPr baseColWidth="10" defaultColWidth="9.1640625" defaultRowHeight="15"/>
  <cols>
    <col min="1" max="1" width="4.5" style="32" hidden="1" customWidth="1"/>
    <col min="2" max="2" width="5.5" style="32" hidden="1" customWidth="1"/>
    <col min="3" max="3" width="77.5" style="32" bestFit="1" customWidth="1"/>
    <col min="4" max="4" width="19.1640625" style="326" bestFit="1" customWidth="1"/>
    <col min="5" max="5" width="14.83203125" style="327" customWidth="1"/>
    <col min="6" max="6" width="30.6640625" style="182" customWidth="1"/>
    <col min="7" max="7" width="45.5" style="32" customWidth="1"/>
    <col min="8" max="8" width="9.1640625" style="32" customWidth="1"/>
    <col min="9" max="23" width="9.1640625" style="32"/>
    <col min="24" max="25" width="0" style="32" hidden="1" customWidth="1"/>
    <col min="26" max="16384" width="9.1640625" style="32"/>
  </cols>
  <sheetData>
    <row r="1" spans="3:25" ht="45" customHeight="1">
      <c r="C1" s="2294"/>
      <c r="D1" s="4737">
        <v>2012</v>
      </c>
      <c r="E1" s="4737"/>
      <c r="F1" s="2303" t="str">
        <f>CONCATENATE("Revised ",TEXT(startRevisionDate,"mmmm dd, yyyy"))</f>
        <v>Revised August 21, 2020</v>
      </c>
      <c r="G1" s="2304"/>
      <c r="H1" s="227">
        <f>SUBTOTAL(3,C11:G761)</f>
        <v>2188</v>
      </c>
      <c r="X1" s="228" t="s">
        <v>558</v>
      </c>
      <c r="Y1" s="229" t="str">
        <f>finalLevelReached</f>
        <v>Nothing</v>
      </c>
    </row>
    <row r="2" spans="3:25" ht="31.5" customHeight="1" thickBot="1">
      <c r="C2" s="2670" t="s">
        <v>2989</v>
      </c>
      <c r="D2" s="3024" t="str">
        <f>CONCATENATE(copyright," All rights reserved.  See full notice at bottom of this sheet")</f>
        <v>© 2020 Home Innovation Research Labs, Inc. All rights reserved.  See full notice at bottom of this sheet</v>
      </c>
      <c r="E2" s="3024"/>
      <c r="F2" s="3024"/>
      <c r="G2" s="3024"/>
    </row>
    <row r="3" spans="3:25" ht="18.75" customHeight="1" thickBot="1">
      <c r="C3" s="4677" t="s">
        <v>559</v>
      </c>
      <c r="D3" s="4678"/>
      <c r="E3" s="4678"/>
      <c r="F3" s="4678"/>
      <c r="G3" s="4678"/>
    </row>
    <row r="4" spans="3:25">
      <c r="C4" s="230" t="s">
        <v>560</v>
      </c>
      <c r="D4" s="4679" t="str">
        <f>IF(startBuilderName="","",startBuilderName)</f>
        <v/>
      </c>
      <c r="E4" s="4679"/>
      <c r="F4" s="231" t="s">
        <v>561</v>
      </c>
      <c r="G4" s="703" t="str">
        <f>IF(startBuilderPhone="", "", startBuilderPhone)</f>
        <v/>
      </c>
    </row>
    <row r="5" spans="3:25" ht="30" customHeight="1">
      <c r="C5" s="232" t="s">
        <v>562</v>
      </c>
      <c r="D5" s="4689" t="str">
        <f>IF(startHomeAddress="", "", CONCATENATE(startHomeAddress, ", ", startHomeCity, ", ", startHomeCity, " ", startHomeZip))</f>
        <v/>
      </c>
      <c r="E5" s="4689"/>
      <c r="F5" s="233" t="s">
        <v>563</v>
      </c>
      <c r="G5" s="702" t="str">
        <f>IF(startSingleorMulti="", "", startSingleorMulti)</f>
        <v/>
      </c>
    </row>
    <row r="6" spans="3:25">
      <c r="C6" s="230" t="s">
        <v>180</v>
      </c>
      <c r="D6" s="4683" t="str">
        <f>IF(startLot="", "", startLot)</f>
        <v/>
      </c>
      <c r="E6" s="4683"/>
      <c r="F6" s="232" t="s">
        <v>564</v>
      </c>
      <c r="G6" s="702" t="str">
        <f>IF(startMultiUnits="", "", startMultiUnits)</f>
        <v/>
      </c>
    </row>
    <row r="7" spans="3:25">
      <c r="C7" s="230" t="s">
        <v>565</v>
      </c>
      <c r="D7" s="4683" t="str">
        <f>IF(startClimateZone="", "", startClimateZone)</f>
        <v/>
      </c>
      <c r="E7" s="4683"/>
      <c r="F7" s="232" t="s">
        <v>184</v>
      </c>
      <c r="G7" s="702" t="str">
        <f>IF(startSquareFootage="", "", startSquareFootage)</f>
        <v/>
      </c>
    </row>
    <row r="8" spans="3:25">
      <c r="C8" s="1379" t="s">
        <v>2059</v>
      </c>
      <c r="D8" s="4700">
        <f>startCounty</f>
        <v>0</v>
      </c>
      <c r="E8" s="4700"/>
      <c r="F8" s="232" t="s">
        <v>567</v>
      </c>
      <c r="G8" s="702">
        <f>startProjectDesc</f>
        <v>0</v>
      </c>
    </row>
    <row r="9" spans="3:25" ht="17" thickBot="1">
      <c r="C9" s="234" t="str">
        <f>IF(H1&lt;1484, "Filtering is on. Clear the filter to see the entire Designer's Report.", "")</f>
        <v/>
      </c>
      <c r="D9" s="235"/>
      <c r="E9" s="32"/>
      <c r="F9" s="230" t="s">
        <v>566</v>
      </c>
      <c r="G9" s="1342" t="str">
        <f>IF(startHERSIndex="","Not entered",startHERSIndex)</f>
        <v>Not entered</v>
      </c>
      <c r="H9"/>
    </row>
    <row r="10" spans="3:25" ht="16" thickTop="1">
      <c r="C10" s="2671" t="s">
        <v>568</v>
      </c>
      <c r="D10" s="2672" t="s">
        <v>13</v>
      </c>
      <c r="E10" s="2672" t="s">
        <v>14</v>
      </c>
      <c r="F10" s="4696" t="s">
        <v>2582</v>
      </c>
      <c r="G10" s="4697"/>
    </row>
    <row r="11" spans="3:25">
      <c r="C11" s="4684" t="s">
        <v>569</v>
      </c>
      <c r="D11" s="4685"/>
      <c r="E11" s="4685"/>
      <c r="F11" s="4685"/>
      <c r="G11" s="4686"/>
    </row>
    <row r="12" spans="3:25">
      <c r="C12" s="4684" t="s">
        <v>570</v>
      </c>
      <c r="D12" s="4685"/>
      <c r="E12" s="4685"/>
      <c r="F12" s="4685"/>
      <c r="G12" s="4686"/>
    </row>
    <row r="13" spans="3:25" ht="30" customHeight="1">
      <c r="C13" s="236" t="s">
        <v>1273</v>
      </c>
      <c r="D13" s="237"/>
      <c r="E13" s="237"/>
      <c r="F13" s="4687"/>
      <c r="G13" s="4688"/>
    </row>
    <row r="14" spans="3:25">
      <c r="C14" s="238" t="s">
        <v>1274</v>
      </c>
      <c r="D14" s="1490">
        <v>6</v>
      </c>
      <c r="E14" s="1476">
        <f>claim501.1_1</f>
        <v>0</v>
      </c>
      <c r="F14" s="4558">
        <f>note501.1_1</f>
        <v>0</v>
      </c>
      <c r="G14" s="4559"/>
    </row>
    <row r="15" spans="3:25">
      <c r="C15" s="238" t="s">
        <v>1275</v>
      </c>
      <c r="D15" s="1490">
        <v>8</v>
      </c>
      <c r="E15" s="1476">
        <f>claim501.1_2</f>
        <v>0</v>
      </c>
      <c r="F15" s="4558">
        <f>note501.1_2</f>
        <v>0</v>
      </c>
      <c r="G15" s="4559"/>
    </row>
    <row r="16" spans="3:25">
      <c r="C16" s="238" t="s">
        <v>1276</v>
      </c>
      <c r="D16" s="1490">
        <v>7</v>
      </c>
      <c r="E16" s="1476">
        <f>claim501.1_3</f>
        <v>0</v>
      </c>
      <c r="F16" s="4558">
        <f>note501.1_3</f>
        <v>0</v>
      </c>
      <c r="G16" s="4559"/>
    </row>
    <row r="17" spans="3:7">
      <c r="C17" s="238" t="s">
        <v>1277</v>
      </c>
      <c r="D17" s="1490">
        <v>9</v>
      </c>
      <c r="E17" s="1476">
        <f>claim501.1_4</f>
        <v>0</v>
      </c>
      <c r="F17" s="4558">
        <f>note501.1_4</f>
        <v>0</v>
      </c>
      <c r="G17" s="4559"/>
    </row>
    <row r="18" spans="3:7" ht="16" thickBot="1">
      <c r="C18" s="1698" t="s">
        <v>1278</v>
      </c>
      <c r="D18" s="1686">
        <v>9</v>
      </c>
      <c r="E18" s="240">
        <f>claim501.1_5</f>
        <v>0</v>
      </c>
      <c r="F18" s="4564">
        <f>note501.1_5</f>
        <v>0</v>
      </c>
      <c r="G18" s="4565"/>
    </row>
    <row r="19" spans="3:7" ht="31" thickTop="1">
      <c r="C19" s="241" t="s">
        <v>1279</v>
      </c>
      <c r="D19" s="242"/>
      <c r="E19" s="242"/>
      <c r="F19" s="4642"/>
      <c r="G19" s="4643"/>
    </row>
    <row r="20" spans="3:7" ht="30">
      <c r="C20" s="238" t="s">
        <v>1280</v>
      </c>
      <c r="D20" s="1490">
        <v>4</v>
      </c>
      <c r="E20" s="1476">
        <f>claim501.2_1</f>
        <v>0</v>
      </c>
      <c r="F20" s="4558">
        <f>note501.2_1</f>
        <v>0</v>
      </c>
      <c r="G20" s="4559"/>
    </row>
    <row r="21" spans="3:7" ht="30">
      <c r="C21" s="238" t="s">
        <v>1281</v>
      </c>
      <c r="D21" s="1490">
        <v>5</v>
      </c>
      <c r="E21" s="1476">
        <f>claim501.2_2</f>
        <v>0</v>
      </c>
      <c r="F21" s="4558">
        <f>note501.2_2</f>
        <v>0</v>
      </c>
      <c r="G21" s="4559"/>
    </row>
    <row r="22" spans="3:7" ht="60">
      <c r="C22" s="1698" t="s">
        <v>1282</v>
      </c>
      <c r="D22" s="1686">
        <v>4</v>
      </c>
      <c r="E22" s="240">
        <f>claim501.2_3</f>
        <v>0</v>
      </c>
      <c r="F22" s="4558">
        <f>note501.2_3</f>
        <v>0</v>
      </c>
      <c r="G22" s="4559"/>
    </row>
    <row r="23" spans="3:7" ht="45">
      <c r="C23" s="1698" t="s">
        <v>1283</v>
      </c>
      <c r="D23" s="1686">
        <v>5</v>
      </c>
      <c r="E23" s="240">
        <f>claim501.2_4</f>
        <v>0</v>
      </c>
      <c r="F23" s="4564">
        <f>note501.2_4</f>
        <v>0</v>
      </c>
      <c r="G23" s="4565"/>
    </row>
    <row r="24" spans="3:7">
      <c r="C24" s="4532" t="s">
        <v>571</v>
      </c>
      <c r="D24" s="4533"/>
      <c r="E24" s="4533"/>
      <c r="F24" s="4533"/>
      <c r="G24" s="4534"/>
    </row>
    <row r="25" spans="3:7" ht="45">
      <c r="C25" s="243" t="s">
        <v>1284</v>
      </c>
      <c r="D25" s="1687">
        <v>4</v>
      </c>
      <c r="E25" s="244">
        <f>claim502.1</f>
        <v>0</v>
      </c>
      <c r="F25" s="4566">
        <f>note502.1</f>
        <v>0</v>
      </c>
      <c r="G25" s="4567"/>
    </row>
    <row r="26" spans="3:7">
      <c r="C26" s="4532" t="s">
        <v>572</v>
      </c>
      <c r="D26" s="4533"/>
      <c r="E26" s="4533"/>
      <c r="F26" s="4533"/>
      <c r="G26" s="4534"/>
    </row>
    <row r="27" spans="3:7" ht="30" customHeight="1">
      <c r="C27" s="245" t="s">
        <v>1285</v>
      </c>
      <c r="D27" s="246"/>
      <c r="E27" s="246"/>
      <c r="F27" s="4698"/>
      <c r="G27" s="4699"/>
    </row>
    <row r="28" spans="3:7" ht="30" customHeight="1">
      <c r="C28" s="238" t="s">
        <v>1286</v>
      </c>
      <c r="D28" s="1490">
        <v>5</v>
      </c>
      <c r="E28" s="1476">
        <f>claim503.1_1</f>
        <v>0</v>
      </c>
      <c r="F28" s="4558">
        <f>note503.1_1</f>
        <v>0</v>
      </c>
      <c r="G28" s="4559"/>
    </row>
    <row r="29" spans="3:7" ht="30" customHeight="1">
      <c r="C29" s="238" t="s">
        <v>1287</v>
      </c>
      <c r="D29" s="1490">
        <v>6</v>
      </c>
      <c r="E29" s="1476">
        <f>claim503.1_2</f>
        <v>0</v>
      </c>
      <c r="F29" s="4558">
        <f>note503.1_2</f>
        <v>0</v>
      </c>
      <c r="G29" s="4559"/>
    </row>
    <row r="30" spans="3:7" ht="30" customHeight="1">
      <c r="C30" s="238" t="s">
        <v>1288</v>
      </c>
      <c r="D30" s="1490">
        <v>4</v>
      </c>
      <c r="E30" s="1476">
        <f>claim503.1_3</f>
        <v>0</v>
      </c>
      <c r="F30" s="4558">
        <f>note503.1_3</f>
        <v>0</v>
      </c>
      <c r="G30" s="4559"/>
    </row>
    <row r="31" spans="3:7" ht="30" customHeight="1">
      <c r="C31" s="238" t="s">
        <v>1289</v>
      </c>
      <c r="D31" s="1490">
        <v>4</v>
      </c>
      <c r="E31" s="1476">
        <f>claim503.1_4</f>
        <v>0</v>
      </c>
      <c r="F31" s="4558">
        <f>note503.1_4</f>
        <v>0</v>
      </c>
      <c r="G31" s="4559"/>
    </row>
    <row r="32" spans="3:7" ht="15" customHeight="1">
      <c r="C32" s="238" t="s">
        <v>1290</v>
      </c>
      <c r="D32" s="1490">
        <v>3</v>
      </c>
      <c r="E32" s="1476">
        <f>claim503.1_5</f>
        <v>0</v>
      </c>
      <c r="F32" s="4558">
        <f>note503.1_5</f>
        <v>0</v>
      </c>
      <c r="G32" s="4559"/>
    </row>
    <row r="33" spans="3:7" ht="30" customHeight="1">
      <c r="C33" s="1698" t="s">
        <v>1291</v>
      </c>
      <c r="D33" s="1686">
        <v>4</v>
      </c>
      <c r="E33" s="240">
        <f>claim503.1_6</f>
        <v>0</v>
      </c>
      <c r="F33" s="4558">
        <f>note503.1_6</f>
        <v>0</v>
      </c>
      <c r="G33" s="4559"/>
    </row>
    <row r="34" spans="3:7" ht="30" customHeight="1" thickBot="1">
      <c r="C34" s="1698" t="s">
        <v>1292</v>
      </c>
      <c r="D34" s="1686">
        <v>5</v>
      </c>
      <c r="E34" s="240">
        <f>claim503.1_7</f>
        <v>0</v>
      </c>
      <c r="F34" s="4564">
        <f>note503.1_7</f>
        <v>0</v>
      </c>
      <c r="G34" s="4565"/>
    </row>
    <row r="35" spans="3:7" s="221" customFormat="1" ht="16" thickTop="1">
      <c r="C35" s="247" t="s">
        <v>1293</v>
      </c>
      <c r="D35" s="242"/>
      <c r="E35" s="242"/>
      <c r="F35" s="4642"/>
      <c r="G35" s="4643"/>
    </row>
    <row r="36" spans="3:7" ht="30" customHeight="1">
      <c r="C36" s="238" t="s">
        <v>1294</v>
      </c>
      <c r="D36" s="1530">
        <v>5</v>
      </c>
      <c r="E36" s="1562">
        <f>claim503.2_1</f>
        <v>0</v>
      </c>
      <c r="F36" s="4690">
        <f>note503.2_1</f>
        <v>0</v>
      </c>
      <c r="G36" s="4691"/>
    </row>
    <row r="37" spans="3:7" ht="30" customHeight="1">
      <c r="C37" s="238" t="s">
        <v>1295</v>
      </c>
      <c r="D37" s="1490">
        <v>4</v>
      </c>
      <c r="E37" s="1476">
        <f>claim503.2_2</f>
        <v>0</v>
      </c>
      <c r="F37" s="4558">
        <f>note503.2_2</f>
        <v>0</v>
      </c>
      <c r="G37" s="4559"/>
    </row>
    <row r="38" spans="3:7" ht="30">
      <c r="C38" s="238" t="s">
        <v>1296</v>
      </c>
      <c r="D38" s="1531"/>
      <c r="E38" s="1531"/>
      <c r="F38" s="4596"/>
      <c r="G38" s="4597"/>
    </row>
    <row r="39" spans="3:7" ht="15" customHeight="1">
      <c r="C39" s="248" t="s">
        <v>1297</v>
      </c>
      <c r="D39" s="1490">
        <v>3</v>
      </c>
      <c r="E39" s="1476" t="str">
        <f>IF(claim503.2_3=3,3,"")</f>
        <v/>
      </c>
      <c r="F39" s="4564">
        <f>note503.2_3</f>
        <v>0</v>
      </c>
      <c r="G39" s="4565"/>
    </row>
    <row r="40" spans="3:7" ht="15" customHeight="1">
      <c r="C40" s="248" t="s">
        <v>1298</v>
      </c>
      <c r="D40" s="1490">
        <v>4</v>
      </c>
      <c r="E40" s="1476" t="str">
        <f>IF(claim503.2_3=4,4,"")</f>
        <v/>
      </c>
      <c r="F40" s="4566"/>
      <c r="G40" s="4567"/>
    </row>
    <row r="41" spans="3:7" ht="15" customHeight="1">
      <c r="C41" s="248" t="s">
        <v>1299</v>
      </c>
      <c r="D41" s="1490">
        <v>6</v>
      </c>
      <c r="E41" s="1476" t="str">
        <f>IF(claim503.2_3=6,6,"")</f>
        <v/>
      </c>
      <c r="F41" s="4572"/>
      <c r="G41" s="4573"/>
    </row>
    <row r="42" spans="3:7" ht="39" customHeight="1">
      <c r="C42" s="238" t="s">
        <v>1300</v>
      </c>
      <c r="D42" s="1490">
        <v>5</v>
      </c>
      <c r="E42" s="1476">
        <f>claim503.2_4</f>
        <v>0</v>
      </c>
      <c r="F42" s="4558">
        <f>note503.2_4</f>
        <v>0</v>
      </c>
      <c r="G42" s="4559"/>
    </row>
    <row r="43" spans="3:7" ht="15" customHeight="1" thickBot="1">
      <c r="C43" s="1698" t="s">
        <v>1301</v>
      </c>
      <c r="D43" s="1686">
        <v>5</v>
      </c>
      <c r="E43" s="240">
        <f>claim503.2_5</f>
        <v>0</v>
      </c>
      <c r="F43" s="4564">
        <f>note503.2_5</f>
        <v>0</v>
      </c>
      <c r="G43" s="4565"/>
    </row>
    <row r="44" spans="3:7" ht="30" customHeight="1" thickTop="1">
      <c r="C44" s="249" t="s">
        <v>1302</v>
      </c>
      <c r="D44" s="250"/>
      <c r="E44" s="250"/>
      <c r="F44" s="4694"/>
      <c r="G44" s="4695"/>
    </row>
    <row r="45" spans="3:7" ht="30" customHeight="1">
      <c r="C45" s="238" t="s">
        <v>1303</v>
      </c>
      <c r="D45" s="1532">
        <v>5</v>
      </c>
      <c r="E45" s="1476">
        <f>claim503.3_1</f>
        <v>0</v>
      </c>
      <c r="F45" s="4558">
        <f>note503.3_1</f>
        <v>0</v>
      </c>
      <c r="G45" s="4559"/>
    </row>
    <row r="46" spans="3:7" ht="96.75" customHeight="1">
      <c r="C46" s="238" t="s">
        <v>1304</v>
      </c>
      <c r="D46" s="1533">
        <v>5</v>
      </c>
      <c r="E46" s="1534">
        <f>claim503.3_2</f>
        <v>0</v>
      </c>
      <c r="F46" s="4558">
        <f>note503.3_2</f>
        <v>0</v>
      </c>
      <c r="G46" s="4559"/>
    </row>
    <row r="47" spans="3:7" ht="15" customHeight="1" thickBot="1">
      <c r="C47" s="1698" t="s">
        <v>1305</v>
      </c>
      <c r="D47" s="256">
        <v>5</v>
      </c>
      <c r="E47" s="240">
        <f>claim503.3_3</f>
        <v>0</v>
      </c>
      <c r="F47" s="4564">
        <f>note503.3_3</f>
        <v>0</v>
      </c>
      <c r="G47" s="4565"/>
    </row>
    <row r="48" spans="3:7" ht="90" customHeight="1" thickTop="1">
      <c r="C48" s="263" t="s">
        <v>1306</v>
      </c>
      <c r="D48" s="254"/>
      <c r="E48" s="254"/>
      <c r="F48" s="4642"/>
      <c r="G48" s="4643"/>
    </row>
    <row r="49" spans="3:8" ht="15" customHeight="1">
      <c r="C49" s="238" t="s">
        <v>1307</v>
      </c>
      <c r="D49" s="1532">
        <v>6</v>
      </c>
      <c r="E49" s="1476">
        <f>claim503.4_1</f>
        <v>0</v>
      </c>
      <c r="F49" s="4558">
        <f>note503.4_1</f>
        <v>0</v>
      </c>
      <c r="G49" s="4559"/>
    </row>
    <row r="50" spans="3:8" ht="45" customHeight="1">
      <c r="C50" s="238" t="s">
        <v>1308</v>
      </c>
      <c r="D50" s="1532">
        <v>6</v>
      </c>
      <c r="E50" s="1476">
        <f>claim503.4_2</f>
        <v>0</v>
      </c>
      <c r="F50" s="4558">
        <f>note503.4_2</f>
        <v>0</v>
      </c>
      <c r="G50" s="4559"/>
    </row>
    <row r="51" spans="3:8" ht="30">
      <c r="C51" s="255" t="s">
        <v>573</v>
      </c>
      <c r="D51" s="1535"/>
      <c r="E51" s="1535"/>
      <c r="F51" s="4596"/>
      <c r="G51" s="4597"/>
    </row>
    <row r="52" spans="3:8" ht="15" customHeight="1">
      <c r="C52" s="248" t="s">
        <v>1309</v>
      </c>
      <c r="D52" s="1532">
        <v>2</v>
      </c>
      <c r="E52" s="1476" t="str">
        <f>IF(claim503.4_3=2,2,"")</f>
        <v/>
      </c>
      <c r="F52" s="4564">
        <f>note503.4_3</f>
        <v>0</v>
      </c>
      <c r="G52" s="4565"/>
    </row>
    <row r="53" spans="3:8" ht="15" customHeight="1">
      <c r="C53" s="248" t="s">
        <v>1310</v>
      </c>
      <c r="D53" s="1532">
        <v>4</v>
      </c>
      <c r="E53" s="1476" t="str">
        <f>IF(claim503.4_3=4,4,"")</f>
        <v/>
      </c>
      <c r="F53" s="4566"/>
      <c r="G53" s="4567"/>
    </row>
    <row r="54" spans="3:8" ht="15" customHeight="1">
      <c r="C54" s="248" t="s">
        <v>1311</v>
      </c>
      <c r="D54" s="1532">
        <v>6</v>
      </c>
      <c r="E54" s="1476" t="str">
        <f>IF(claim503.4_3=6,6,"")</f>
        <v/>
      </c>
      <c r="F54" s="4572"/>
      <c r="G54" s="4573"/>
    </row>
    <row r="55" spans="3:8" ht="48" customHeight="1">
      <c r="C55" s="1698" t="s">
        <v>1312</v>
      </c>
      <c r="D55" s="256">
        <v>5</v>
      </c>
      <c r="E55" s="240">
        <f>claim503.4_4</f>
        <v>0</v>
      </c>
      <c r="F55" s="4558">
        <f>note503.4_4</f>
        <v>0</v>
      </c>
      <c r="G55" s="4559"/>
    </row>
    <row r="56" spans="3:8" ht="45" customHeight="1">
      <c r="C56" s="1698" t="s">
        <v>1313</v>
      </c>
      <c r="D56" s="256">
        <v>6</v>
      </c>
      <c r="E56" s="240">
        <f>claim503.4_5</f>
        <v>0</v>
      </c>
      <c r="F56" s="4558">
        <f>note503.4_5</f>
        <v>0</v>
      </c>
      <c r="G56" s="4559"/>
    </row>
    <row r="57" spans="3:8" ht="62.25" customHeight="1" thickBot="1">
      <c r="C57" s="1870" t="s">
        <v>2596</v>
      </c>
      <c r="D57" s="256">
        <v>7</v>
      </c>
      <c r="E57" s="240">
        <f>claim503.4_6</f>
        <v>0</v>
      </c>
      <c r="F57" s="4564">
        <f>note503.4_6</f>
        <v>0</v>
      </c>
      <c r="G57" s="4565"/>
    </row>
    <row r="58" spans="3:8" ht="60" customHeight="1" thickTop="1">
      <c r="C58" s="241" t="s">
        <v>1314</v>
      </c>
      <c r="D58" s="4692" t="str">
        <f>IF(choice503.5_type="","No landscape plan type selected.",CONCATENATE(choice503.5_type," selected"))</f>
        <v>No landscape plan type selected.</v>
      </c>
      <c r="E58" s="4693"/>
      <c r="F58" s="4642"/>
      <c r="G58" s="4643"/>
    </row>
    <row r="59" spans="3:8" ht="60" customHeight="1">
      <c r="C59" s="238" t="s">
        <v>1315</v>
      </c>
      <c r="D59" s="1523" t="str">
        <f>IF(points503.5_1=0,"0",points503.5_1)</f>
        <v>0</v>
      </c>
      <c r="E59" s="1476">
        <f>claim503.5_1</f>
        <v>0</v>
      </c>
      <c r="F59" s="4558">
        <f>note503.5_1</f>
        <v>0</v>
      </c>
      <c r="G59" s="4559"/>
    </row>
    <row r="60" spans="3:8" ht="42" customHeight="1">
      <c r="C60" s="238" t="s">
        <v>1316</v>
      </c>
      <c r="D60" s="1523" t="str">
        <f>IF(points503.5_2=0,"0",points503.5_2)</f>
        <v>0</v>
      </c>
      <c r="E60" s="1476">
        <f>claim503.5_2</f>
        <v>0</v>
      </c>
      <c r="F60" s="4558">
        <f>note503.5_2</f>
        <v>0</v>
      </c>
      <c r="G60" s="4559"/>
    </row>
    <row r="61" spans="3:8" ht="45" customHeight="1">
      <c r="C61" s="238" t="s">
        <v>1317</v>
      </c>
      <c r="D61" s="1536"/>
      <c r="E61" s="1536"/>
      <c r="F61" s="4596"/>
      <c r="G61" s="4597"/>
    </row>
    <row r="62" spans="3:8" ht="30" customHeight="1">
      <c r="C62" s="248" t="s">
        <v>1318</v>
      </c>
      <c r="D62" s="1523" t="str">
        <f>IF(points503.5_3a=0,"0",points503.5_3a)</f>
        <v>0</v>
      </c>
      <c r="E62" s="1575" t="str">
        <f>IF(choice503.5_3="0% or WaterSense",claim503.5_3,"")</f>
        <v/>
      </c>
      <c r="F62" s="4564">
        <f>note503.5_3</f>
        <v>0</v>
      </c>
      <c r="G62" s="4565"/>
      <c r="H62" s="1475"/>
    </row>
    <row r="63" spans="3:8" ht="30" customHeight="1">
      <c r="C63" s="248" t="s">
        <v>1319</v>
      </c>
      <c r="D63" s="1523" t="str">
        <f>IF(points503.5_3b=0,"0",points503.5_3b)</f>
        <v>0</v>
      </c>
      <c r="E63" s="1576" t="str">
        <f>IF(choice503.5_3="&gt;0% - &lt;20%",claim503.5_3,"")</f>
        <v/>
      </c>
      <c r="F63" s="4566"/>
      <c r="G63" s="4567"/>
    </row>
    <row r="64" spans="3:8" ht="30" customHeight="1">
      <c r="C64" s="248" t="s">
        <v>1320</v>
      </c>
      <c r="D64" s="1523" t="str">
        <f>IF(points503.5_3c=0,"0",points503.5_3c)</f>
        <v>0</v>
      </c>
      <c r="E64" s="1576" t="str">
        <f>IF(choice503.5_3="20% - &lt;40%",claim503.5_3,"")</f>
        <v/>
      </c>
      <c r="F64" s="4566"/>
      <c r="G64" s="4567"/>
    </row>
    <row r="65" spans="3:7" ht="30" customHeight="1">
      <c r="C65" s="248" t="s">
        <v>1321</v>
      </c>
      <c r="D65" s="1523" t="str">
        <f>IF(points503.5_3d=0,"0",points503.5_3d)</f>
        <v>0</v>
      </c>
      <c r="E65" s="1576" t="str">
        <f>IF(choice503.5_3="40% - 60%",claim503.5_3,"")</f>
        <v/>
      </c>
      <c r="F65" s="4572"/>
      <c r="G65" s="4573"/>
    </row>
    <row r="66" spans="3:7" ht="30" customHeight="1">
      <c r="C66" s="257" t="s">
        <v>1322</v>
      </c>
      <c r="D66" s="1490" t="str">
        <f>IF(points503.5_4=0,"0",points503.5_4)</f>
        <v>0</v>
      </c>
      <c r="E66" s="1476">
        <f>claim503.5_4</f>
        <v>0</v>
      </c>
      <c r="F66" s="4558">
        <f>note503.5_4</f>
        <v>0</v>
      </c>
      <c r="G66" s="4559"/>
    </row>
    <row r="67" spans="3:7" ht="75" customHeight="1">
      <c r="C67" s="257" t="s">
        <v>1323</v>
      </c>
      <c r="D67" s="1490" t="str">
        <f>IF(points503.5_5=0,"0",points503.5_5)</f>
        <v>0</v>
      </c>
      <c r="E67" s="1476">
        <f>claim503.5_5</f>
        <v>0</v>
      </c>
      <c r="F67" s="4558">
        <f>note503.5_5</f>
        <v>0</v>
      </c>
      <c r="G67" s="4559"/>
    </row>
    <row r="68" spans="3:7" ht="30" customHeight="1">
      <c r="C68" s="257" t="s">
        <v>1324</v>
      </c>
      <c r="D68" s="1490" t="str">
        <f>IF(points503.5_6=0,"0",points503.5_6)</f>
        <v>0</v>
      </c>
      <c r="E68" s="1476">
        <f>claim503.5_6</f>
        <v>0</v>
      </c>
      <c r="F68" s="4558">
        <f>note503.5_6</f>
        <v>0</v>
      </c>
      <c r="G68" s="4559"/>
    </row>
    <row r="69" spans="3:7" ht="45" customHeight="1">
      <c r="C69" s="257" t="s">
        <v>1325</v>
      </c>
      <c r="D69" s="1532">
        <v>3</v>
      </c>
      <c r="E69" s="1476">
        <f>claim503.5_7</f>
        <v>0</v>
      </c>
      <c r="F69" s="4558">
        <f>note503.5_7</f>
        <v>0</v>
      </c>
      <c r="G69" s="4559"/>
    </row>
    <row r="70" spans="3:7" ht="30" customHeight="1" thickBot="1">
      <c r="C70" s="258" t="s">
        <v>1326</v>
      </c>
      <c r="D70" s="259">
        <v>4</v>
      </c>
      <c r="E70" s="253">
        <f>claim503.5_8</f>
        <v>0</v>
      </c>
      <c r="F70" s="4564">
        <f>note503.5_8</f>
        <v>0</v>
      </c>
      <c r="G70" s="4565"/>
    </row>
    <row r="71" spans="3:7" ht="30.75" customHeight="1" thickTop="1">
      <c r="C71" s="241" t="s">
        <v>2248</v>
      </c>
      <c r="D71" s="839"/>
      <c r="E71" s="840"/>
      <c r="F71" s="4528"/>
      <c r="G71" s="4529"/>
    </row>
    <row r="72" spans="3:7" ht="30.75" customHeight="1">
      <c r="C72" s="238" t="s">
        <v>1327</v>
      </c>
      <c r="D72" s="1532">
        <v>3</v>
      </c>
      <c r="E72" s="1476">
        <f>claim503.6_1</f>
        <v>0</v>
      </c>
      <c r="F72" s="4558">
        <f>note503.6_1</f>
        <v>0</v>
      </c>
      <c r="G72" s="4559"/>
    </row>
    <row r="73" spans="3:7" ht="30.75" customHeight="1">
      <c r="C73" s="238" t="s">
        <v>1328</v>
      </c>
      <c r="D73" s="1532">
        <v>3</v>
      </c>
      <c r="E73" s="1476">
        <f>claim503.6_2</f>
        <v>0</v>
      </c>
      <c r="F73" s="4558">
        <f>note503.6_2</f>
        <v>0</v>
      </c>
      <c r="G73" s="4559"/>
    </row>
    <row r="74" spans="3:7" ht="30.75" customHeight="1">
      <c r="C74" s="238" t="s">
        <v>1329</v>
      </c>
      <c r="D74" s="1532">
        <v>3</v>
      </c>
      <c r="E74" s="1476">
        <f>claim503.6_3</f>
        <v>0</v>
      </c>
      <c r="F74" s="4558">
        <f>note503.6_3</f>
        <v>0</v>
      </c>
      <c r="G74" s="4559"/>
    </row>
    <row r="75" spans="3:7" ht="30.75" customHeight="1" thickBot="1">
      <c r="C75" s="251" t="s">
        <v>1330</v>
      </c>
      <c r="D75" s="259">
        <v>3</v>
      </c>
      <c r="E75" s="253">
        <f>claim503.6_4</f>
        <v>0</v>
      </c>
      <c r="F75" s="4540">
        <f>note503.6_4</f>
        <v>0</v>
      </c>
      <c r="G75" s="4541"/>
    </row>
    <row r="76" spans="3:7" ht="15" customHeight="1" thickTop="1">
      <c r="C76" s="263" t="s">
        <v>1331</v>
      </c>
      <c r="D76" s="264"/>
      <c r="E76" s="264"/>
      <c r="F76" s="4644"/>
      <c r="G76" s="4645"/>
    </row>
    <row r="77" spans="3:7" ht="30" customHeight="1">
      <c r="C77" s="238" t="s">
        <v>1332</v>
      </c>
      <c r="D77" s="1532">
        <v>4</v>
      </c>
      <c r="E77" s="1476">
        <f>claim503.7_1</f>
        <v>0</v>
      </c>
      <c r="F77" s="4558">
        <f>note503.7_1</f>
        <v>0</v>
      </c>
      <c r="G77" s="4559"/>
    </row>
    <row r="78" spans="3:7">
      <c r="C78" s="1698" t="s">
        <v>1333</v>
      </c>
      <c r="D78" s="256">
        <v>4</v>
      </c>
      <c r="E78" s="240">
        <f>claim503.7_2</f>
        <v>0</v>
      </c>
      <c r="F78" s="4564">
        <f>note503.7_2</f>
        <v>0</v>
      </c>
      <c r="G78" s="4565"/>
    </row>
    <row r="79" spans="3:7">
      <c r="C79" s="4532" t="s">
        <v>574</v>
      </c>
      <c r="D79" s="4533"/>
      <c r="E79" s="4533"/>
      <c r="F79" s="4533"/>
      <c r="G79" s="4534"/>
    </row>
    <row r="80" spans="3:7" ht="60" customHeight="1" thickBot="1">
      <c r="C80" s="1701" t="s">
        <v>1334</v>
      </c>
      <c r="D80" s="265">
        <v>4</v>
      </c>
      <c r="E80" s="266">
        <f>claim504.1</f>
        <v>0</v>
      </c>
      <c r="F80" s="4594">
        <f>note504.1</f>
        <v>0</v>
      </c>
      <c r="G80" s="4595"/>
    </row>
    <row r="81" spans="3:7" ht="30" customHeight="1" thickTop="1">
      <c r="C81" s="263" t="s">
        <v>1335</v>
      </c>
      <c r="D81" s="1288"/>
      <c r="E81" s="1288"/>
      <c r="F81" s="4642"/>
      <c r="G81" s="4643"/>
    </row>
    <row r="82" spans="3:7" ht="15" customHeight="1">
      <c r="C82" s="238" t="s">
        <v>1336</v>
      </c>
      <c r="D82" s="267">
        <v>3</v>
      </c>
      <c r="E82" s="1476">
        <f>claim504.2_1</f>
        <v>0</v>
      </c>
      <c r="F82" s="4558">
        <f>note504.2_1</f>
        <v>0</v>
      </c>
      <c r="G82" s="4559"/>
    </row>
    <row r="83" spans="3:7" ht="30" customHeight="1">
      <c r="C83" s="238" t="s">
        <v>1337</v>
      </c>
      <c r="D83" s="267">
        <v>5</v>
      </c>
      <c r="E83" s="1476">
        <f>claim504.2_2</f>
        <v>0</v>
      </c>
      <c r="F83" s="4558">
        <f>note504.2_2</f>
        <v>0</v>
      </c>
      <c r="G83" s="4559"/>
    </row>
    <row r="84" spans="3:7" ht="30" customHeight="1" thickBot="1">
      <c r="C84" s="1698" t="s">
        <v>1338</v>
      </c>
      <c r="D84" s="268">
        <v>4</v>
      </c>
      <c r="E84" s="240">
        <f>claim504.2_3</f>
        <v>0</v>
      </c>
      <c r="F84" s="4564">
        <f>note504.2_3</f>
        <v>0</v>
      </c>
      <c r="G84" s="4565"/>
    </row>
    <row r="85" spans="3:7" ht="31" thickTop="1">
      <c r="C85" s="241" t="s">
        <v>1339</v>
      </c>
      <c r="D85" s="242"/>
      <c r="E85" s="242"/>
      <c r="F85" s="4642"/>
      <c r="G85" s="4643"/>
    </row>
    <row r="86" spans="3:7" ht="30" customHeight="1">
      <c r="C86" s="238" t="s">
        <v>1340</v>
      </c>
      <c r="D86" s="1532">
        <v>5</v>
      </c>
      <c r="E86" s="1476">
        <f>claim504.3_1</f>
        <v>0</v>
      </c>
      <c r="F86" s="4558">
        <f>note504.3_1</f>
        <v>0</v>
      </c>
      <c r="G86" s="4559"/>
    </row>
    <row r="87" spans="3:7" ht="15" customHeight="1">
      <c r="C87" s="238" t="s">
        <v>1341</v>
      </c>
      <c r="D87" s="1532">
        <v>5</v>
      </c>
      <c r="E87" s="1476">
        <f>claim504.3_2</f>
        <v>0</v>
      </c>
      <c r="F87" s="4558">
        <f>note504.3_2</f>
        <v>0</v>
      </c>
      <c r="G87" s="4559"/>
    </row>
    <row r="88" spans="3:7" ht="30" customHeight="1">
      <c r="C88" s="238" t="s">
        <v>1342</v>
      </c>
      <c r="D88" s="1532">
        <v>5</v>
      </c>
      <c r="E88" s="1476">
        <f>claim504.3_3</f>
        <v>0</v>
      </c>
      <c r="F88" s="4558">
        <f>note504.3_3</f>
        <v>0</v>
      </c>
      <c r="G88" s="4559"/>
    </row>
    <row r="89" spans="3:7" ht="30" customHeight="1">
      <c r="C89" s="238" t="s">
        <v>1343</v>
      </c>
      <c r="D89" s="1532">
        <v>5</v>
      </c>
      <c r="E89" s="1476">
        <f>claim504.3_4</f>
        <v>0</v>
      </c>
      <c r="F89" s="4558">
        <f>note504.3_4</f>
        <v>0</v>
      </c>
      <c r="G89" s="4559"/>
    </row>
    <row r="90" spans="3:7" ht="60" customHeight="1">
      <c r="C90" s="238" t="s">
        <v>1344</v>
      </c>
      <c r="D90" s="1532">
        <v>4</v>
      </c>
      <c r="E90" s="1476">
        <f>claim504.3_5</f>
        <v>0</v>
      </c>
      <c r="F90" s="4558">
        <f>note504.3_5</f>
        <v>0</v>
      </c>
      <c r="G90" s="4559"/>
    </row>
    <row r="91" spans="3:7" ht="45" customHeight="1">
      <c r="C91" s="238" t="s">
        <v>1345</v>
      </c>
      <c r="D91" s="1532">
        <v>3</v>
      </c>
      <c r="E91" s="1476">
        <f>claim504.3_6</f>
        <v>0</v>
      </c>
      <c r="F91" s="4558">
        <f>note504.3_6</f>
        <v>0</v>
      </c>
      <c r="G91" s="4559"/>
    </row>
    <row r="92" spans="3:7" ht="15" customHeight="1">
      <c r="C92" s="238" t="s">
        <v>1346</v>
      </c>
      <c r="D92" s="1532">
        <v>3</v>
      </c>
      <c r="E92" s="1476">
        <f>claim504.3_7</f>
        <v>0</v>
      </c>
      <c r="F92" s="4558">
        <f>note504.3_7</f>
        <v>0</v>
      </c>
      <c r="G92" s="4559"/>
    </row>
    <row r="93" spans="3:7" ht="45" customHeight="1">
      <c r="C93" s="1698" t="s">
        <v>1347</v>
      </c>
      <c r="D93" s="256">
        <v>5</v>
      </c>
      <c r="E93" s="240">
        <f>claim504.3_8</f>
        <v>0</v>
      </c>
      <c r="F93" s="4564">
        <f>note504.3_8</f>
        <v>0</v>
      </c>
      <c r="G93" s="4565"/>
    </row>
    <row r="94" spans="3:7" ht="15" customHeight="1" thickBot="1">
      <c r="C94" s="1698" t="s">
        <v>1348</v>
      </c>
      <c r="D94" s="256">
        <v>3</v>
      </c>
      <c r="E94" s="240">
        <f>claim504.3_9</f>
        <v>0</v>
      </c>
      <c r="F94" s="4707">
        <f>note504.3_9</f>
        <v>0</v>
      </c>
      <c r="G94" s="4708"/>
    </row>
    <row r="95" spans="3:7">
      <c r="C95" s="4680" t="s">
        <v>575</v>
      </c>
      <c r="D95" s="4681"/>
      <c r="E95" s="4681"/>
      <c r="F95" s="4681"/>
      <c r="G95" s="4682"/>
    </row>
    <row r="96" spans="3:7" ht="30" customHeight="1">
      <c r="C96" s="243" t="s">
        <v>1349</v>
      </c>
      <c r="D96" s="841"/>
      <c r="E96" s="842"/>
      <c r="F96" s="4709"/>
      <c r="G96" s="4710"/>
    </row>
    <row r="97" spans="3:7" ht="39.75" customHeight="1">
      <c r="C97" s="238" t="s">
        <v>1350</v>
      </c>
      <c r="D97" s="1532">
        <v>5</v>
      </c>
      <c r="E97" s="1476">
        <f>claim505.1_1</f>
        <v>0</v>
      </c>
      <c r="F97" s="4558">
        <f>note505.1_1</f>
        <v>0</v>
      </c>
      <c r="G97" s="4559"/>
    </row>
    <row r="98" spans="3:7" ht="30" customHeight="1">
      <c r="C98" s="238" t="s">
        <v>1351</v>
      </c>
      <c r="D98" s="1490" t="str">
        <f>IF(startSingleorMulti&lt;&gt;"Multi-Unit",CONCATENATE(0," - Not a Multi-Unit project"),5)</f>
        <v>0 - Not a Multi-Unit project</v>
      </c>
      <c r="E98" s="1476">
        <f>claim505.1_2</f>
        <v>0</v>
      </c>
      <c r="F98" s="4558">
        <f>note505.1_2</f>
        <v>0</v>
      </c>
      <c r="G98" s="4559"/>
    </row>
    <row r="99" spans="3:7" ht="15" customHeight="1">
      <c r="C99" s="238" t="s">
        <v>1352</v>
      </c>
      <c r="D99" s="1500"/>
      <c r="E99" s="1491"/>
      <c r="F99" s="4596"/>
      <c r="G99" s="4597"/>
    </row>
    <row r="100" spans="3:7" ht="30" customHeight="1">
      <c r="C100" s="248" t="s">
        <v>1353</v>
      </c>
      <c r="D100" s="1532">
        <v>4</v>
      </c>
      <c r="E100" s="1476" t="str">
        <f>IF(claim505.1_3=4,4,"")</f>
        <v/>
      </c>
      <c r="F100" s="4564">
        <f>note505.1_3</f>
        <v>0</v>
      </c>
      <c r="G100" s="4565"/>
    </row>
    <row r="101" spans="3:7" ht="30" customHeight="1">
      <c r="C101" s="248" t="s">
        <v>1354</v>
      </c>
      <c r="D101" s="1532">
        <v>5</v>
      </c>
      <c r="E101" s="1476" t="str">
        <f>IF(claim505.1_3=5,5,"")</f>
        <v/>
      </c>
      <c r="F101" s="4566"/>
      <c r="G101" s="4567"/>
    </row>
    <row r="102" spans="3:7" ht="30" customHeight="1" thickBot="1">
      <c r="C102" s="292" t="s">
        <v>1355</v>
      </c>
      <c r="D102" s="259">
        <v>6</v>
      </c>
      <c r="E102" s="1476" t="str">
        <f>IF(claim505.1_3=6,6,"")</f>
        <v/>
      </c>
      <c r="F102" s="4594"/>
      <c r="G102" s="4595"/>
    </row>
    <row r="103" spans="3:7" ht="16" thickTop="1">
      <c r="C103" s="263" t="s">
        <v>1356</v>
      </c>
      <c r="D103" s="843"/>
      <c r="E103" s="840"/>
      <c r="F103" s="4528"/>
      <c r="G103" s="4529"/>
    </row>
    <row r="104" spans="3:7" ht="135" customHeight="1">
      <c r="C104" s="238" t="s">
        <v>1357</v>
      </c>
      <c r="D104" s="1530">
        <v>5</v>
      </c>
      <c r="E104" s="1534">
        <f>claim505.2_1</f>
        <v>0</v>
      </c>
      <c r="F104" s="4603">
        <f>note505.2_1</f>
        <v>0</v>
      </c>
      <c r="G104" s="4604"/>
    </row>
    <row r="105" spans="3:7" ht="120" customHeight="1" thickBot="1">
      <c r="C105" s="1698" t="s">
        <v>1358</v>
      </c>
      <c r="D105" s="844">
        <v>5</v>
      </c>
      <c r="E105" s="845">
        <f>claim505.2_2</f>
        <v>0</v>
      </c>
      <c r="F105" s="4705">
        <f>note505.2_2</f>
        <v>0</v>
      </c>
      <c r="G105" s="4706"/>
    </row>
    <row r="106" spans="3:7" ht="30" customHeight="1" thickTop="1">
      <c r="C106" s="1537" t="s">
        <v>1359</v>
      </c>
      <c r="D106" s="846"/>
      <c r="E106" s="847"/>
      <c r="F106" s="4711"/>
      <c r="G106" s="4712"/>
    </row>
    <row r="107" spans="3:7" ht="16">
      <c r="C107" s="1538" t="s">
        <v>1360</v>
      </c>
      <c r="D107" s="1539">
        <v>5</v>
      </c>
      <c r="E107" s="1540" t="str">
        <f>IF(claim505.3=5,5,"")</f>
        <v/>
      </c>
      <c r="F107" s="4713">
        <f>note505.3</f>
        <v>0</v>
      </c>
      <c r="G107" s="4714"/>
    </row>
    <row r="108" spans="3:7" ht="16">
      <c r="C108" s="1538" t="s">
        <v>1361</v>
      </c>
      <c r="D108" s="1539">
        <v>8</v>
      </c>
      <c r="E108" s="1540" t="str">
        <f>IF(claim505.3=8,8,"")</f>
        <v/>
      </c>
      <c r="F108" s="4715"/>
      <c r="G108" s="4716"/>
    </row>
    <row r="109" spans="3:7" ht="17" thickBot="1">
      <c r="C109" s="1541" t="s">
        <v>1362</v>
      </c>
      <c r="D109" s="848">
        <v>11</v>
      </c>
      <c r="E109" s="849" t="str">
        <f>IF(claim505.3=11,11,"")</f>
        <v/>
      </c>
      <c r="F109" s="4717"/>
      <c r="G109" s="4718"/>
    </row>
    <row r="110" spans="3:7" ht="17" thickTop="1" thickBot="1">
      <c r="C110" s="1542" t="s">
        <v>1363</v>
      </c>
      <c r="D110" s="852">
        <v>8</v>
      </c>
      <c r="E110" s="853">
        <f>claim505.4</f>
        <v>0</v>
      </c>
      <c r="F110" s="4703">
        <f>note505.4</f>
        <v>0</v>
      </c>
      <c r="G110" s="4704"/>
    </row>
    <row r="111" spans="3:7" ht="45" customHeight="1" thickTop="1">
      <c r="C111" s="1543" t="s">
        <v>1364</v>
      </c>
      <c r="D111" s="850">
        <v>3</v>
      </c>
      <c r="E111" s="851">
        <f>claim505.5</f>
        <v>0</v>
      </c>
      <c r="F111" s="4701">
        <f>note505.5</f>
        <v>0</v>
      </c>
      <c r="G111" s="4702"/>
    </row>
    <row r="112" spans="3:7">
      <c r="C112" s="4742"/>
      <c r="D112" s="4743"/>
      <c r="E112" s="4743"/>
      <c r="F112" s="4743"/>
      <c r="G112" s="4744"/>
    </row>
    <row r="113" spans="3:7">
      <c r="C113" s="4532" t="s">
        <v>576</v>
      </c>
      <c r="D113" s="4533"/>
      <c r="E113" s="4533"/>
      <c r="F113" s="4533"/>
      <c r="G113" s="4534"/>
    </row>
    <row r="114" spans="3:7">
      <c r="C114" s="4532" t="s">
        <v>577</v>
      </c>
      <c r="D114" s="4533"/>
      <c r="E114" s="4533"/>
      <c r="F114" s="4533"/>
      <c r="G114" s="4534"/>
    </row>
    <row r="115" spans="3:7">
      <c r="C115" s="270" t="s">
        <v>578</v>
      </c>
      <c r="D115" s="246"/>
      <c r="E115" s="246"/>
      <c r="F115" s="4530"/>
      <c r="G115" s="4531"/>
    </row>
    <row r="116" spans="3:7" ht="15" customHeight="1">
      <c r="C116" s="271" t="s">
        <v>579</v>
      </c>
      <c r="D116" s="1490">
        <v>15</v>
      </c>
      <c r="E116" s="1476" t="str">
        <f>IF(claim601.1=D116,claim601.1,"")</f>
        <v/>
      </c>
      <c r="F116" s="4489">
        <f>note601.1</f>
        <v>0</v>
      </c>
      <c r="G116" s="4490"/>
    </row>
    <row r="117" spans="3:7" ht="15" customHeight="1">
      <c r="C117" s="271" t="s">
        <v>580</v>
      </c>
      <c r="D117" s="1490">
        <v>12</v>
      </c>
      <c r="E117" s="1476" t="str">
        <f>IF(claim601.1=D117,claim601.1,"")</f>
        <v/>
      </c>
      <c r="F117" s="4491"/>
      <c r="G117" s="4492"/>
    </row>
    <row r="118" spans="3:7" ht="15" customHeight="1">
      <c r="C118" s="271" t="s">
        <v>581</v>
      </c>
      <c r="D118" s="1490">
        <v>9</v>
      </c>
      <c r="E118" s="1476" t="str">
        <f>IF(claim601.1=D118,claim601.1,"")</f>
        <v/>
      </c>
      <c r="F118" s="4491"/>
      <c r="G118" s="4492"/>
    </row>
    <row r="119" spans="3:7" ht="15" customHeight="1">
      <c r="C119" s="271" t="s">
        <v>582</v>
      </c>
      <c r="D119" s="1490">
        <v>6</v>
      </c>
      <c r="E119" s="1476" t="str">
        <f>IF(claim601.1=D119,claim601.1,"")</f>
        <v/>
      </c>
      <c r="F119" s="4493"/>
      <c r="G119" s="4494"/>
    </row>
    <row r="120" spans="3:7" ht="31" thickBot="1">
      <c r="C120" s="272" t="s">
        <v>583</v>
      </c>
      <c r="D120" s="273"/>
      <c r="E120" s="273"/>
      <c r="F120" s="4552"/>
      <c r="G120" s="4553"/>
    </row>
    <row r="121" spans="3:7" ht="31" thickTop="1">
      <c r="C121" s="263" t="s">
        <v>2005</v>
      </c>
      <c r="D121" s="843"/>
      <c r="E121" s="840"/>
      <c r="F121" s="4528"/>
      <c r="G121" s="4529"/>
    </row>
    <row r="122" spans="3:7" ht="30">
      <c r="C122" s="307" t="s">
        <v>2006</v>
      </c>
      <c r="D122" s="1490">
        <v>3</v>
      </c>
      <c r="E122" s="1534">
        <f>claim601.2_1</f>
        <v>0</v>
      </c>
      <c r="F122" s="4558">
        <f>note601.2_1</f>
        <v>0</v>
      </c>
      <c r="G122" s="4559"/>
    </row>
    <row r="123" spans="3:7" ht="45">
      <c r="C123" s="307" t="s">
        <v>2007</v>
      </c>
      <c r="D123" s="1490">
        <v>3</v>
      </c>
      <c r="E123" s="1534">
        <f>claim601.2_2</f>
        <v>0</v>
      </c>
      <c r="F123" s="4558">
        <f>note601.2_2</f>
        <v>0</v>
      </c>
      <c r="G123" s="4559"/>
    </row>
    <row r="124" spans="3:7" ht="16" thickBot="1">
      <c r="C124" s="1259" t="s">
        <v>2008</v>
      </c>
      <c r="D124" s="1686">
        <v>3</v>
      </c>
      <c r="E124" s="845">
        <f>claim601.2_3</f>
        <v>0</v>
      </c>
      <c r="F124" s="4564">
        <f>note601.2_3</f>
        <v>0</v>
      </c>
      <c r="G124" s="4565"/>
    </row>
    <row r="125" spans="3:7" ht="31" thickTop="1">
      <c r="C125" s="263" t="s">
        <v>2009</v>
      </c>
      <c r="D125" s="275"/>
      <c r="E125" s="275"/>
      <c r="F125" s="4516"/>
      <c r="G125" s="4517"/>
    </row>
    <row r="126" spans="3:7">
      <c r="C126" s="238" t="s">
        <v>585</v>
      </c>
      <c r="D126" s="1490">
        <v>3</v>
      </c>
      <c r="E126" s="1476">
        <f>claim601.3_1</f>
        <v>0</v>
      </c>
      <c r="F126" s="4512">
        <f>note601.3_1</f>
        <v>0</v>
      </c>
      <c r="G126" s="4513"/>
    </row>
    <row r="127" spans="3:7">
      <c r="C127" s="238" t="s">
        <v>586</v>
      </c>
      <c r="D127" s="1490">
        <v>3</v>
      </c>
      <c r="E127" s="1476">
        <f>claim601.3_2</f>
        <v>0</v>
      </c>
      <c r="F127" s="4512">
        <f>note601.3_2</f>
        <v>0</v>
      </c>
      <c r="G127" s="4513"/>
    </row>
    <row r="128" spans="3:7">
      <c r="C128" s="238" t="s">
        <v>587</v>
      </c>
      <c r="D128" s="1490">
        <v>3</v>
      </c>
      <c r="E128" s="1476">
        <f>claim601.3_3</f>
        <v>0</v>
      </c>
      <c r="F128" s="4512">
        <f>note601.3_3</f>
        <v>0</v>
      </c>
      <c r="G128" s="4513"/>
    </row>
    <row r="129" spans="3:7">
      <c r="C129" s="238" t="s">
        <v>588</v>
      </c>
      <c r="D129" s="1490">
        <v>3</v>
      </c>
      <c r="E129" s="1476">
        <f>claim601.3_4</f>
        <v>0</v>
      </c>
      <c r="F129" s="4512">
        <f>note601.3_4</f>
        <v>0</v>
      </c>
      <c r="G129" s="4513"/>
    </row>
    <row r="130" spans="3:7" ht="16" thickBot="1">
      <c r="C130" s="251" t="s">
        <v>589</v>
      </c>
      <c r="D130" s="252">
        <v>1</v>
      </c>
      <c r="E130" s="253">
        <f>claim601.3_5</f>
        <v>0</v>
      </c>
      <c r="F130" s="4526">
        <f>note601.3_5</f>
        <v>0</v>
      </c>
      <c r="G130" s="4527"/>
    </row>
    <row r="131" spans="3:7" ht="45" customHeight="1" thickTop="1" thickBot="1">
      <c r="C131" s="262" t="s">
        <v>2010</v>
      </c>
      <c r="D131" s="274">
        <v>4</v>
      </c>
      <c r="E131" s="261">
        <f>claim601.4</f>
        <v>0</v>
      </c>
      <c r="F131" s="4609">
        <f>note601.4</f>
        <v>0</v>
      </c>
      <c r="G131" s="4610"/>
    </row>
    <row r="132" spans="3:7" ht="46" thickTop="1">
      <c r="C132" s="263" t="s">
        <v>2011</v>
      </c>
      <c r="D132" s="264"/>
      <c r="E132" s="264"/>
      <c r="F132" s="4516"/>
      <c r="G132" s="4517"/>
    </row>
    <row r="133" spans="3:7">
      <c r="C133" s="238" t="s">
        <v>590</v>
      </c>
      <c r="D133" s="1530">
        <v>4</v>
      </c>
      <c r="E133" s="1476">
        <f>claim601.5_1</f>
        <v>0</v>
      </c>
      <c r="F133" s="4512">
        <f>note601.5_1</f>
        <v>0</v>
      </c>
      <c r="G133" s="4513"/>
    </row>
    <row r="134" spans="3:7">
      <c r="C134" s="238" t="s">
        <v>591</v>
      </c>
      <c r="D134" s="1530">
        <v>4</v>
      </c>
      <c r="E134" s="1476">
        <f>claim601.5_2</f>
        <v>0</v>
      </c>
      <c r="F134" s="4512">
        <f>note601.5_2</f>
        <v>0</v>
      </c>
      <c r="G134" s="4513"/>
    </row>
    <row r="135" spans="3:7">
      <c r="C135" s="238" t="s">
        <v>592</v>
      </c>
      <c r="D135" s="1530">
        <v>4</v>
      </c>
      <c r="E135" s="1476">
        <f>claim601.5_3</f>
        <v>0</v>
      </c>
      <c r="F135" s="4512">
        <f>note601.5_3</f>
        <v>0</v>
      </c>
      <c r="G135" s="4513"/>
    </row>
    <row r="136" spans="3:7">
      <c r="C136" s="238" t="s">
        <v>593</v>
      </c>
      <c r="D136" s="1530">
        <v>13</v>
      </c>
      <c r="E136" s="1476">
        <f>claim601.5_4</f>
        <v>0</v>
      </c>
      <c r="F136" s="4512">
        <f>note601.5_4</f>
        <v>0</v>
      </c>
      <c r="G136" s="4513"/>
    </row>
    <row r="137" spans="3:7" ht="16" thickBot="1">
      <c r="C137" s="251" t="s">
        <v>594</v>
      </c>
      <c r="D137" s="276">
        <v>13</v>
      </c>
      <c r="E137" s="253">
        <f>claim601.5_5</f>
        <v>0</v>
      </c>
      <c r="F137" s="4526">
        <f>note601.5_5</f>
        <v>0</v>
      </c>
      <c r="G137" s="4527"/>
    </row>
    <row r="138" spans="3:7" ht="46" thickTop="1">
      <c r="C138" s="263" t="s">
        <v>2012</v>
      </c>
      <c r="D138" s="275"/>
      <c r="E138" s="275"/>
      <c r="F138" s="4516"/>
      <c r="G138" s="4517"/>
    </row>
    <row r="139" spans="3:7">
      <c r="C139" s="238" t="s">
        <v>595</v>
      </c>
      <c r="D139" s="1490">
        <v>4</v>
      </c>
      <c r="E139" s="1476" t="str">
        <f>IF(claim601.6=D139,claim601.6,"")</f>
        <v/>
      </c>
      <c r="F139" s="4582">
        <f>note601.6</f>
        <v>0</v>
      </c>
      <c r="G139" s="4583"/>
    </row>
    <row r="140" spans="3:7">
      <c r="C140" s="238" t="s">
        <v>596</v>
      </c>
      <c r="D140" s="1490">
        <v>6</v>
      </c>
      <c r="E140" s="1476" t="str">
        <f>IF(claim601.6=D140,claim601.6,"")</f>
        <v/>
      </c>
      <c r="F140" s="4584"/>
      <c r="G140" s="4585"/>
    </row>
    <row r="141" spans="3:7" ht="16" thickBot="1">
      <c r="C141" s="251" t="s">
        <v>597</v>
      </c>
      <c r="D141" s="252">
        <v>8</v>
      </c>
      <c r="E141" s="253" t="str">
        <f>IF(claim601.6=D141,claim601.6,"")</f>
        <v/>
      </c>
      <c r="F141" s="4627"/>
      <c r="G141" s="4628"/>
    </row>
    <row r="142" spans="3:7" ht="16" thickTop="1">
      <c r="C142" s="263" t="s">
        <v>2364</v>
      </c>
      <c r="D142" s="277" t="s">
        <v>598</v>
      </c>
      <c r="E142" s="278">
        <f>claim601.7</f>
        <v>0</v>
      </c>
      <c r="F142" s="4528"/>
      <c r="G142" s="4529"/>
    </row>
    <row r="143" spans="3:7" ht="30">
      <c r="C143" s="307" t="s">
        <v>2016</v>
      </c>
      <c r="D143" s="1490" t="s">
        <v>2013</v>
      </c>
      <c r="E143" s="1544" t="str">
        <f>IF(choice601.7_1&gt;0,CONCATENATE(choice601.7_1," materials or assemblies"),"")</f>
        <v/>
      </c>
      <c r="F143" s="4564">
        <f>note601.7</f>
        <v>0</v>
      </c>
      <c r="G143" s="4565"/>
    </row>
    <row r="144" spans="3:7" ht="30">
      <c r="C144" s="307" t="s">
        <v>2017</v>
      </c>
      <c r="D144" s="1490" t="s">
        <v>2014</v>
      </c>
      <c r="E144" s="1544" t="str">
        <f>IF(choice601.7_2&gt;0,CONCATENATE(choice601.7_2," materials or assemblies"),"")</f>
        <v/>
      </c>
      <c r="F144" s="4566"/>
      <c r="G144" s="4567"/>
    </row>
    <row r="145" spans="1:7" ht="31" thickBot="1">
      <c r="C145" s="1630" t="s">
        <v>2018</v>
      </c>
      <c r="D145" s="252" t="s">
        <v>2015</v>
      </c>
      <c r="E145" s="1544" t="str">
        <f>IF(choice601.7_3&gt;0,CONCATENATE(choice601.7_3," materials or assemblies"),"")</f>
        <v/>
      </c>
      <c r="F145" s="4594"/>
      <c r="G145" s="4595"/>
    </row>
    <row r="146" spans="1:7" ht="30" customHeight="1" thickTop="1" thickBot="1">
      <c r="C146" s="262" t="s">
        <v>2365</v>
      </c>
      <c r="D146" s="274">
        <v>3</v>
      </c>
      <c r="E146" s="261">
        <f>claim601.8</f>
        <v>0</v>
      </c>
      <c r="F146" s="4568">
        <f>note601.8</f>
        <v>0</v>
      </c>
      <c r="G146" s="4569"/>
    </row>
    <row r="147" spans="1:7" ht="32" thickTop="1" thickBot="1">
      <c r="C147" s="279" t="s">
        <v>2366</v>
      </c>
      <c r="D147" s="1690">
        <v>4</v>
      </c>
      <c r="E147" s="280">
        <f>claim601.9</f>
        <v>0</v>
      </c>
      <c r="F147" s="4667">
        <f>note601.9</f>
        <v>0</v>
      </c>
      <c r="G147" s="4668"/>
    </row>
    <row r="148" spans="1:7">
      <c r="C148" s="4631" t="s">
        <v>599</v>
      </c>
      <c r="D148" s="4632"/>
      <c r="E148" s="4632"/>
      <c r="F148" s="4632"/>
      <c r="G148" s="4633"/>
    </row>
    <row r="149" spans="1:7" s="1289" customFormat="1">
      <c r="C149" s="1291" t="s">
        <v>2019</v>
      </c>
      <c r="D149" s="1290"/>
      <c r="E149" s="1290"/>
      <c r="F149" s="4669"/>
      <c r="G149" s="4670"/>
    </row>
    <row r="150" spans="1:7" s="1289" customFormat="1" ht="45" customHeight="1">
      <c r="B150" s="1289" t="str">
        <f>'Ch6'!B50</f>
        <v/>
      </c>
      <c r="C150" s="1545" t="s">
        <v>2020</v>
      </c>
      <c r="D150" s="1292" t="s">
        <v>3</v>
      </c>
      <c r="E150" s="1606">
        <f>IF(B150&lt;&gt;"x",claim602.1.1.1,"No slabs")</f>
        <v>0</v>
      </c>
      <c r="F150" s="4671">
        <f>note602.1.1.1</f>
        <v>0</v>
      </c>
      <c r="G150" s="4672"/>
    </row>
    <row r="151" spans="1:7" s="1289" customFormat="1" ht="30" customHeight="1" thickBot="1">
      <c r="C151" s="1546" t="s">
        <v>2021</v>
      </c>
      <c r="D151" s="1294">
        <v>3</v>
      </c>
      <c r="E151" s="1299">
        <f>claim602.1.1.2</f>
        <v>0</v>
      </c>
      <c r="F151" s="4613">
        <f>note602.1.1.2</f>
        <v>0</v>
      </c>
      <c r="G151" s="4614"/>
    </row>
    <row r="152" spans="1:7" s="1289" customFormat="1" ht="47" thickTop="1" thickBot="1">
      <c r="C152" s="1547" t="s">
        <v>2022</v>
      </c>
      <c r="D152" s="1297">
        <v>4</v>
      </c>
      <c r="E152" s="1710">
        <f>claim602.1.2</f>
        <v>0</v>
      </c>
      <c r="F152" s="4673">
        <f>note602.1.2</f>
        <v>0</v>
      </c>
      <c r="G152" s="4674"/>
    </row>
    <row r="153" spans="1:7" s="1289" customFormat="1" ht="16" thickTop="1">
      <c r="C153" s="1548" t="s">
        <v>2023</v>
      </c>
      <c r="D153" s="1298"/>
      <c r="E153" s="1298"/>
      <c r="F153" s="4675"/>
      <c r="G153" s="4676"/>
    </row>
    <row r="154" spans="1:7" s="1289" customFormat="1" ht="37.5" customHeight="1">
      <c r="A154" s="1289" t="str">
        <f>'Ch6'!A55</f>
        <v/>
      </c>
      <c r="B154" s="1289" t="str">
        <f>'Ch6'!B55</f>
        <v/>
      </c>
      <c r="C154" s="1549" t="s">
        <v>2024</v>
      </c>
      <c r="D154" s="1293" t="s">
        <v>3</v>
      </c>
      <c r="E154" s="1296">
        <f>claim602.1.3.1</f>
        <v>0</v>
      </c>
      <c r="F154" s="4629">
        <f>note602.1.3.1</f>
        <v>0</v>
      </c>
      <c r="G154" s="4630"/>
    </row>
    <row r="155" spans="1:7" s="1289" customFormat="1" ht="31" thickBot="1">
      <c r="C155" s="1550" t="s">
        <v>2025</v>
      </c>
      <c r="D155" s="1294">
        <v>4</v>
      </c>
      <c r="E155" s="1299">
        <f>claim602.1.3.2</f>
        <v>0</v>
      </c>
      <c r="F155" s="4613">
        <f>note602.1.3.2</f>
        <v>0</v>
      </c>
      <c r="G155" s="4614"/>
    </row>
    <row r="156" spans="1:7" s="1289" customFormat="1" ht="16" thickTop="1">
      <c r="C156" s="1548" t="s">
        <v>2026</v>
      </c>
      <c r="D156" s="1298"/>
      <c r="E156" s="1300"/>
      <c r="F156" s="4615"/>
      <c r="G156" s="4616"/>
    </row>
    <row r="157" spans="1:7" s="1289" customFormat="1" ht="30">
      <c r="C157" s="1549" t="s">
        <v>2027</v>
      </c>
      <c r="D157" s="1295"/>
      <c r="E157" s="1301"/>
      <c r="F157" s="4640"/>
      <c r="G157" s="4641"/>
    </row>
    <row r="158" spans="1:7" s="1289" customFormat="1" ht="30">
      <c r="C158" s="1551" t="s">
        <v>2028</v>
      </c>
      <c r="D158" s="1293">
        <v>6</v>
      </c>
      <c r="E158" s="1296">
        <f>claim602.1.4.1</f>
        <v>0</v>
      </c>
      <c r="F158" s="4629">
        <f>note602.1.4.1_1</f>
        <v>0</v>
      </c>
      <c r="G158" s="4630"/>
    </row>
    <row r="159" spans="1:7" s="1289" customFormat="1" ht="46" thickBot="1">
      <c r="B159" s="1289" t="str">
        <f>'Ch6'!B60</f>
        <v/>
      </c>
      <c r="C159" s="1552" t="s">
        <v>2029</v>
      </c>
      <c r="D159" s="1294" t="s">
        <v>494</v>
      </c>
      <c r="E159" s="1299">
        <f>IF(B159&lt;&gt;"x",claim602.1.4.1_2,"No crawlspace")</f>
        <v>0</v>
      </c>
      <c r="F159" s="4613">
        <f>note602.1.4.1_2</f>
        <v>0</v>
      </c>
      <c r="G159" s="4614"/>
    </row>
    <row r="160" spans="1:7" s="1289" customFormat="1" ht="46" thickTop="1">
      <c r="C160" s="1548" t="s">
        <v>2030</v>
      </c>
      <c r="D160" s="1298"/>
      <c r="E160" s="1300"/>
      <c r="F160" s="4615"/>
      <c r="G160" s="4616"/>
    </row>
    <row r="161" spans="2:7" s="1289" customFormat="1" ht="30">
      <c r="C161" s="1551" t="s">
        <v>2031</v>
      </c>
      <c r="D161" s="1293">
        <v>8</v>
      </c>
      <c r="E161" s="1296">
        <f>claim602.1.4.2_1</f>
        <v>0</v>
      </c>
      <c r="F161" s="4629">
        <f>note602.1.4.2_1</f>
        <v>0</v>
      </c>
      <c r="G161" s="4630"/>
    </row>
    <row r="162" spans="2:7" s="1289" customFormat="1" ht="46" thickBot="1">
      <c r="B162" s="1289" t="str">
        <f>'Ch6'!B64</f>
        <v/>
      </c>
      <c r="C162" s="1552" t="s">
        <v>2032</v>
      </c>
      <c r="D162" s="1294" t="s">
        <v>494</v>
      </c>
      <c r="E162" s="1299">
        <f>IF(B162="x","No crawlspace",claim602.1.4.2_2)</f>
        <v>0</v>
      </c>
      <c r="F162" s="4613">
        <f>note602.1.4.2_2</f>
        <v>0</v>
      </c>
      <c r="G162" s="4614"/>
    </row>
    <row r="163" spans="2:7" s="1289" customFormat="1" ht="32" thickTop="1" thickBot="1">
      <c r="C163" s="1553" t="s">
        <v>2033</v>
      </c>
      <c r="D163" s="1302">
        <v>4</v>
      </c>
      <c r="E163" s="1303">
        <f>claim602.1.5</f>
        <v>0</v>
      </c>
      <c r="F163" s="4617">
        <f>note602.1.5</f>
        <v>0</v>
      </c>
      <c r="G163" s="4618"/>
    </row>
    <row r="164" spans="2:7" s="1289" customFormat="1" ht="16" thickTop="1">
      <c r="C164" s="1554" t="s">
        <v>2034</v>
      </c>
      <c r="D164" s="1298"/>
      <c r="E164" s="1300"/>
      <c r="F164" s="4615"/>
      <c r="G164" s="4616"/>
    </row>
    <row r="165" spans="2:7" s="1289" customFormat="1">
      <c r="C165" s="1555" t="s">
        <v>2035</v>
      </c>
      <c r="D165" s="1293">
        <v>2</v>
      </c>
      <c r="E165" s="1296" t="str">
        <f>IF(claim602.1.6=D165,claim602.1.6,"")</f>
        <v/>
      </c>
      <c r="F165" s="4619">
        <f>note602.1.6</f>
        <v>0</v>
      </c>
      <c r="G165" s="4620"/>
    </row>
    <row r="166" spans="2:7" s="1289" customFormat="1">
      <c r="C166" s="1555" t="s">
        <v>2036</v>
      </c>
      <c r="D166" s="1293">
        <v>4</v>
      </c>
      <c r="E166" s="1296" t="str">
        <f>IF(claim602.1.6=D166,claim602.1.6,"")</f>
        <v/>
      </c>
      <c r="F166" s="4621"/>
      <c r="G166" s="4622"/>
    </row>
    <row r="167" spans="2:7" s="1289" customFormat="1" ht="16" thickBot="1">
      <c r="C167" s="1556" t="s">
        <v>2037</v>
      </c>
      <c r="D167" s="1294">
        <v>6</v>
      </c>
      <c r="E167" s="1299" t="str">
        <f>IF(claim602.1.6=D167,claim602.1.6,"")</f>
        <v/>
      </c>
      <c r="F167" s="4623"/>
      <c r="G167" s="4624"/>
    </row>
    <row r="168" spans="2:7" s="1289" customFormat="1" ht="16" thickTop="1">
      <c r="C168" s="1554" t="s">
        <v>2038</v>
      </c>
      <c r="D168" s="1298"/>
      <c r="E168" s="1300"/>
      <c r="F168" s="4615"/>
      <c r="G168" s="4616"/>
    </row>
    <row r="169" spans="2:7" s="1289" customFormat="1">
      <c r="C169" s="1557" t="s">
        <v>2039</v>
      </c>
      <c r="D169" s="1304"/>
      <c r="E169" s="1305"/>
      <c r="F169" s="4625"/>
      <c r="G169" s="4626"/>
    </row>
    <row r="170" spans="2:7" s="1289" customFormat="1" ht="30">
      <c r="C170" s="1555" t="s">
        <v>2040</v>
      </c>
      <c r="D170" s="1293">
        <v>2</v>
      </c>
      <c r="E170" s="1296">
        <f>claim602.1.7.1_1</f>
        <v>0</v>
      </c>
      <c r="F170" s="4629">
        <f>note602.1.7.1_1</f>
        <v>0</v>
      </c>
      <c r="G170" s="4630"/>
    </row>
    <row r="171" spans="2:7" s="1289" customFormat="1">
      <c r="C171" s="4634" t="s">
        <v>2041</v>
      </c>
      <c r="D171" s="4636" t="s">
        <v>2043</v>
      </c>
      <c r="E171" s="1296">
        <f>choice602.1.7.1_2</f>
        <v>0</v>
      </c>
      <c r="F171" s="4619">
        <f>note602.1.7.1_2</f>
        <v>0</v>
      </c>
      <c r="G171" s="4620"/>
    </row>
    <row r="172" spans="2:7" s="1289" customFormat="1">
      <c r="C172" s="4635"/>
      <c r="D172" s="4637"/>
      <c r="E172" s="1607">
        <f>claim602.1.7.1_2</f>
        <v>0</v>
      </c>
      <c r="F172" s="4638"/>
      <c r="G172" s="4639"/>
    </row>
    <row r="173" spans="2:7" s="1289" customFormat="1" ht="31" thickBot="1">
      <c r="C173" s="1556" t="s">
        <v>2042</v>
      </c>
      <c r="D173" s="1294">
        <v>4</v>
      </c>
      <c r="E173" s="1299">
        <f>claim602.1.7.1_3</f>
        <v>0</v>
      </c>
      <c r="F173" s="4613">
        <f>note602.1.7.1_3</f>
        <v>0</v>
      </c>
      <c r="G173" s="4614"/>
    </row>
    <row r="174" spans="2:7" s="1289" customFormat="1" ht="32" thickTop="1" thickBot="1">
      <c r="C174" s="1553" t="s">
        <v>2044</v>
      </c>
      <c r="D174" s="1302">
        <v>2</v>
      </c>
      <c r="E174" s="1303">
        <f>claim602.1.7.2</f>
        <v>0</v>
      </c>
      <c r="F174" s="4617">
        <f>note602.1.7.2</f>
        <v>0</v>
      </c>
      <c r="G174" s="4618"/>
    </row>
    <row r="175" spans="2:7" s="1289" customFormat="1" ht="32" thickTop="1" thickBot="1">
      <c r="C175" s="1558" t="s">
        <v>2045</v>
      </c>
      <c r="D175" s="1306" t="s">
        <v>339</v>
      </c>
      <c r="E175" s="1608">
        <f>claim602.1.8</f>
        <v>0</v>
      </c>
      <c r="F175" s="4623">
        <f>note602.1.8</f>
        <v>0</v>
      </c>
      <c r="G175" s="4624"/>
    </row>
    <row r="176" spans="2:7" ht="61" thickTop="1">
      <c r="C176" s="281" t="s">
        <v>2046</v>
      </c>
      <c r="D176" s="246"/>
      <c r="E176" s="246"/>
      <c r="F176" s="4530"/>
      <c r="G176" s="4531"/>
    </row>
    <row r="177" spans="3:7" ht="132" customHeight="1">
      <c r="C177" s="238" t="s">
        <v>2047</v>
      </c>
      <c r="D177" s="1490" t="s">
        <v>339</v>
      </c>
      <c r="E177" s="1534">
        <f>claim602.1.9_1</f>
        <v>0</v>
      </c>
      <c r="F177" s="4512">
        <f>note602.1.9_1</f>
        <v>0</v>
      </c>
      <c r="G177" s="4513"/>
    </row>
    <row r="178" spans="3:7">
      <c r="C178" s="238" t="s">
        <v>2048</v>
      </c>
      <c r="D178" s="1490">
        <v>2</v>
      </c>
      <c r="E178" s="1476">
        <f>claim602.1.9_2</f>
        <v>0</v>
      </c>
      <c r="F178" s="4512">
        <f>note602.1.9_2</f>
        <v>0</v>
      </c>
      <c r="G178" s="4513"/>
    </row>
    <row r="179" spans="3:7">
      <c r="C179" s="238" t="s">
        <v>2049</v>
      </c>
      <c r="D179" s="1490">
        <v>3</v>
      </c>
      <c r="E179" s="1476">
        <f>claim602.1.9_3</f>
        <v>0</v>
      </c>
      <c r="F179" s="4512">
        <f>note602.1.9_3</f>
        <v>0</v>
      </c>
      <c r="G179" s="4513"/>
    </row>
    <row r="180" spans="3:7" ht="66" customHeight="1">
      <c r="C180" s="238" t="s">
        <v>2050</v>
      </c>
      <c r="D180" s="1490">
        <v>3</v>
      </c>
      <c r="E180" s="1476">
        <f>claim602.1.9_4</f>
        <v>0</v>
      </c>
      <c r="F180" s="4512">
        <f>note602.1.9_4</f>
        <v>0</v>
      </c>
      <c r="G180" s="4513"/>
    </row>
    <row r="181" spans="3:7">
      <c r="C181" s="238" t="s">
        <v>2051</v>
      </c>
      <c r="D181" s="1560"/>
      <c r="E181" s="1491"/>
      <c r="F181" s="4518"/>
      <c r="G181" s="4519"/>
    </row>
    <row r="182" spans="3:7" ht="30">
      <c r="C182" s="1307" t="s">
        <v>2052</v>
      </c>
      <c r="D182" s="1490">
        <v>4</v>
      </c>
      <c r="E182" s="1476" t="str">
        <f>IF(claim602.1.9_5=D182,claim602.1.9_5,"")</f>
        <v/>
      </c>
      <c r="F182" s="4489">
        <f>note602.1.9_5</f>
        <v>0</v>
      </c>
      <c r="G182" s="4490"/>
    </row>
    <row r="183" spans="3:7" ht="30">
      <c r="C183" s="1307" t="s">
        <v>2053</v>
      </c>
      <c r="D183" s="1490">
        <v>2</v>
      </c>
      <c r="E183" s="1476" t="str">
        <f>IF(claim602.1.9_5=D183,claim602.1.9_5,"")</f>
        <v/>
      </c>
      <c r="F183" s="4493"/>
      <c r="G183" s="4494"/>
    </row>
    <row r="184" spans="3:7" ht="30">
      <c r="C184" s="238" t="s">
        <v>2054</v>
      </c>
      <c r="D184" s="1490">
        <v>2</v>
      </c>
      <c r="E184" s="1476">
        <f>claim602.1.9_6</f>
        <v>0</v>
      </c>
      <c r="F184" s="4512">
        <f>note602.1.9_6</f>
        <v>0</v>
      </c>
      <c r="G184" s="4513"/>
    </row>
    <row r="185" spans="3:7" ht="16" thickBot="1">
      <c r="C185" s="1698" t="s">
        <v>2055</v>
      </c>
      <c r="D185" s="1686">
        <v>2</v>
      </c>
      <c r="E185" s="240">
        <f>claim602.1.9_7</f>
        <v>0</v>
      </c>
      <c r="F185" s="4489">
        <f>note602.1.9_7</f>
        <v>0</v>
      </c>
      <c r="G185" s="4490"/>
    </row>
    <row r="186" spans="3:7" ht="16" thickTop="1">
      <c r="C186" s="1308" t="s">
        <v>2336</v>
      </c>
      <c r="D186" s="264"/>
      <c r="E186" s="264"/>
      <c r="F186" s="4516"/>
      <c r="G186" s="4517"/>
    </row>
    <row r="187" spans="3:7">
      <c r="C187" s="238" t="s">
        <v>2507</v>
      </c>
      <c r="D187" s="1490">
        <v>2</v>
      </c>
      <c r="E187" s="1476">
        <f>IF(claim602.1.10=D187,D187,0)</f>
        <v>0</v>
      </c>
      <c r="F187" s="4489">
        <f>note602.1.10</f>
        <v>0</v>
      </c>
      <c r="G187" s="4490"/>
    </row>
    <row r="188" spans="3:7">
      <c r="C188" s="238" t="s">
        <v>2508</v>
      </c>
      <c r="D188" s="1490">
        <v>4</v>
      </c>
      <c r="E188" s="1476">
        <f>IF(claim602.1.10=D188,D188,0)</f>
        <v>0</v>
      </c>
      <c r="F188" s="4491"/>
      <c r="G188" s="4492"/>
    </row>
    <row r="189" spans="3:7" ht="16" thickBot="1">
      <c r="C189" s="251" t="s">
        <v>2509</v>
      </c>
      <c r="D189" s="252">
        <v>6</v>
      </c>
      <c r="E189" s="1476" t="str">
        <f>IF(claim602.1.10=D189,claim602.1.10,"")</f>
        <v/>
      </c>
      <c r="F189" s="4506"/>
      <c r="G189" s="4507"/>
    </row>
    <row r="190" spans="3:7" ht="32" thickTop="1" thickBot="1">
      <c r="C190" s="260" t="s">
        <v>2337</v>
      </c>
      <c r="D190" s="1609" t="s">
        <v>339</v>
      </c>
      <c r="E190" s="261">
        <f>claim602.1.11</f>
        <v>0</v>
      </c>
      <c r="F190" s="4609">
        <f>note602.1.11</f>
        <v>0</v>
      </c>
      <c r="G190" s="4610"/>
    </row>
    <row r="191" spans="3:7" ht="17" thickTop="1" thickBot="1">
      <c r="C191" s="260" t="s">
        <v>2338</v>
      </c>
      <c r="D191" s="274">
        <v>4</v>
      </c>
      <c r="E191" s="261">
        <f>claim602.1.12</f>
        <v>0</v>
      </c>
      <c r="F191" s="4609">
        <f>note602.1.12</f>
        <v>0</v>
      </c>
      <c r="G191" s="4610"/>
    </row>
    <row r="192" spans="3:7" ht="50.25" customHeight="1" thickTop="1" thickBot="1">
      <c r="C192" s="260" t="s">
        <v>2339</v>
      </c>
      <c r="D192" s="1609" t="s">
        <v>339</v>
      </c>
      <c r="E192" s="261">
        <f>claim602.1.13</f>
        <v>0</v>
      </c>
      <c r="F192" s="4609">
        <f>note602.1.13</f>
        <v>0</v>
      </c>
      <c r="G192" s="4610"/>
    </row>
    <row r="193" spans="3:8" ht="30" customHeight="1" thickTop="1">
      <c r="C193" s="1308" t="s">
        <v>2340</v>
      </c>
      <c r="D193" s="264"/>
      <c r="E193" s="264"/>
      <c r="F193" s="4516"/>
      <c r="G193" s="4517"/>
    </row>
    <row r="194" spans="3:8">
      <c r="C194" s="238" t="s">
        <v>2510</v>
      </c>
      <c r="D194" s="1490">
        <v>2</v>
      </c>
      <c r="E194" s="1476">
        <f>claim602.1.14_2</f>
        <v>0</v>
      </c>
      <c r="F194" s="4512">
        <f>note602.1.14_1</f>
        <v>0</v>
      </c>
      <c r="G194" s="4513"/>
    </row>
    <row r="195" spans="3:8">
      <c r="C195" s="238" t="s">
        <v>2511</v>
      </c>
      <c r="D195" s="1490">
        <v>2</v>
      </c>
      <c r="E195" s="1476">
        <f>claim602.1.14_2</f>
        <v>0</v>
      </c>
      <c r="F195" s="4512">
        <f>note602.1.14_2</f>
        <v>0</v>
      </c>
      <c r="G195" s="4513"/>
    </row>
    <row r="196" spans="3:8" ht="25.5" customHeight="1">
      <c r="C196" s="4570" t="s">
        <v>2512</v>
      </c>
      <c r="D196" s="4661" t="s">
        <v>2341</v>
      </c>
      <c r="E196" s="1807">
        <f>choice602.1.14_3</f>
        <v>0</v>
      </c>
      <c r="F196" s="4489">
        <f>note602.1.14_3</f>
        <v>0</v>
      </c>
      <c r="G196" s="4490"/>
    </row>
    <row r="197" spans="3:8" ht="18" customHeight="1" thickBot="1">
      <c r="C197" s="4663"/>
      <c r="D197" s="4662"/>
      <c r="E197" s="1476" t="str">
        <f>IF(claim602.1.14_3=0,"0",claim602.1.14_3)</f>
        <v>0</v>
      </c>
      <c r="F197" s="4506"/>
      <c r="G197" s="4507"/>
    </row>
    <row r="198" spans="3:8" ht="54.75" customHeight="1" thickTop="1">
      <c r="C198" s="279" t="s">
        <v>2342</v>
      </c>
      <c r="D198" s="1613"/>
      <c r="E198" s="1605"/>
      <c r="F198" s="4611"/>
      <c r="G198" s="4612"/>
    </row>
    <row r="199" spans="3:8">
      <c r="C199" s="238" t="s">
        <v>2343</v>
      </c>
      <c r="D199" s="1610">
        <v>3</v>
      </c>
      <c r="E199" s="1476">
        <f>IF(choice602.2="ENERGY STAR® cool roof",3,0)</f>
        <v>0</v>
      </c>
      <c r="F199" s="4489">
        <f>note602.2</f>
        <v>0</v>
      </c>
      <c r="G199" s="4490"/>
    </row>
    <row r="200" spans="3:8">
      <c r="C200" s="238" t="s">
        <v>2344</v>
      </c>
      <c r="D200" s="1610">
        <v>3</v>
      </c>
      <c r="E200" s="1476">
        <f>IF(choice602.2="Vegetated roof system",3,0)</f>
        <v>0</v>
      </c>
      <c r="F200" s="4491"/>
      <c r="G200" s="4492"/>
    </row>
    <row r="201" spans="3:8" ht="16" thickBot="1">
      <c r="C201" s="251" t="s">
        <v>2345</v>
      </c>
      <c r="D201" s="1612">
        <v>3</v>
      </c>
      <c r="E201" s="253">
        <f>IF(choice602.2="Both",3,0)</f>
        <v>0</v>
      </c>
      <c r="F201" s="4506"/>
      <c r="G201" s="4507"/>
    </row>
    <row r="202" spans="3:8" ht="31" thickTop="1">
      <c r="C202" s="263" t="s">
        <v>2346</v>
      </c>
      <c r="D202" s="1490">
        <v>4</v>
      </c>
      <c r="E202" s="1534">
        <f>claim602.3</f>
        <v>0</v>
      </c>
      <c r="F202" s="4522">
        <f>note602.3</f>
        <v>0</v>
      </c>
      <c r="G202" s="4523"/>
    </row>
    <row r="203" spans="3:8" ht="57" customHeight="1">
      <c r="C203" s="315" t="s">
        <v>2347</v>
      </c>
      <c r="D203" s="1490" t="s">
        <v>3</v>
      </c>
      <c r="E203" s="1534">
        <f>claim602.4.1</f>
        <v>0</v>
      </c>
      <c r="F203" s="4512">
        <f>note602.4.1</f>
        <v>0</v>
      </c>
      <c r="G203" s="4513"/>
      <c r="H203" s="184"/>
    </row>
    <row r="204" spans="3:8" ht="16" thickBot="1">
      <c r="C204" s="1611" t="s">
        <v>2349</v>
      </c>
      <c r="D204" s="252">
        <v>1</v>
      </c>
      <c r="E204" s="253">
        <f>claim602.4.2</f>
        <v>0</v>
      </c>
      <c r="F204" s="4526">
        <f>note602.4.2</f>
        <v>0</v>
      </c>
      <c r="G204" s="4527"/>
    </row>
    <row r="205" spans="3:8" ht="16" thickTop="1">
      <c r="C205" s="1702" t="s">
        <v>2350</v>
      </c>
      <c r="D205" s="1690">
        <v>1</v>
      </c>
      <c r="E205" s="280">
        <f>claim602.4.3</f>
        <v>0</v>
      </c>
      <c r="F205" s="4504">
        <f>note602.4.3</f>
        <v>0</v>
      </c>
      <c r="G205" s="4505"/>
    </row>
    <row r="206" spans="3:8">
      <c r="C206" s="4532" t="s">
        <v>600</v>
      </c>
      <c r="D206" s="4533"/>
      <c r="E206" s="4533"/>
      <c r="F206" s="4533"/>
      <c r="G206" s="4534"/>
    </row>
    <row r="207" spans="3:8" ht="26.25" customHeight="1">
      <c r="C207" s="4738" t="s">
        <v>2351</v>
      </c>
      <c r="D207" s="4486" t="s">
        <v>601</v>
      </c>
      <c r="E207" s="244">
        <f>choice603.1</f>
        <v>0</v>
      </c>
      <c r="F207" s="4489">
        <f>note603.1</f>
        <v>0</v>
      </c>
      <c r="G207" s="4490"/>
    </row>
    <row r="208" spans="3:8" ht="16" thickBot="1">
      <c r="C208" s="4739"/>
      <c r="D208" s="4503"/>
      <c r="E208" s="253">
        <f>claim603.1</f>
        <v>0</v>
      </c>
      <c r="F208" s="4506"/>
      <c r="G208" s="4507"/>
    </row>
    <row r="209" spans="3:7" ht="30" customHeight="1" thickTop="1">
      <c r="C209" s="4740" t="s">
        <v>2352</v>
      </c>
      <c r="D209" s="4502" t="s">
        <v>584</v>
      </c>
      <c r="E209" s="1615">
        <f>choice603.2</f>
        <v>0</v>
      </c>
      <c r="F209" s="4504">
        <f>note603.2</f>
        <v>0</v>
      </c>
      <c r="G209" s="4505"/>
    </row>
    <row r="210" spans="3:7" ht="30" customHeight="1" thickBot="1">
      <c r="C210" s="4741"/>
      <c r="D210" s="4487"/>
      <c r="E210" s="240">
        <f>claim603.2</f>
        <v>0</v>
      </c>
      <c r="F210" s="4491"/>
      <c r="G210" s="4492"/>
    </row>
    <row r="211" spans="3:7" ht="31" thickTop="1">
      <c r="C211" s="263" t="s">
        <v>2353</v>
      </c>
      <c r="D211" s="277">
        <v>4</v>
      </c>
      <c r="E211" s="1614">
        <f>claim603.3</f>
        <v>0</v>
      </c>
      <c r="F211" s="4522">
        <f>note603.3</f>
        <v>0</v>
      </c>
      <c r="G211" s="4523"/>
    </row>
    <row r="212" spans="3:7">
      <c r="C212" s="4532" t="s">
        <v>602</v>
      </c>
      <c r="D212" s="4533"/>
      <c r="E212" s="4533"/>
      <c r="F212" s="4533"/>
      <c r="G212" s="4534"/>
    </row>
    <row r="213" spans="3:7">
      <c r="C213" s="1616" t="s">
        <v>2354</v>
      </c>
      <c r="D213" s="1618"/>
      <c r="E213" s="1619"/>
      <c r="F213" s="4518"/>
      <c r="G213" s="4519"/>
    </row>
    <row r="214" spans="3:7">
      <c r="C214" s="307" t="s">
        <v>1006</v>
      </c>
      <c r="D214" s="1490">
        <v>1</v>
      </c>
      <c r="E214" s="1476">
        <f>IF(claim604.1.1=D214,D214,0)</f>
        <v>0</v>
      </c>
      <c r="F214" s="4564">
        <f>note604.1.1</f>
        <v>0</v>
      </c>
      <c r="G214" s="4565"/>
    </row>
    <row r="215" spans="3:7">
      <c r="C215" s="307" t="s">
        <v>1007</v>
      </c>
      <c r="D215" s="1490">
        <v>2</v>
      </c>
      <c r="E215" s="1476">
        <f>IF(claim604.1.1=D215,D215,0)</f>
        <v>0</v>
      </c>
      <c r="F215" s="4566"/>
      <c r="G215" s="4567"/>
    </row>
    <row r="216" spans="3:7">
      <c r="C216" s="307" t="s">
        <v>1008</v>
      </c>
      <c r="D216" s="1490">
        <v>3</v>
      </c>
      <c r="E216" s="1476">
        <f>IF(claim604.1.1=D216,D216,0)</f>
        <v>0</v>
      </c>
      <c r="F216" s="4572"/>
      <c r="G216" s="4573"/>
    </row>
    <row r="217" spans="3:7">
      <c r="C217" s="1617" t="s">
        <v>2355</v>
      </c>
      <c r="D217" s="1620"/>
      <c r="E217" s="1503"/>
      <c r="F217" s="4518"/>
      <c r="G217" s="4519"/>
    </row>
    <row r="218" spans="3:7">
      <c r="C218" s="307" t="s">
        <v>1006</v>
      </c>
      <c r="D218" s="1490">
        <v>2</v>
      </c>
      <c r="E218" s="1476">
        <f>IF(claim604.1.2=D218,D218,0)</f>
        <v>0</v>
      </c>
      <c r="F218" s="4564">
        <f>note604.1.2</f>
        <v>0</v>
      </c>
      <c r="G218" s="4565"/>
    </row>
    <row r="219" spans="3:7">
      <c r="C219" s="307" t="s">
        <v>1007</v>
      </c>
      <c r="D219" s="1490">
        <v>4</v>
      </c>
      <c r="E219" s="1476">
        <f>IF(claim604.1.2=D219,D219,0)</f>
        <v>0</v>
      </c>
      <c r="F219" s="4566"/>
      <c r="G219" s="4567"/>
    </row>
    <row r="220" spans="3:7">
      <c r="C220" s="307" t="s">
        <v>1008</v>
      </c>
      <c r="D220" s="1490">
        <v>6</v>
      </c>
      <c r="E220" s="1476">
        <f>IF(claim604.1.2=D220,D220,0)</f>
        <v>0</v>
      </c>
      <c r="F220" s="4572"/>
      <c r="G220" s="4573"/>
    </row>
    <row r="221" spans="3:7">
      <c r="C221" s="4532" t="s">
        <v>603</v>
      </c>
      <c r="D221" s="4533"/>
      <c r="E221" s="4533"/>
      <c r="F221" s="4533"/>
      <c r="G221" s="4534"/>
    </row>
    <row r="222" spans="3:7" ht="31" thickBot="1">
      <c r="C222" s="1703" t="s">
        <v>2356</v>
      </c>
      <c r="D222" s="1687">
        <v>6</v>
      </c>
      <c r="E222" s="244">
        <f>claim605.1</f>
        <v>0</v>
      </c>
      <c r="F222" s="4526">
        <f>note605.1</f>
        <v>0</v>
      </c>
      <c r="G222" s="4527"/>
    </row>
    <row r="223" spans="3:7" ht="17" thickTop="1" thickBot="1">
      <c r="C223" s="262" t="s">
        <v>2357</v>
      </c>
      <c r="D223" s="274">
        <v>7</v>
      </c>
      <c r="E223" s="261">
        <f>claim605.2</f>
        <v>0</v>
      </c>
      <c r="F223" s="4609">
        <f>note605.2</f>
        <v>0</v>
      </c>
      <c r="G223" s="4610"/>
    </row>
    <row r="224" spans="3:7" ht="31" thickTop="1">
      <c r="C224" s="1703" t="s">
        <v>2358</v>
      </c>
      <c r="D224" s="1628"/>
      <c r="E224" s="842"/>
      <c r="F224" s="4611"/>
      <c r="G224" s="4612"/>
    </row>
    <row r="225" spans="3:7" ht="15" customHeight="1">
      <c r="C225" s="307" t="s">
        <v>1017</v>
      </c>
      <c r="D225" s="1490">
        <v>3</v>
      </c>
      <c r="E225" s="1476">
        <f>IF(claim605.3=D225,D225,0)</f>
        <v>0</v>
      </c>
      <c r="F225" s="4564">
        <f>note605.3</f>
        <v>0</v>
      </c>
      <c r="G225" s="4565"/>
    </row>
    <row r="226" spans="3:7" ht="15" customHeight="1">
      <c r="C226" s="307" t="s">
        <v>1016</v>
      </c>
      <c r="D226" s="1490">
        <v>4</v>
      </c>
      <c r="E226" s="1476">
        <f>IF(claim605.3=D226,D226,0)</f>
        <v>0</v>
      </c>
      <c r="F226" s="4566"/>
      <c r="G226" s="4567"/>
    </row>
    <row r="227" spans="3:7" ht="15" customHeight="1">
      <c r="C227" s="307" t="s">
        <v>1015</v>
      </c>
      <c r="D227" s="1490">
        <v>5</v>
      </c>
      <c r="E227" s="1476">
        <f>IF(claim605.3=D227,D227,0)</f>
        <v>0</v>
      </c>
      <c r="F227" s="4566"/>
      <c r="G227" s="4567"/>
    </row>
    <row r="228" spans="3:7" ht="15" customHeight="1">
      <c r="C228" s="307" t="s">
        <v>1014</v>
      </c>
      <c r="D228" s="1490">
        <v>6</v>
      </c>
      <c r="E228" s="1476">
        <f>IF(claim605.3=D228,D228,0)</f>
        <v>0</v>
      </c>
      <c r="F228" s="4572"/>
      <c r="G228" s="4573"/>
    </row>
    <row r="229" spans="3:7">
      <c r="C229" s="4532" t="s">
        <v>604</v>
      </c>
      <c r="D229" s="4533"/>
      <c r="E229" s="4533"/>
      <c r="F229" s="4533"/>
      <c r="G229" s="4534"/>
    </row>
    <row r="230" spans="3:7">
      <c r="C230" s="1703" t="s">
        <v>2363</v>
      </c>
      <c r="D230" s="284" t="s">
        <v>605</v>
      </c>
      <c r="E230" s="285">
        <f>claim606.1</f>
        <v>0</v>
      </c>
      <c r="F230" s="4564">
        <f>note606.1</f>
        <v>0</v>
      </c>
      <c r="G230" s="4565"/>
    </row>
    <row r="231" spans="3:7">
      <c r="C231" s="307" t="s">
        <v>2359</v>
      </c>
      <c r="D231" s="1530">
        <v>3</v>
      </c>
      <c r="E231" s="1629">
        <f>claim606.1_1</f>
        <v>0</v>
      </c>
      <c r="F231" s="4566"/>
      <c r="G231" s="4567"/>
    </row>
    <row r="232" spans="3:7">
      <c r="C232" s="307" t="s">
        <v>2360</v>
      </c>
      <c r="D232" s="1530">
        <v>6</v>
      </c>
      <c r="E232" s="1629">
        <f>claim606.1_2</f>
        <v>0</v>
      </c>
      <c r="F232" s="4566"/>
      <c r="G232" s="4567"/>
    </row>
    <row r="233" spans="3:7" ht="16" thickBot="1">
      <c r="C233" s="1630" t="s">
        <v>2361</v>
      </c>
      <c r="D233" s="276" t="s">
        <v>2362</v>
      </c>
      <c r="E233" s="1631">
        <f>claim606.1_3</f>
        <v>0</v>
      </c>
      <c r="F233" s="4594"/>
      <c r="G233" s="4595"/>
    </row>
    <row r="234" spans="3:7" ht="16" thickTop="1">
      <c r="C234" s="263" t="s">
        <v>2367</v>
      </c>
      <c r="D234" s="843"/>
      <c r="E234" s="840"/>
      <c r="F234" s="4528"/>
      <c r="G234" s="4529"/>
    </row>
    <row r="235" spans="3:7">
      <c r="C235" s="238" t="s">
        <v>607</v>
      </c>
      <c r="D235" s="1490">
        <v>3</v>
      </c>
      <c r="E235" s="1476">
        <f>claim606.2_1</f>
        <v>0</v>
      </c>
      <c r="F235" s="4489">
        <f>note606.2</f>
        <v>0</v>
      </c>
      <c r="G235" s="4490"/>
    </row>
    <row r="236" spans="3:7" ht="16" thickBot="1">
      <c r="C236" s="251" t="s">
        <v>608</v>
      </c>
      <c r="D236" s="252">
        <v>4</v>
      </c>
      <c r="E236" s="253">
        <f>claim606.2_2</f>
        <v>0</v>
      </c>
      <c r="F236" s="4506"/>
      <c r="G236" s="4507"/>
    </row>
    <row r="237" spans="3:7" ht="31" thickTop="1">
      <c r="C237" s="263" t="s">
        <v>2370</v>
      </c>
      <c r="D237" s="843"/>
      <c r="E237" s="840"/>
      <c r="F237" s="4495"/>
      <c r="G237" s="4496"/>
    </row>
    <row r="238" spans="3:7">
      <c r="C238" s="307" t="s">
        <v>1023</v>
      </c>
      <c r="D238" s="1530">
        <v>2</v>
      </c>
      <c r="E238" s="1476">
        <f>IF(claim606.3=D238,D238,0)</f>
        <v>0</v>
      </c>
      <c r="F238" s="4564">
        <f>note606.3</f>
        <v>0</v>
      </c>
      <c r="G238" s="4565"/>
    </row>
    <row r="239" spans="3:7">
      <c r="C239" s="307" t="s">
        <v>2368</v>
      </c>
      <c r="D239" s="1530">
        <v>4</v>
      </c>
      <c r="E239" s="1476">
        <f>IF(claim606.3=D239,D239,0)</f>
        <v>0</v>
      </c>
      <c r="F239" s="4566"/>
      <c r="G239" s="4567"/>
    </row>
    <row r="240" spans="3:7">
      <c r="C240" s="307" t="s">
        <v>2371</v>
      </c>
      <c r="D240" s="1530">
        <v>6</v>
      </c>
      <c r="E240" s="1476">
        <f>IF(claim606.3=D240,D240,0)</f>
        <v>0</v>
      </c>
      <c r="F240" s="4572"/>
      <c r="G240" s="4573"/>
    </row>
    <row r="241" spans="3:7">
      <c r="C241" s="4532" t="s">
        <v>2386</v>
      </c>
      <c r="D241" s="4533"/>
      <c r="E241" s="4533"/>
      <c r="F241" s="4533"/>
      <c r="G241" s="4534"/>
    </row>
    <row r="242" spans="3:7" ht="30">
      <c r="C242" s="1703" t="s">
        <v>2372</v>
      </c>
      <c r="D242" s="1687">
        <v>3</v>
      </c>
      <c r="E242" s="244">
        <f>claim607.1_1</f>
        <v>0</v>
      </c>
      <c r="F242" s="4558">
        <f>note607.1_1</f>
        <v>0</v>
      </c>
      <c r="G242" s="4559"/>
    </row>
    <row r="243" spans="3:7" ht="16" thickBot="1">
      <c r="C243" s="1700" t="s">
        <v>2373</v>
      </c>
      <c r="D243" s="1686">
        <v>3</v>
      </c>
      <c r="E243" s="240">
        <f>claim607.1_2</f>
        <v>0</v>
      </c>
      <c r="F243" s="4540">
        <f>note607.1_2</f>
        <v>0</v>
      </c>
      <c r="G243" s="4541"/>
    </row>
    <row r="244" spans="3:7" ht="16" thickTop="1">
      <c r="C244" s="241" t="s">
        <v>2374</v>
      </c>
      <c r="D244" s="277">
        <v>1</v>
      </c>
      <c r="E244" s="1614">
        <f>claim607.2</f>
        <v>0</v>
      </c>
      <c r="F244" s="4607">
        <f>note607.2</f>
        <v>0</v>
      </c>
      <c r="G244" s="4608"/>
    </row>
    <row r="245" spans="3:7">
      <c r="C245" s="4532" t="s">
        <v>2385</v>
      </c>
      <c r="D245" s="4533"/>
      <c r="E245" s="4533"/>
      <c r="F245" s="4533"/>
      <c r="G245" s="4534"/>
    </row>
    <row r="246" spans="3:7" ht="75">
      <c r="C246" s="1703" t="s">
        <v>2375</v>
      </c>
      <c r="D246" s="1628"/>
      <c r="E246" s="842"/>
      <c r="F246" s="4596"/>
      <c r="G246" s="4597"/>
    </row>
    <row r="247" spans="3:7">
      <c r="C247" s="307" t="s">
        <v>1025</v>
      </c>
      <c r="D247" s="1490">
        <v>3</v>
      </c>
      <c r="E247" s="1534">
        <f>IF(claim608.1=D247,D247,0)</f>
        <v>0</v>
      </c>
      <c r="F247" s="4564">
        <f>note608.1</f>
        <v>0</v>
      </c>
      <c r="G247" s="4565"/>
    </row>
    <row r="248" spans="3:7">
      <c r="C248" s="307" t="s">
        <v>1026</v>
      </c>
      <c r="D248" s="1490">
        <v>6</v>
      </c>
      <c r="E248" s="1534">
        <f>IF(claim608.1=D248,D248,0)</f>
        <v>0</v>
      </c>
      <c r="F248" s="4566"/>
      <c r="G248" s="4567"/>
    </row>
    <row r="249" spans="3:7">
      <c r="C249" s="307" t="s">
        <v>1027</v>
      </c>
      <c r="D249" s="1490">
        <v>9</v>
      </c>
      <c r="E249" s="1534">
        <f>IF(claim608.1=D249,D249,0)</f>
        <v>0</v>
      </c>
      <c r="F249" s="4572"/>
      <c r="G249" s="4573"/>
    </row>
    <row r="250" spans="3:7">
      <c r="C250" s="4532" t="s">
        <v>2383</v>
      </c>
      <c r="D250" s="4533"/>
      <c r="E250" s="4533"/>
      <c r="F250" s="4533"/>
      <c r="G250" s="4534"/>
    </row>
    <row r="251" spans="3:7" ht="18" customHeight="1">
      <c r="C251" s="1632" t="s">
        <v>2376</v>
      </c>
      <c r="D251" s="1628"/>
      <c r="E251" s="842"/>
      <c r="F251" s="4601"/>
      <c r="G251" s="4602"/>
    </row>
    <row r="252" spans="3:7">
      <c r="C252" s="307" t="s">
        <v>1030</v>
      </c>
      <c r="D252" s="1490">
        <v>2</v>
      </c>
      <c r="E252" s="1534">
        <f>IF(claim609.1=D252,D252,0)</f>
        <v>0</v>
      </c>
      <c r="F252" s="4564">
        <f>note609.1</f>
        <v>0</v>
      </c>
      <c r="G252" s="4565"/>
    </row>
    <row r="253" spans="3:7">
      <c r="C253" s="307" t="s">
        <v>1017</v>
      </c>
      <c r="D253" s="1490">
        <v>4</v>
      </c>
      <c r="E253" s="1534">
        <f>IF(claim609.1=D253,D253,0)</f>
        <v>0</v>
      </c>
      <c r="F253" s="4566"/>
      <c r="G253" s="4567"/>
    </row>
    <row r="254" spans="3:7">
      <c r="C254" s="307" t="s">
        <v>1016</v>
      </c>
      <c r="D254" s="1490">
        <v>6</v>
      </c>
      <c r="E254" s="1534">
        <f>IF(claim609.1=D254,D254,0)</f>
        <v>0</v>
      </c>
      <c r="F254" s="4566"/>
      <c r="G254" s="4567"/>
    </row>
    <row r="255" spans="3:7">
      <c r="C255" s="307" t="s">
        <v>1015</v>
      </c>
      <c r="D255" s="1490">
        <v>8</v>
      </c>
      <c r="E255" s="1534">
        <f>IF(claim609.1=D255,D255,0)</f>
        <v>0</v>
      </c>
      <c r="F255" s="4566"/>
      <c r="G255" s="4567"/>
    </row>
    <row r="256" spans="3:7">
      <c r="C256" s="307" t="s">
        <v>1014</v>
      </c>
      <c r="D256" s="1490">
        <v>10</v>
      </c>
      <c r="E256" s="1534">
        <f>IF(claim609.1=D256,D256,0)</f>
        <v>0</v>
      </c>
      <c r="F256" s="4572"/>
      <c r="G256" s="4573"/>
    </row>
    <row r="257" spans="3:7">
      <c r="C257" s="4532" t="s">
        <v>2382</v>
      </c>
      <c r="D257" s="4533"/>
      <c r="E257" s="4533"/>
      <c r="F257" s="4533"/>
      <c r="G257" s="4534"/>
    </row>
    <row r="258" spans="3:7" ht="39">
      <c r="C258" s="1703" t="s">
        <v>2377</v>
      </c>
      <c r="D258" s="667" t="s">
        <v>2115</v>
      </c>
      <c r="E258" s="244">
        <f>claim610.1</f>
        <v>0</v>
      </c>
      <c r="F258" s="4564">
        <f>note610.1</f>
        <v>0</v>
      </c>
      <c r="G258" s="4565"/>
    </row>
    <row r="259" spans="3:7" ht="30">
      <c r="C259" s="286" t="s">
        <v>2378</v>
      </c>
      <c r="D259" s="1633">
        <v>15</v>
      </c>
      <c r="E259" s="1567">
        <f>claim610.1.1</f>
        <v>0</v>
      </c>
      <c r="F259" s="4603">
        <f>note610.1.1</f>
        <v>0</v>
      </c>
      <c r="G259" s="4604"/>
    </row>
    <row r="260" spans="3:7" ht="45">
      <c r="C260" s="1700" t="s">
        <v>2379</v>
      </c>
      <c r="D260" s="675" t="s">
        <v>2673</v>
      </c>
      <c r="E260" s="1711">
        <f>claim610.1.2</f>
        <v>0</v>
      </c>
      <c r="F260" s="4605"/>
      <c r="G260" s="4606"/>
    </row>
    <row r="261" spans="3:7" ht="45">
      <c r="C261" s="238" t="s">
        <v>2380</v>
      </c>
      <c r="D261" s="1633" t="s">
        <v>2675</v>
      </c>
      <c r="E261" s="1567">
        <f>score610.1.2_1</f>
        <v>0</v>
      </c>
      <c r="F261" s="4489">
        <f>note610.1.2_1</f>
        <v>0</v>
      </c>
      <c r="G261" s="4490"/>
    </row>
    <row r="262" spans="3:7">
      <c r="C262" s="1307" t="s">
        <v>2408</v>
      </c>
      <c r="D262" s="1642"/>
      <c r="E262" s="1567">
        <f>enter610.1.2_1_4meas</f>
        <v>0</v>
      </c>
      <c r="F262" s="4491"/>
      <c r="G262" s="4492"/>
    </row>
    <row r="263" spans="3:7">
      <c r="C263" s="1307" t="s">
        <v>2409</v>
      </c>
      <c r="D263" s="1642"/>
      <c r="E263" s="1567">
        <f>enter610.1.2_1_5meas</f>
        <v>0</v>
      </c>
      <c r="F263" s="4493"/>
      <c r="G263" s="4494"/>
    </row>
    <row r="264" spans="3:7" ht="30">
      <c r="C264" s="238" t="s">
        <v>2410</v>
      </c>
      <c r="D264" s="1633" t="s">
        <v>2676</v>
      </c>
      <c r="E264" s="1567">
        <f>choice610.1.2_2</f>
        <v>0</v>
      </c>
      <c r="F264" s="4489">
        <f>note610.1.2_2</f>
        <v>0</v>
      </c>
      <c r="G264" s="4490"/>
    </row>
    <row r="265" spans="3:7">
      <c r="C265" s="1307" t="s">
        <v>2411</v>
      </c>
      <c r="D265" s="1642"/>
      <c r="E265" s="1567">
        <f>enter610.1.2_2_walls</f>
        <v>0</v>
      </c>
      <c r="F265" s="4491"/>
      <c r="G265" s="4492"/>
    </row>
    <row r="266" spans="3:7">
      <c r="C266" s="1307" t="s">
        <v>2412</v>
      </c>
      <c r="D266" s="1642"/>
      <c r="E266" s="1567">
        <f>enter610.1.2_2_walls</f>
        <v>0</v>
      </c>
      <c r="F266" s="4491"/>
      <c r="G266" s="4492"/>
    </row>
    <row r="267" spans="3:7">
      <c r="C267" s="1307" t="s">
        <v>2413</v>
      </c>
      <c r="D267" s="1642"/>
      <c r="E267" s="1567">
        <f>enter610.1.2_2_interior</f>
        <v>0</v>
      </c>
      <c r="F267" s="4491"/>
      <c r="G267" s="4492"/>
    </row>
    <row r="268" spans="3:7">
      <c r="C268" s="1307" t="s">
        <v>2414</v>
      </c>
      <c r="D268" s="1642"/>
      <c r="E268" s="1567">
        <f>enter610.1.2_2_floors</f>
        <v>0</v>
      </c>
      <c r="F268" s="4493"/>
      <c r="G268" s="4494"/>
    </row>
    <row r="269" spans="3:7">
      <c r="C269" s="4532" t="s">
        <v>2381</v>
      </c>
      <c r="D269" s="4533"/>
      <c r="E269" s="4533"/>
      <c r="F269" s="4533"/>
      <c r="G269" s="4534"/>
    </row>
    <row r="270" spans="3:7" ht="63" customHeight="1">
      <c r="C270" s="1703" t="s">
        <v>2387</v>
      </c>
      <c r="D270" s="1637"/>
      <c r="E270" s="842"/>
      <c r="F270" s="4596"/>
      <c r="G270" s="4597"/>
    </row>
    <row r="271" spans="3:7">
      <c r="C271" s="307" t="s">
        <v>1039</v>
      </c>
      <c r="D271" s="1638">
        <v>1</v>
      </c>
      <c r="E271" s="1476">
        <f t="shared" ref="E271:E280" si="0">IF(claim611.1=D271,D271,0)</f>
        <v>0</v>
      </c>
      <c r="F271" s="4564">
        <f>note611.1</f>
        <v>0</v>
      </c>
      <c r="G271" s="4565"/>
    </row>
    <row r="272" spans="3:7">
      <c r="C272" s="307" t="s">
        <v>1040</v>
      </c>
      <c r="D272" s="1638">
        <v>2</v>
      </c>
      <c r="E272" s="1476">
        <f t="shared" si="0"/>
        <v>0</v>
      </c>
      <c r="F272" s="4566"/>
      <c r="G272" s="4567"/>
    </row>
    <row r="273" spans="3:7">
      <c r="C273" s="307" t="s">
        <v>1041</v>
      </c>
      <c r="D273" s="1638">
        <v>3</v>
      </c>
      <c r="E273" s="1476">
        <f t="shared" si="0"/>
        <v>0</v>
      </c>
      <c r="F273" s="4566"/>
      <c r="G273" s="4567"/>
    </row>
    <row r="274" spans="3:7">
      <c r="C274" s="307" t="s">
        <v>1042</v>
      </c>
      <c r="D274" s="1638">
        <v>4</v>
      </c>
      <c r="E274" s="1476">
        <f t="shared" si="0"/>
        <v>0</v>
      </c>
      <c r="F274" s="4566"/>
      <c r="G274" s="4567"/>
    </row>
    <row r="275" spans="3:7">
      <c r="C275" s="307" t="s">
        <v>1043</v>
      </c>
      <c r="D275" s="1638">
        <v>5</v>
      </c>
      <c r="E275" s="1476">
        <f t="shared" si="0"/>
        <v>0</v>
      </c>
      <c r="F275" s="4566"/>
      <c r="G275" s="4567"/>
    </row>
    <row r="276" spans="3:7">
      <c r="C276" s="307" t="s">
        <v>1044</v>
      </c>
      <c r="D276" s="1638">
        <v>6</v>
      </c>
      <c r="E276" s="1476">
        <f t="shared" si="0"/>
        <v>0</v>
      </c>
      <c r="F276" s="4566"/>
      <c r="G276" s="4567"/>
    </row>
    <row r="277" spans="3:7">
      <c r="C277" s="307" t="s">
        <v>1045</v>
      </c>
      <c r="D277" s="1638">
        <v>7</v>
      </c>
      <c r="E277" s="1476">
        <f t="shared" si="0"/>
        <v>0</v>
      </c>
      <c r="F277" s="4566"/>
      <c r="G277" s="4567"/>
    </row>
    <row r="278" spans="3:7">
      <c r="C278" s="307" t="s">
        <v>1046</v>
      </c>
      <c r="D278" s="1638">
        <v>8</v>
      </c>
      <c r="E278" s="1476">
        <f t="shared" si="0"/>
        <v>0</v>
      </c>
      <c r="F278" s="4566"/>
      <c r="G278" s="4567"/>
    </row>
    <row r="279" spans="3:7">
      <c r="C279" s="307" t="s">
        <v>1047</v>
      </c>
      <c r="D279" s="1638">
        <v>9</v>
      </c>
      <c r="E279" s="1476">
        <f t="shared" si="0"/>
        <v>0</v>
      </c>
      <c r="F279" s="4566"/>
      <c r="G279" s="4567"/>
    </row>
    <row r="280" spans="3:7">
      <c r="C280" s="307" t="s">
        <v>2388</v>
      </c>
      <c r="D280" s="1638">
        <v>10</v>
      </c>
      <c r="E280" s="1476">
        <f t="shared" si="0"/>
        <v>0</v>
      </c>
      <c r="F280" s="4572"/>
      <c r="G280" s="4573"/>
    </row>
    <row r="281" spans="3:7" ht="30">
      <c r="C281" s="1703" t="s">
        <v>2389</v>
      </c>
      <c r="D281" s="1639" t="s">
        <v>584</v>
      </c>
      <c r="E281" s="1640">
        <f>claim611.2</f>
        <v>0</v>
      </c>
      <c r="F281" s="4596"/>
      <c r="G281" s="4597"/>
    </row>
    <row r="282" spans="3:7">
      <c r="C282" s="307" t="s">
        <v>2390</v>
      </c>
      <c r="D282" s="1638">
        <v>3</v>
      </c>
      <c r="E282" s="1476">
        <f>IF(claim611.2_1=D282,D282,0)</f>
        <v>0</v>
      </c>
      <c r="F282" s="4558">
        <f>note611.2_1</f>
        <v>0</v>
      </c>
      <c r="G282" s="4559"/>
    </row>
    <row r="283" spans="3:7">
      <c r="C283" s="307" t="s">
        <v>2391</v>
      </c>
      <c r="D283" s="1638">
        <v>3</v>
      </c>
      <c r="E283" s="1476">
        <f>IF(claim611.2_2=D283,D283,0)</f>
        <v>0</v>
      </c>
      <c r="F283" s="4558">
        <f>note611.2_2</f>
        <v>0</v>
      </c>
      <c r="G283" s="4559"/>
    </row>
    <row r="284" spans="3:7">
      <c r="C284" s="307" t="s">
        <v>2392</v>
      </c>
      <c r="D284" s="1638">
        <v>3</v>
      </c>
      <c r="E284" s="1476">
        <f>IF(claim611.2_3=D284,D284,0)</f>
        <v>0</v>
      </c>
      <c r="F284" s="4558">
        <f>note611.2_3</f>
        <v>0</v>
      </c>
      <c r="G284" s="4559"/>
    </row>
    <row r="285" spans="3:7">
      <c r="C285" s="307" t="s">
        <v>2393</v>
      </c>
      <c r="D285" s="1638">
        <v>3</v>
      </c>
      <c r="E285" s="1476">
        <f>IF(claim611.2_4=D285,D285,0)</f>
        <v>0</v>
      </c>
      <c r="F285" s="4558">
        <f>note611.2_4</f>
        <v>0</v>
      </c>
      <c r="G285" s="4559"/>
    </row>
    <row r="286" spans="3:7">
      <c r="C286" s="307" t="s">
        <v>2394</v>
      </c>
      <c r="D286" s="1638">
        <v>3</v>
      </c>
      <c r="E286" s="1476">
        <f>IF(claim611.2_5=D286,D286,0)</f>
        <v>0</v>
      </c>
      <c r="F286" s="4558">
        <f>note611.2_5</f>
        <v>0</v>
      </c>
      <c r="G286" s="4559"/>
    </row>
    <row r="287" spans="3:7">
      <c r="C287" s="307" t="s">
        <v>2395</v>
      </c>
      <c r="D287" s="1638">
        <v>3</v>
      </c>
      <c r="E287" s="1476">
        <f>IF(claim611.2_6=D287,D287,0)</f>
        <v>0</v>
      </c>
      <c r="F287" s="4558">
        <f>note611.2_6</f>
        <v>0</v>
      </c>
      <c r="G287" s="4559"/>
    </row>
    <row r="288" spans="3:7" ht="30">
      <c r="C288" s="307" t="s">
        <v>2396</v>
      </c>
      <c r="D288" s="1638">
        <v>3</v>
      </c>
      <c r="E288" s="1476">
        <f>IF(claim611.2_7=D288,D288,0)</f>
        <v>0</v>
      </c>
      <c r="F288" s="4558">
        <f>note611.2_7</f>
        <v>0</v>
      </c>
      <c r="G288" s="4559"/>
    </row>
    <row r="289" spans="3:7">
      <c r="C289" s="1703" t="s">
        <v>2397</v>
      </c>
      <c r="D289" s="1639" t="s">
        <v>584</v>
      </c>
      <c r="E289" s="1640">
        <f>claim611.2</f>
        <v>0</v>
      </c>
      <c r="F289" s="4596"/>
      <c r="G289" s="4597"/>
    </row>
    <row r="290" spans="3:7" ht="60">
      <c r="C290" s="307" t="s">
        <v>2398</v>
      </c>
      <c r="D290" s="1638">
        <v>3</v>
      </c>
      <c r="E290" s="1476">
        <f>IF(claim611.3_1=D290,D290,0)</f>
        <v>0</v>
      </c>
      <c r="F290" s="4558">
        <f>note611.3_1</f>
        <v>0</v>
      </c>
      <c r="G290" s="4559"/>
    </row>
    <row r="291" spans="3:7" ht="45">
      <c r="C291" s="307" t="s">
        <v>2399</v>
      </c>
      <c r="D291" s="1638">
        <v>3</v>
      </c>
      <c r="E291" s="1476">
        <f>IF(claim611.3_2=D291,D291,0)</f>
        <v>0</v>
      </c>
      <c r="F291" s="4558">
        <f>note611.3_2</f>
        <v>0</v>
      </c>
      <c r="G291" s="4559"/>
    </row>
    <row r="292" spans="3:7" ht="30">
      <c r="C292" s="307" t="s">
        <v>2400</v>
      </c>
      <c r="D292" s="1638">
        <v>3</v>
      </c>
      <c r="E292" s="1476">
        <f>IF(claim611.3_3=D292,D292,0)</f>
        <v>0</v>
      </c>
      <c r="F292" s="4558">
        <f>note611.3_3</f>
        <v>0</v>
      </c>
      <c r="G292" s="4559"/>
    </row>
    <row r="293" spans="3:7" ht="30">
      <c r="C293" s="307" t="s">
        <v>2401</v>
      </c>
      <c r="D293" s="1638">
        <v>1</v>
      </c>
      <c r="E293" s="1476">
        <f>IF(claim611.3_4=D293,D293,0)</f>
        <v>0</v>
      </c>
      <c r="F293" s="4558">
        <f>note611.3_4</f>
        <v>0</v>
      </c>
      <c r="G293" s="4559"/>
    </row>
    <row r="294" spans="3:7">
      <c r="C294" s="4664"/>
      <c r="D294" s="4724"/>
      <c r="E294" s="4724"/>
      <c r="F294" s="4724"/>
      <c r="G294" s="4666"/>
    </row>
    <row r="295" spans="3:7">
      <c r="C295" s="4532" t="s">
        <v>610</v>
      </c>
      <c r="D295" s="4533"/>
      <c r="E295" s="4533"/>
      <c r="F295" s="4533"/>
      <c r="G295" s="4534"/>
    </row>
    <row r="296" spans="3:7">
      <c r="C296" s="4532" t="s">
        <v>611</v>
      </c>
      <c r="D296" s="4533"/>
      <c r="E296" s="4533"/>
      <c r="F296" s="4533"/>
      <c r="G296" s="4534"/>
    </row>
    <row r="297" spans="3:7" ht="15" customHeight="1">
      <c r="C297" s="4725" t="s">
        <v>612</v>
      </c>
      <c r="D297" s="4726"/>
      <c r="E297" s="4726"/>
      <c r="F297" s="4726"/>
      <c r="G297" s="4727"/>
    </row>
    <row r="298" spans="3:7">
      <c r="C298" s="286" t="s">
        <v>613</v>
      </c>
      <c r="D298" s="1561"/>
      <c r="E298" s="1561"/>
      <c r="F298" s="4518">
        <f>note701.1</f>
        <v>0</v>
      </c>
      <c r="G298" s="4519"/>
    </row>
    <row r="299" spans="3:7" ht="150">
      <c r="C299" s="286" t="s">
        <v>614</v>
      </c>
      <c r="D299" s="1530" t="s">
        <v>615</v>
      </c>
      <c r="E299" s="1562">
        <f>choice701.1</f>
        <v>0</v>
      </c>
      <c r="F299" s="4558">
        <f>note701.1.1</f>
        <v>0</v>
      </c>
      <c r="G299" s="4559"/>
    </row>
    <row r="300" spans="3:7" ht="211" thickBot="1">
      <c r="C300" s="287" t="s">
        <v>616</v>
      </c>
      <c r="D300" s="252">
        <v>30</v>
      </c>
      <c r="E300" s="253">
        <f>claim701.1</f>
        <v>0</v>
      </c>
      <c r="F300" s="4540">
        <f>note701.1.3</f>
        <v>0</v>
      </c>
      <c r="G300" s="4541"/>
    </row>
    <row r="301" spans="3:7" ht="16.5" customHeight="1" thickTop="1" thickBot="1">
      <c r="C301" s="262" t="s">
        <v>617</v>
      </c>
      <c r="D301" s="288"/>
      <c r="E301" s="288"/>
      <c r="F301" s="4598">
        <f>note701.2</f>
        <v>0</v>
      </c>
      <c r="G301" s="4599"/>
    </row>
    <row r="302" spans="3:7" ht="32" thickTop="1" thickBot="1">
      <c r="C302" s="1701" t="s">
        <v>2415</v>
      </c>
      <c r="D302" s="1691" t="s">
        <v>3</v>
      </c>
      <c r="E302" s="1643">
        <f>IF(E299="Alternative Bronze", "N/A", claim701.3)</f>
        <v>0</v>
      </c>
      <c r="F302" s="4568">
        <f>note701.3</f>
        <v>0</v>
      </c>
      <c r="G302" s="4569"/>
    </row>
    <row r="303" spans="3:7" ht="16" thickTop="1">
      <c r="C303" s="282" t="s">
        <v>618</v>
      </c>
      <c r="D303" s="283"/>
      <c r="E303" s="283"/>
      <c r="F303" s="4516"/>
      <c r="G303" s="4517"/>
    </row>
    <row r="304" spans="3:7">
      <c r="C304" s="289" t="s">
        <v>619</v>
      </c>
      <c r="D304" s="1563"/>
      <c r="E304" s="1563"/>
      <c r="F304" s="4554"/>
      <c r="G304" s="4555"/>
    </row>
    <row r="305" spans="3:7">
      <c r="C305" s="238" t="s">
        <v>3004</v>
      </c>
      <c r="D305" s="1490" t="s">
        <v>3</v>
      </c>
      <c r="E305" s="1534">
        <f>IF(E299="Alternative Bronze", "N/A", claim701.4.1.1)</f>
        <v>0</v>
      </c>
      <c r="F305" s="4558">
        <f>note701.4.1.1</f>
        <v>0</v>
      </c>
      <c r="G305" s="4559"/>
    </row>
    <row r="306" spans="3:7" ht="16" thickBot="1">
      <c r="C306" s="251" t="s">
        <v>620</v>
      </c>
      <c r="D306" s="252" t="s">
        <v>3</v>
      </c>
      <c r="E306" s="1644">
        <f>IF(E299="Alternative Bronze", "N/A", claim701.4.1.2)</f>
        <v>0</v>
      </c>
      <c r="F306" s="4540">
        <f>note701.4.1.2</f>
        <v>0</v>
      </c>
      <c r="G306" s="4541"/>
    </row>
    <row r="307" spans="3:7" ht="16" thickTop="1">
      <c r="C307" s="290" t="s">
        <v>621</v>
      </c>
      <c r="D307" s="291"/>
      <c r="E307" s="291"/>
      <c r="F307" s="4516"/>
      <c r="G307" s="4517"/>
    </row>
    <row r="308" spans="3:7">
      <c r="C308" s="238" t="s">
        <v>2416</v>
      </c>
      <c r="D308" s="1490" t="s">
        <v>3</v>
      </c>
      <c r="E308" s="1645">
        <f>IF(E299="Alternative Bronze", "N/A", claim701.4.2.1)</f>
        <v>0</v>
      </c>
      <c r="F308" s="4558">
        <f>note701.4.2.1</f>
        <v>0</v>
      </c>
      <c r="G308" s="4559"/>
    </row>
    <row r="309" spans="3:7" ht="16" thickBot="1">
      <c r="C309" s="251" t="s">
        <v>622</v>
      </c>
      <c r="D309" s="252" t="s">
        <v>3</v>
      </c>
      <c r="E309" s="1646">
        <f>IF(E299="Alternative Bronze", "N/A", claim701.4.2.2)</f>
        <v>0</v>
      </c>
      <c r="F309" s="4540">
        <f>note701.4.2.2</f>
        <v>0</v>
      </c>
      <c r="G309" s="4541"/>
    </row>
    <row r="310" spans="3:7" ht="17" thickTop="1" thickBot="1">
      <c r="C310" s="251" t="s">
        <v>2417</v>
      </c>
      <c r="D310" s="252" t="s">
        <v>3</v>
      </c>
      <c r="E310" s="1646">
        <f>IF(E299="Alternative Bronze", "N/A", claim701.4.2.3)</f>
        <v>0</v>
      </c>
      <c r="F310" s="4540">
        <f>note701.4.2.3</f>
        <v>0</v>
      </c>
      <c r="G310" s="4541"/>
    </row>
    <row r="311" spans="3:7" ht="16" thickTop="1">
      <c r="C311" s="290" t="s">
        <v>623</v>
      </c>
      <c r="D311" s="291"/>
      <c r="E311" s="291"/>
      <c r="F311" s="4516"/>
      <c r="G311" s="4517"/>
    </row>
    <row r="312" spans="3:7" ht="30">
      <c r="C312" s="238" t="s">
        <v>3005</v>
      </c>
      <c r="D312" s="1498" t="s">
        <v>3</v>
      </c>
      <c r="E312" s="1647">
        <f>IF(E299="Alternative Bronze", "N/A", claim701.4.3.1)</f>
        <v>0</v>
      </c>
      <c r="F312" s="4512">
        <f>note701.4.3.1</f>
        <v>0</v>
      </c>
      <c r="G312" s="4513"/>
    </row>
    <row r="313" spans="3:7" ht="45">
      <c r="C313" s="238" t="s">
        <v>2418</v>
      </c>
      <c r="D313" s="1723"/>
      <c r="E313" s="1503"/>
      <c r="F313" s="4554"/>
      <c r="G313" s="4555"/>
    </row>
    <row r="314" spans="3:7" ht="25" customHeight="1">
      <c r="C314" s="4550" t="s">
        <v>2419</v>
      </c>
      <c r="D314" s="4486" t="s">
        <v>3</v>
      </c>
      <c r="E314" s="1647">
        <f>IF(E299="Alternative Bronze", "N/A",IF(choice701.4.3.2="Testing Option", claim701.4.3.2,0))</f>
        <v>0</v>
      </c>
      <c r="F314" s="4489">
        <f>note701.4.3.2_1</f>
        <v>0</v>
      </c>
      <c r="G314" s="4490"/>
    </row>
    <row r="315" spans="3:7" ht="25" customHeight="1">
      <c r="C315" s="4551"/>
      <c r="D315" s="4487"/>
      <c r="E315" s="1648">
        <f>IF(ch7ACH50&lt;&gt;"",CONCATENATE(ch7ACH50," ACH50"),0)</f>
        <v>0</v>
      </c>
      <c r="F315" s="4491"/>
      <c r="G315" s="4492"/>
    </row>
    <row r="316" spans="3:7" ht="53.25" customHeight="1">
      <c r="C316" s="1307" t="s">
        <v>3006</v>
      </c>
      <c r="D316" s="4488"/>
      <c r="E316" s="1647">
        <f>IF(E299="Alternative Bronze", "N/A",IF(choice701.4.3.2="Visual Inspection Option", claim701.4.3.2,0))</f>
        <v>0</v>
      </c>
      <c r="F316" s="4512">
        <f>note701.4.3.2_2</f>
        <v>0</v>
      </c>
      <c r="G316" s="4513"/>
    </row>
    <row r="317" spans="3:7" ht="45">
      <c r="C317" s="238" t="s">
        <v>2423</v>
      </c>
      <c r="D317" s="1513" t="s">
        <v>3</v>
      </c>
      <c r="E317" s="1499">
        <f>IF(E299="Alternative Bronze", "N/A", claim701.4.3.3)</f>
        <v>0</v>
      </c>
      <c r="F317" s="4512">
        <f>note701.4.3.3</f>
        <v>0</v>
      </c>
      <c r="G317" s="4513"/>
    </row>
    <row r="318" spans="3:7" ht="39" customHeight="1" thickBot="1">
      <c r="C318" s="238" t="s">
        <v>2422</v>
      </c>
      <c r="D318" s="1513" t="s">
        <v>3</v>
      </c>
      <c r="E318" s="1822">
        <f>IF(E299="Alternative Bronze", "N/A", claim701.4.3.4)</f>
        <v>0</v>
      </c>
      <c r="F318" s="4512">
        <f>note701.4.3.4</f>
        <v>0</v>
      </c>
      <c r="G318" s="4513"/>
    </row>
    <row r="319" spans="3:7" ht="32" thickTop="1" thickBot="1">
      <c r="C319" s="293" t="s">
        <v>2421</v>
      </c>
      <c r="D319" s="1591" t="s">
        <v>3</v>
      </c>
      <c r="E319" s="1649">
        <f>IF(E299="Alternative Bronze", "N/A", claim701.4.4)</f>
        <v>0</v>
      </c>
      <c r="F319" s="4522">
        <f>note701.4.4</f>
        <v>0</v>
      </c>
      <c r="G319" s="4523"/>
    </row>
    <row r="320" spans="3:7" ht="17" thickTop="1" thickBot="1">
      <c r="C320" s="293" t="s">
        <v>2424</v>
      </c>
      <c r="D320" s="1591" t="s">
        <v>3</v>
      </c>
      <c r="E320" s="1650">
        <f>IF(OR(E299="Alternative Bronze",AND(startHVAC1&lt;&gt;"Boiler",startHVAC2&lt;&gt;"Boiler",startHVAC3&lt;&gt;"Boiler",startHVAC1&lt;&gt;"")), "N/A", claim701.4.5)</f>
        <v>0</v>
      </c>
      <c r="F320" s="4522">
        <f>note701.4.5</f>
        <v>0</v>
      </c>
      <c r="G320" s="4523"/>
    </row>
    <row r="321" spans="3:7" ht="15.75" customHeight="1" thickBot="1">
      <c r="C321" s="4547" t="s">
        <v>624</v>
      </c>
      <c r="D321" s="4548"/>
      <c r="E321" s="4548"/>
      <c r="F321" s="4548"/>
      <c r="G321" s="4549"/>
    </row>
    <row r="322" spans="3:7" ht="31" thickBot="1">
      <c r="C322" s="1703" t="s">
        <v>625</v>
      </c>
      <c r="D322" s="1651"/>
      <c r="E322" s="1652"/>
      <c r="F322" s="4732"/>
      <c r="G322" s="4733"/>
    </row>
    <row r="323" spans="3:7" ht="32" thickTop="1" thickBot="1">
      <c r="C323" s="262" t="s">
        <v>2425</v>
      </c>
      <c r="D323" s="1653" t="s">
        <v>3</v>
      </c>
      <c r="E323" s="1654">
        <f>IF(OR(E299="Alternative Bronze",E299="Prescriptive Path"),"N/A", claim702.2.1)</f>
        <v>0</v>
      </c>
      <c r="F323" s="4609">
        <f>note702.2.1</f>
        <v>0</v>
      </c>
      <c r="G323" s="4610"/>
    </row>
    <row r="324" spans="3:7" ht="16.5" customHeight="1" thickTop="1">
      <c r="C324" s="4542" t="s">
        <v>3028</v>
      </c>
      <c r="D324" s="246"/>
      <c r="E324" s="246"/>
      <c r="F324" s="4516"/>
      <c r="G324" s="4517"/>
    </row>
    <row r="325" spans="3:7" ht="8.25" customHeight="1">
      <c r="C325" s="4484"/>
      <c r="D325" s="4719" t="s">
        <v>3027</v>
      </c>
      <c r="E325" s="4721">
        <f>claim702.2.2</f>
        <v>0</v>
      </c>
      <c r="F325" s="4582">
        <f>note702.2.2</f>
        <v>0</v>
      </c>
      <c r="G325" s="4583"/>
    </row>
    <row r="326" spans="3:7" ht="9" customHeight="1">
      <c r="C326" s="4484"/>
      <c r="D326" s="4487"/>
      <c r="E326" s="4722"/>
      <c r="F326" s="4584"/>
      <c r="G326" s="4585"/>
    </row>
    <row r="327" spans="3:7" ht="6" customHeight="1">
      <c r="C327" s="4484"/>
      <c r="D327" s="4487"/>
      <c r="E327" s="4722"/>
      <c r="F327" s="4584"/>
      <c r="G327" s="4585"/>
    </row>
    <row r="328" spans="3:7" ht="7.5" customHeight="1" thickBot="1">
      <c r="C328" s="4543"/>
      <c r="D328" s="4720"/>
      <c r="E328" s="4723"/>
      <c r="F328" s="4586"/>
      <c r="G328" s="4587"/>
    </row>
    <row r="329" spans="3:7" ht="15.75" customHeight="1" thickBot="1">
      <c r="C329" s="4547" t="s">
        <v>626</v>
      </c>
      <c r="D329" s="4548"/>
      <c r="E329" s="4548"/>
      <c r="F329" s="4548"/>
      <c r="G329" s="4549"/>
    </row>
    <row r="330" spans="3:7">
      <c r="C330" s="295" t="s">
        <v>627</v>
      </c>
      <c r="D330" s="296"/>
      <c r="E330" s="296"/>
      <c r="F330" s="4588"/>
      <c r="G330" s="4589"/>
    </row>
    <row r="331" spans="3:7" ht="75" customHeight="1">
      <c r="C331" s="297" t="s">
        <v>2426</v>
      </c>
      <c r="D331" s="1560"/>
      <c r="E331" s="1491"/>
      <c r="F331" s="4518"/>
      <c r="G331" s="4519"/>
    </row>
    <row r="332" spans="3:7" ht="15" customHeight="1">
      <c r="C332" s="300" t="s">
        <v>1646</v>
      </c>
      <c r="D332" s="4486" t="s">
        <v>628</v>
      </c>
      <c r="E332" s="1476">
        <f>IF(choice703.1.1="5% to &lt;10%", claim703.1.1,0)</f>
        <v>0</v>
      </c>
      <c r="F332" s="4489">
        <f>note703.1.1</f>
        <v>0</v>
      </c>
      <c r="G332" s="4490"/>
    </row>
    <row r="333" spans="3:7" ht="15" customHeight="1">
      <c r="C333" s="300" t="s">
        <v>1648</v>
      </c>
      <c r="D333" s="4487"/>
      <c r="E333" s="1476">
        <f>IF(choice703.1.1="10% to &lt;15%", claim703.1.1,0)</f>
        <v>0</v>
      </c>
      <c r="F333" s="4491"/>
      <c r="G333" s="4492"/>
    </row>
    <row r="334" spans="3:7" ht="15" customHeight="1">
      <c r="C334" s="300" t="s">
        <v>1647</v>
      </c>
      <c r="D334" s="4487"/>
      <c r="E334" s="1476">
        <f>IF(choice703.1.1="15% to &lt;20%", claim703.1.1,0)</f>
        <v>0</v>
      </c>
      <c r="F334" s="4491"/>
      <c r="G334" s="4492"/>
    </row>
    <row r="335" spans="3:7" ht="15" customHeight="1" thickBot="1">
      <c r="C335" s="1658" t="s">
        <v>1649</v>
      </c>
      <c r="D335" s="4487"/>
      <c r="E335" s="240">
        <f>IF(choice703.1.1="20% or more", claim703.1.1,0)</f>
        <v>0</v>
      </c>
      <c r="F335" s="4491"/>
      <c r="G335" s="4492"/>
    </row>
    <row r="336" spans="3:7" ht="46" thickTop="1">
      <c r="C336" s="293" t="s">
        <v>3019</v>
      </c>
      <c r="D336" s="843"/>
      <c r="E336" s="840"/>
      <c r="F336" s="4528"/>
      <c r="G336" s="4529"/>
    </row>
    <row r="337" spans="3:7">
      <c r="C337" s="1698" t="s">
        <v>1677</v>
      </c>
      <c r="D337" s="1686">
        <v>7</v>
      </c>
      <c r="E337" s="240">
        <f>IF(claim703.1.2=D337,D337,0)</f>
        <v>0</v>
      </c>
      <c r="F337" s="4564">
        <f>note703.1.2</f>
        <v>0</v>
      </c>
      <c r="G337" s="4565"/>
    </row>
    <row r="338" spans="3:7" ht="16" thickBot="1">
      <c r="C338" s="1698" t="s">
        <v>1678</v>
      </c>
      <c r="D338" s="1686">
        <v>4</v>
      </c>
      <c r="E338" s="240">
        <f>IF(claim703.1.2=D338,D338,0)</f>
        <v>0</v>
      </c>
      <c r="F338" s="4566"/>
      <c r="G338" s="4567"/>
    </row>
    <row r="339" spans="3:7" ht="31" thickTop="1">
      <c r="C339" s="293" t="s">
        <v>2427</v>
      </c>
      <c r="D339" s="1657"/>
      <c r="E339" s="840"/>
      <c r="F339" s="4516"/>
      <c r="G339" s="4517"/>
    </row>
    <row r="340" spans="3:7">
      <c r="C340" s="238" t="s">
        <v>1703</v>
      </c>
      <c r="D340" s="1490" t="str">
        <f>points703.1.3_1</f>
        <v>0</v>
      </c>
      <c r="E340" s="1476">
        <f>IF(choice703.1.3=C340,claim703.1.3,0)</f>
        <v>0</v>
      </c>
      <c r="F340" s="4489">
        <f>note703.1.3</f>
        <v>0</v>
      </c>
      <c r="G340" s="4490"/>
    </row>
    <row r="341" spans="3:7" ht="16" thickBot="1">
      <c r="C341" s="251" t="s">
        <v>1704</v>
      </c>
      <c r="D341" s="252" t="str">
        <f>points703.1.3_2</f>
        <v>0 points</v>
      </c>
      <c r="E341" s="240">
        <f>IF(choice703.1.3=C341,claim703.1.3,0)</f>
        <v>0</v>
      </c>
      <c r="F341" s="4491"/>
      <c r="G341" s="4492"/>
    </row>
    <row r="342" spans="3:7" ht="30" customHeight="1" thickTop="1" thickBot="1">
      <c r="C342" s="1696" t="s">
        <v>2428</v>
      </c>
      <c r="D342" s="1655" t="str">
        <f>IF(points703.1.4=0,"0",points703.1.4)</f>
        <v>0</v>
      </c>
      <c r="E342" s="1656">
        <f>claim703.1.4</f>
        <v>0</v>
      </c>
      <c r="F342" s="4504">
        <f>note703.1.4</f>
        <v>0</v>
      </c>
      <c r="G342" s="4505"/>
    </row>
    <row r="343" spans="3:7" ht="31" thickTop="1">
      <c r="C343" s="293" t="s">
        <v>2429</v>
      </c>
      <c r="D343" s="1657"/>
      <c r="E343" s="840"/>
      <c r="F343" s="4516"/>
      <c r="G343" s="4517"/>
    </row>
    <row r="344" spans="3:7">
      <c r="C344" s="238" t="s">
        <v>2434</v>
      </c>
      <c r="D344" s="1490">
        <f>points703.1.5_5</f>
        <v>0</v>
      </c>
      <c r="E344" s="1476">
        <f>IF(choice703.1.5="5 = Max Leakage Rate",claim703.1.5,0)</f>
        <v>0</v>
      </c>
      <c r="F344" s="4489">
        <f>note703.1.5</f>
        <v>0</v>
      </c>
      <c r="G344" s="4490"/>
    </row>
    <row r="345" spans="3:7">
      <c r="C345" s="238" t="s">
        <v>2433</v>
      </c>
      <c r="D345" s="1490">
        <f>points703.1.5_4</f>
        <v>0</v>
      </c>
      <c r="E345" s="1476">
        <f>IF(choice703.1.5="4 = Max Leakage Rate",claim703.1.5,0)</f>
        <v>0</v>
      </c>
      <c r="F345" s="4491"/>
      <c r="G345" s="4492"/>
    </row>
    <row r="346" spans="3:7">
      <c r="C346" s="238" t="s">
        <v>2432</v>
      </c>
      <c r="D346" s="1490">
        <f>points703.1.5_3</f>
        <v>0</v>
      </c>
      <c r="E346" s="1476">
        <f>IF(choice703.1.5="3 = Max Leakage Rate",claim703.1.5,0)</f>
        <v>0</v>
      </c>
      <c r="F346" s="4491"/>
      <c r="G346" s="4492"/>
    </row>
    <row r="347" spans="3:7">
      <c r="C347" s="238" t="s">
        <v>2431</v>
      </c>
      <c r="D347" s="1490">
        <f>points703.1.5_2</f>
        <v>0</v>
      </c>
      <c r="E347" s="1476">
        <f>IF(choice703.1.5="2 = Max Leakage Rate",claim703.1.5,0)</f>
        <v>0</v>
      </c>
      <c r="F347" s="4491"/>
      <c r="G347" s="4492"/>
    </row>
    <row r="348" spans="3:7" ht="16" thickBot="1">
      <c r="C348" s="1698" t="s">
        <v>2430</v>
      </c>
      <c r="D348" s="252">
        <f>points703.1.5_1</f>
        <v>0</v>
      </c>
      <c r="E348" s="240">
        <f>IF(choice703.1.5="1 = Max Leakage Rate",claim703.1.5,0)</f>
        <v>0</v>
      </c>
      <c r="F348" s="4491"/>
      <c r="G348" s="4492"/>
    </row>
    <row r="349" spans="3:7" ht="17" thickTop="1" thickBot="1">
      <c r="C349" s="1659" t="s">
        <v>2435</v>
      </c>
      <c r="D349" s="1660"/>
      <c r="E349" s="1661"/>
      <c r="F349" s="4598"/>
      <c r="G349" s="4599"/>
    </row>
    <row r="350" spans="3:7" ht="42" customHeight="1" thickTop="1" thickBot="1">
      <c r="C350" s="1695" t="s">
        <v>2436</v>
      </c>
      <c r="D350" s="1709" t="s">
        <v>3</v>
      </c>
      <c r="E350" s="1640">
        <f>IF(OR(E299="Alternative Bronze",E299="Performance Path"), "N/A", claim703.1.6.1)</f>
        <v>0</v>
      </c>
      <c r="F350" s="4491">
        <f>note703.1.6.1</f>
        <v>0</v>
      </c>
      <c r="G350" s="4492"/>
    </row>
    <row r="351" spans="3:7" ht="31" thickTop="1">
      <c r="C351" s="293" t="s">
        <v>2437</v>
      </c>
      <c r="D351" s="1657"/>
      <c r="E351" s="840"/>
      <c r="F351" s="4516"/>
      <c r="G351" s="4517"/>
    </row>
    <row r="352" spans="3:7">
      <c r="C352" s="238" t="s">
        <v>1728</v>
      </c>
      <c r="D352" s="1662">
        <f>points703.1.6.2_a</f>
        <v>0</v>
      </c>
      <c r="E352" s="1476">
        <f>IF(choice703.1.6.2="Table 703.1.6.2(a)",claim703.1.6.2,0)</f>
        <v>0</v>
      </c>
      <c r="F352" s="4489">
        <f>note703.1.6.2</f>
        <v>0</v>
      </c>
      <c r="G352" s="4490"/>
    </row>
    <row r="353" spans="3:7">
      <c r="C353" s="238" t="s">
        <v>1733</v>
      </c>
      <c r="D353" s="1662">
        <f>points703.1.6.2_b</f>
        <v>0</v>
      </c>
      <c r="E353" s="1476">
        <f>IF(choice703.1.6.2="Table 703.1.6.2(b)",claim703.1.6.2,0)</f>
        <v>0</v>
      </c>
      <c r="F353" s="4491"/>
      <c r="G353" s="4492"/>
    </row>
    <row r="354" spans="3:7" ht="16" thickBot="1">
      <c r="C354" s="238" t="s">
        <v>1734</v>
      </c>
      <c r="D354" s="1662" t="str">
        <f>IF(points703.1.6.2_c=0,"0",points703.1.6.2_c)</f>
        <v>0</v>
      </c>
      <c r="E354" s="1476">
        <f>IF(choice703.1.6.2="Table 703.1.6.2(c)",claim703.1.6.2,0)</f>
        <v>0</v>
      </c>
      <c r="F354" s="4506"/>
      <c r="G354" s="4507"/>
    </row>
    <row r="355" spans="3:7" ht="16" thickTop="1">
      <c r="C355" s="298" t="s">
        <v>2438</v>
      </c>
      <c r="D355" s="299"/>
      <c r="E355" s="299"/>
      <c r="F355" s="4516"/>
      <c r="G355" s="4517"/>
    </row>
    <row r="356" spans="3:7" ht="60" customHeight="1" thickBot="1">
      <c r="C356" s="297" t="s">
        <v>2439</v>
      </c>
      <c r="D356" s="1533">
        <v>4</v>
      </c>
      <c r="E356" s="1564">
        <f>claim703.2.1</f>
        <v>0</v>
      </c>
      <c r="F356" s="4540">
        <f>note703.2.1</f>
        <v>0</v>
      </c>
      <c r="G356" s="4541"/>
    </row>
    <row r="357" spans="3:7" ht="30" customHeight="1" thickTop="1">
      <c r="C357" s="4535" t="s">
        <v>2440</v>
      </c>
      <c r="D357" s="4544" t="s">
        <v>1752</v>
      </c>
      <c r="E357" s="1590">
        <f>claim703.2.2</f>
        <v>0</v>
      </c>
      <c r="F357" s="4504">
        <f>note703.2.2</f>
        <v>0</v>
      </c>
      <c r="G357" s="4505"/>
    </row>
    <row r="358" spans="3:7" ht="30" customHeight="1">
      <c r="C358" s="4536"/>
      <c r="D358" s="4545"/>
      <c r="E358" s="1476">
        <f>choice703.2.2step1</f>
        <v>0</v>
      </c>
      <c r="F358" s="4491"/>
      <c r="G358" s="4492"/>
    </row>
    <row r="359" spans="3:7" ht="30" customHeight="1" thickBot="1">
      <c r="C359" s="4537"/>
      <c r="D359" s="4546"/>
      <c r="E359" s="1476">
        <f>choice703.2.2step2</f>
        <v>0</v>
      </c>
      <c r="F359" s="4506"/>
      <c r="G359" s="4507"/>
    </row>
    <row r="360" spans="3:7" ht="31" thickTop="1">
      <c r="C360" s="293" t="s">
        <v>2441</v>
      </c>
      <c r="D360" s="1657"/>
      <c r="E360" s="840"/>
      <c r="F360" s="4516"/>
      <c r="G360" s="4517"/>
    </row>
    <row r="361" spans="3:7">
      <c r="C361" s="238" t="s">
        <v>2442</v>
      </c>
      <c r="D361" s="1662">
        <f>points703.2.3_1</f>
        <v>0</v>
      </c>
      <c r="E361" s="1476">
        <f>IF(choice703.2.3="8.2 HSPF",claim703.2.3,0)</f>
        <v>0</v>
      </c>
      <c r="F361" s="4489">
        <f>note703.2.3</f>
        <v>0</v>
      </c>
      <c r="G361" s="4490"/>
    </row>
    <row r="362" spans="3:7">
      <c r="C362" s="238" t="s">
        <v>2443</v>
      </c>
      <c r="D362" s="1662">
        <f>points703.2.3_2</f>
        <v>0</v>
      </c>
      <c r="E362" s="1476">
        <f>IF(choice703.2.3="9.0 HSPF",claim703.2.3,0)</f>
        <v>0</v>
      </c>
      <c r="F362" s="4491"/>
      <c r="G362" s="4492"/>
    </row>
    <row r="363" spans="3:7">
      <c r="C363" s="238" t="s">
        <v>1768</v>
      </c>
      <c r="D363" s="1662">
        <f>points703.2.3_3</f>
        <v>0</v>
      </c>
      <c r="E363" s="1476">
        <f>IF(choice703.2.3="9.5 HSPF",claim703.2.3,0)</f>
        <v>0</v>
      </c>
      <c r="F363" s="4491"/>
      <c r="G363" s="4492"/>
    </row>
    <row r="364" spans="3:7" ht="16" thickBot="1">
      <c r="C364" s="238" t="s">
        <v>1769</v>
      </c>
      <c r="D364" s="1662">
        <f>points703.2.3_4</f>
        <v>0</v>
      </c>
      <c r="E364" s="1476">
        <f>IF(choice703.2.3="10.0 HSPF",claim703.2.3,0)</f>
        <v>0</v>
      </c>
      <c r="F364" s="4506"/>
      <c r="G364" s="4507"/>
    </row>
    <row r="365" spans="3:7" ht="31" thickTop="1">
      <c r="C365" s="293" t="s">
        <v>2444</v>
      </c>
      <c r="D365" s="1657"/>
      <c r="E365" s="840"/>
      <c r="F365" s="4516"/>
      <c r="G365" s="4517"/>
    </row>
    <row r="366" spans="3:7">
      <c r="C366" s="1724" t="s">
        <v>2445</v>
      </c>
      <c r="D366" s="1662">
        <f>points703.2.4_1</f>
        <v>0</v>
      </c>
      <c r="E366" s="1476">
        <f>IF(choice703.2.4=C366,claim703.2.4,0)</f>
        <v>0</v>
      </c>
      <c r="F366" s="4489">
        <f>note703.2.4</f>
        <v>0</v>
      </c>
      <c r="G366" s="4490"/>
    </row>
    <row r="367" spans="3:7">
      <c r="C367" s="1724" t="s">
        <v>2446</v>
      </c>
      <c r="D367" s="1662">
        <f>points703.2.4_2</f>
        <v>0</v>
      </c>
      <c r="E367" s="1476">
        <f>IF(choice703.2.4=C367,claim703.2.4,0)</f>
        <v>0</v>
      </c>
      <c r="F367" s="4491"/>
      <c r="G367" s="4492"/>
    </row>
    <row r="368" spans="3:7">
      <c r="C368" s="1724" t="s">
        <v>2447</v>
      </c>
      <c r="D368" s="1662">
        <f>points703.2.4_3</f>
        <v>0</v>
      </c>
      <c r="E368" s="1476">
        <f>IF(choice703.2.4=C368,claim703.2.4,0)</f>
        <v>0</v>
      </c>
      <c r="F368" s="4491"/>
      <c r="G368" s="4492"/>
    </row>
    <row r="369" spans="3:7">
      <c r="C369" s="1724" t="s">
        <v>1782</v>
      </c>
      <c r="D369" s="1662">
        <f>points703.2.4_4</f>
        <v>0</v>
      </c>
      <c r="E369" s="1476">
        <f>IF(choice703.2.4=C369,claim703.2.4,0)</f>
        <v>0</v>
      </c>
      <c r="F369" s="4491"/>
      <c r="G369" s="4492"/>
    </row>
    <row r="370" spans="3:7" ht="16" thickBot="1">
      <c r="C370" s="1725" t="s">
        <v>1781</v>
      </c>
      <c r="D370" s="1666">
        <f>points703.2.4_5</f>
        <v>0</v>
      </c>
      <c r="E370" s="240">
        <f>IF(choice703.2.4=C370,claim703.2.4,0)</f>
        <v>0</v>
      </c>
      <c r="F370" s="4491"/>
      <c r="G370" s="4492"/>
    </row>
    <row r="371" spans="3:7" ht="20" customHeight="1" thickTop="1" thickBot="1">
      <c r="C371" s="1659" t="s">
        <v>2448</v>
      </c>
      <c r="D371" s="1664">
        <f>points703.2.5</f>
        <v>0</v>
      </c>
      <c r="E371" s="1665">
        <f>claim703.2.5</f>
        <v>0</v>
      </c>
      <c r="F371" s="4568">
        <f>note703.2.5</f>
        <v>0</v>
      </c>
      <c r="G371" s="4569"/>
    </row>
    <row r="372" spans="3:7" ht="31" thickTop="1">
      <c r="C372" s="293" t="s">
        <v>2449</v>
      </c>
      <c r="D372" s="1657"/>
      <c r="E372" s="840"/>
      <c r="F372" s="4516"/>
      <c r="G372" s="4517"/>
    </row>
    <row r="373" spans="3:7">
      <c r="C373" s="1724" t="s">
        <v>1788</v>
      </c>
      <c r="D373" s="1662">
        <f>points703.2.6_1</f>
        <v>0</v>
      </c>
      <c r="E373" s="1476">
        <f>IF(choice703.2.6=C373,claim703.2.6,0)</f>
        <v>0</v>
      </c>
      <c r="F373" s="4489">
        <f>note703.2.6</f>
        <v>0</v>
      </c>
      <c r="G373" s="4490"/>
    </row>
    <row r="374" spans="3:7">
      <c r="C374" s="1724" t="s">
        <v>1789</v>
      </c>
      <c r="D374" s="1662">
        <f>points703.2.6_2</f>
        <v>0</v>
      </c>
      <c r="E374" s="1476">
        <f>IF(choice703.2.6=C374,claim703.2.6,0)</f>
        <v>0</v>
      </c>
      <c r="F374" s="4491"/>
      <c r="G374" s="4492"/>
    </row>
    <row r="375" spans="3:7">
      <c r="C375" s="1724" t="s">
        <v>1796</v>
      </c>
      <c r="D375" s="1662">
        <f>points703.2.6_3</f>
        <v>0</v>
      </c>
      <c r="E375" s="1476">
        <f>IF(choice703.2.6=C375,claim703.2.6,0)</f>
        <v>0</v>
      </c>
      <c r="F375" s="4491"/>
      <c r="G375" s="4492"/>
    </row>
    <row r="376" spans="3:7">
      <c r="C376" s="1724" t="s">
        <v>1797</v>
      </c>
      <c r="D376" s="1662">
        <f>points703.2.6_4</f>
        <v>0</v>
      </c>
      <c r="E376" s="1476">
        <f>IF(choice703.2.6=C376,claim703.2.6,0)</f>
        <v>0</v>
      </c>
      <c r="F376" s="4491"/>
      <c r="G376" s="4492"/>
    </row>
    <row r="377" spans="3:7" ht="16" thickBot="1">
      <c r="C377" s="1725" t="s">
        <v>1798</v>
      </c>
      <c r="D377" s="1666">
        <f>points703.2.6_5</f>
        <v>0</v>
      </c>
      <c r="E377" s="240">
        <f>IF(choice703.2.6=C377,claim703.2.6,0)</f>
        <v>0</v>
      </c>
      <c r="F377" s="4491"/>
      <c r="G377" s="4492"/>
    </row>
    <row r="378" spans="3:7" ht="20" customHeight="1" thickTop="1" thickBot="1">
      <c r="C378" s="1659" t="s">
        <v>2450</v>
      </c>
      <c r="D378" s="1664">
        <v>1</v>
      </c>
      <c r="E378" s="1665">
        <f>claim703.2.7</f>
        <v>0</v>
      </c>
      <c r="F378" s="4568">
        <f>note703.2.7</f>
        <v>0</v>
      </c>
      <c r="G378" s="4569"/>
    </row>
    <row r="379" spans="3:7" ht="30" customHeight="1" thickTop="1" thickBot="1">
      <c r="C379" s="1659" t="s">
        <v>2452</v>
      </c>
      <c r="D379" s="1664">
        <f>points703.2.8</f>
        <v>0</v>
      </c>
      <c r="E379" s="1665">
        <f>claim703.2.8</f>
        <v>0</v>
      </c>
      <c r="F379" s="4568">
        <f>note703.2.8</f>
        <v>0</v>
      </c>
      <c r="G379" s="4569"/>
    </row>
    <row r="380" spans="3:7" ht="30" customHeight="1" thickTop="1" thickBot="1">
      <c r="C380" s="1659" t="s">
        <v>2503</v>
      </c>
      <c r="D380" s="1664">
        <v>1</v>
      </c>
      <c r="E380" s="1665">
        <f>IF(startSingleorMulti="Multi-Unit",claim703.2.9,IF(AND(startSingleorMulti&lt;&gt;"",claim703.2.9=0),"N/A",claim703.2.9))</f>
        <v>0</v>
      </c>
      <c r="F380" s="4568">
        <f>note703.2.9</f>
        <v>0</v>
      </c>
      <c r="G380" s="4569"/>
    </row>
    <row r="381" spans="3:7" ht="16" thickTop="1">
      <c r="C381" s="263" t="s">
        <v>2453</v>
      </c>
      <c r="D381" s="264"/>
      <c r="E381" s="264"/>
      <c r="F381" s="4516"/>
      <c r="G381" s="4517"/>
    </row>
    <row r="382" spans="3:7" ht="16" thickBot="1">
      <c r="C382" s="287" t="s">
        <v>2454</v>
      </c>
      <c r="D382" s="252">
        <f>points703.3.1</f>
        <v>0</v>
      </c>
      <c r="E382" s="253">
        <f>claim703.3.1</f>
        <v>0</v>
      </c>
      <c r="F382" s="4526">
        <f>note703.3.1</f>
        <v>0</v>
      </c>
      <c r="G382" s="4527"/>
    </row>
    <row r="383" spans="3:7" ht="17" thickTop="1" thickBot="1">
      <c r="C383" s="287" t="s">
        <v>2455</v>
      </c>
      <c r="D383" s="252">
        <f>points703.3.2</f>
        <v>0</v>
      </c>
      <c r="E383" s="253">
        <f>claim703.3.2</f>
        <v>0</v>
      </c>
      <c r="F383" s="4526">
        <f>note703.3.2</f>
        <v>0</v>
      </c>
      <c r="G383" s="4527"/>
    </row>
    <row r="384" spans="3:7" ht="77" thickTop="1" thickBot="1">
      <c r="C384" s="287" t="s">
        <v>2456</v>
      </c>
      <c r="D384" s="252">
        <f>points703.3.3</f>
        <v>0</v>
      </c>
      <c r="E384" s="253">
        <f>claim703.3.3</f>
        <v>0</v>
      </c>
      <c r="F384" s="4526">
        <f>note703.3.3</f>
        <v>0</v>
      </c>
      <c r="G384" s="4527"/>
    </row>
    <row r="385" spans="3:7" ht="46" thickTop="1">
      <c r="C385" s="293" t="s">
        <v>2457</v>
      </c>
      <c r="D385" s="843"/>
      <c r="E385" s="840"/>
      <c r="F385" s="4528"/>
      <c r="G385" s="4529"/>
    </row>
    <row r="386" spans="3:7">
      <c r="C386" s="1724" t="s">
        <v>1815</v>
      </c>
      <c r="D386" s="1662">
        <f>points703.3.4_1</f>
        <v>0</v>
      </c>
      <c r="E386" s="1476">
        <f>IF(choice703.3.4="Entirely outside",claim703.3.4,0)</f>
        <v>0</v>
      </c>
      <c r="F386" s="4512">
        <f>note703.3.4</f>
        <v>0</v>
      </c>
      <c r="G386" s="4513"/>
    </row>
    <row r="387" spans="3:7">
      <c r="C387" s="1724" t="s">
        <v>1816</v>
      </c>
      <c r="D387" s="1662">
        <f>points703.3.4_2</f>
        <v>0</v>
      </c>
      <c r="E387" s="1476">
        <f>IF(choice703.3.4="Entirely inside",claim703.3.4,0)</f>
        <v>0</v>
      </c>
      <c r="F387" s="4512"/>
      <c r="G387" s="4513"/>
    </row>
    <row r="388" spans="3:7" ht="16" thickBot="1">
      <c r="C388" s="1725" t="s">
        <v>1817</v>
      </c>
      <c r="D388" s="1667">
        <f>points703.3.4_3</f>
        <v>0</v>
      </c>
      <c r="E388" s="253">
        <f>IF(choice703.3.4="Inside &amp; outside",claim703.3.4,0)</f>
        <v>0</v>
      </c>
      <c r="F388" s="4526"/>
      <c r="G388" s="4527"/>
    </row>
    <row r="389" spans="3:7" ht="16" thickTop="1">
      <c r="C389" s="245" t="s">
        <v>2458</v>
      </c>
      <c r="D389" s="246"/>
      <c r="E389" s="246"/>
      <c r="F389" s="4530"/>
      <c r="G389" s="4531"/>
    </row>
    <row r="390" spans="3:7" ht="30" customHeight="1">
      <c r="C390" s="4600" t="s">
        <v>2459</v>
      </c>
      <c r="D390" s="4486" t="s">
        <v>1825</v>
      </c>
      <c r="E390" s="1476">
        <f>claim703.4.1</f>
        <v>0</v>
      </c>
      <c r="F390" s="4564">
        <f>note703.4.1</f>
        <v>0</v>
      </c>
      <c r="G390" s="4565"/>
    </row>
    <row r="391" spans="3:7" ht="30" customHeight="1">
      <c r="C391" s="4536"/>
      <c r="D391" s="4487"/>
      <c r="E391" s="1476">
        <f>choice703.4.1step1</f>
        <v>0</v>
      </c>
      <c r="F391" s="4566"/>
      <c r="G391" s="4567"/>
    </row>
    <row r="392" spans="3:7" ht="30" customHeight="1" thickBot="1">
      <c r="C392" s="4537"/>
      <c r="D392" s="4503"/>
      <c r="E392" s="253">
        <f>choice703.4.1step2</f>
        <v>0</v>
      </c>
      <c r="F392" s="4594"/>
      <c r="G392" s="4595"/>
    </row>
    <row r="393" spans="3:7" ht="30" customHeight="1" thickTop="1">
      <c r="C393" s="1663" t="s">
        <v>2460</v>
      </c>
      <c r="D393" s="1668">
        <f>points703.4.2</f>
        <v>0</v>
      </c>
      <c r="E393" s="1516">
        <f>claim703.4.2</f>
        <v>0</v>
      </c>
      <c r="F393" s="4522">
        <f>note703.4.2</f>
        <v>0</v>
      </c>
      <c r="G393" s="4523"/>
    </row>
    <row r="394" spans="3:7">
      <c r="C394" s="297" t="s">
        <v>2504</v>
      </c>
      <c r="D394" s="1490">
        <v>2</v>
      </c>
      <c r="E394" s="1476">
        <f>IF(startSingleorMulti="Multi-Unit",claim703.4.3,IF(AND(startSingleorMulti&lt;&gt;"",claim703.4.3=0),"N/A",claim703.4.3))</f>
        <v>0</v>
      </c>
      <c r="F394" s="4512">
        <f>note703.4.3</f>
        <v>0</v>
      </c>
      <c r="G394" s="4513"/>
    </row>
    <row r="395" spans="3:7">
      <c r="C395" s="297" t="s">
        <v>2461</v>
      </c>
      <c r="D395" s="1490">
        <v>1</v>
      </c>
      <c r="E395" s="1476">
        <f>claim703.4.4</f>
        <v>0</v>
      </c>
      <c r="F395" s="4558">
        <f>note703.4.4</f>
        <v>0</v>
      </c>
      <c r="G395" s="4559"/>
    </row>
    <row r="396" spans="3:7" ht="45">
      <c r="C396" s="297" t="s">
        <v>2462</v>
      </c>
      <c r="D396" s="1565"/>
      <c r="E396" s="1565"/>
      <c r="F396" s="4554"/>
      <c r="G396" s="4555"/>
    </row>
    <row r="397" spans="3:7">
      <c r="C397" s="1724" t="s">
        <v>1972</v>
      </c>
      <c r="D397" s="1490">
        <f>points703.4.5_1</f>
        <v>0</v>
      </c>
      <c r="E397" s="1476">
        <f>IF(choice703.4.5=C397,claim703.4.5,0)</f>
        <v>0</v>
      </c>
      <c r="F397" s="4564">
        <f>note703.4.5</f>
        <v>0</v>
      </c>
      <c r="G397" s="4565"/>
    </row>
    <row r="398" spans="3:7">
      <c r="C398" s="1724" t="s">
        <v>1973</v>
      </c>
      <c r="D398" s="1490">
        <f>points703.4.5_2</f>
        <v>0</v>
      </c>
      <c r="E398" s="1476">
        <f>IF(choice703.4.5=C398,claim703.4.5,0)</f>
        <v>0</v>
      </c>
      <c r="F398" s="4566"/>
      <c r="G398" s="4567"/>
    </row>
    <row r="399" spans="3:7">
      <c r="C399" s="1724" t="s">
        <v>1974</v>
      </c>
      <c r="D399" s="1490">
        <f>points703.4.5_3</f>
        <v>0</v>
      </c>
      <c r="E399" s="1476">
        <f>IF(choice703.4.5=C399,claim703.4.5,0)</f>
        <v>0</v>
      </c>
      <c r="F399" s="4566"/>
      <c r="G399" s="4567"/>
    </row>
    <row r="400" spans="3:7">
      <c r="C400" s="1724" t="s">
        <v>1975</v>
      </c>
      <c r="D400" s="1490">
        <f>points703.4.5_4</f>
        <v>0</v>
      </c>
      <c r="E400" s="1476">
        <f>IF(choice703.4.5=C400,claim703.4.5,0)</f>
        <v>0</v>
      </c>
      <c r="F400" s="4566"/>
      <c r="G400" s="4567"/>
    </row>
    <row r="401" spans="3:7" ht="16" thickBot="1">
      <c r="C401" s="1726" t="s">
        <v>1971</v>
      </c>
      <c r="D401" s="1670">
        <f>points703.4.5_5</f>
        <v>0</v>
      </c>
      <c r="E401" s="240">
        <f>IF(choice703.4.5=C401,claim703.4.5,0)</f>
        <v>0</v>
      </c>
      <c r="F401" s="4566"/>
      <c r="G401" s="4567"/>
    </row>
    <row r="402" spans="3:7" ht="16" thickTop="1">
      <c r="C402" s="263" t="s">
        <v>2463</v>
      </c>
      <c r="D402" s="264"/>
      <c r="E402" s="264"/>
      <c r="F402" s="4516"/>
      <c r="G402" s="4517"/>
    </row>
    <row r="403" spans="3:7">
      <c r="C403" s="297" t="s">
        <v>2465</v>
      </c>
      <c r="D403" s="1669"/>
      <c r="E403" s="1669"/>
      <c r="F403" s="4518"/>
      <c r="G403" s="4519"/>
    </row>
    <row r="404" spans="3:7" ht="30" customHeight="1">
      <c r="C404" s="238" t="s">
        <v>2467</v>
      </c>
      <c r="D404" s="1490">
        <f>points703.5.1_1</f>
        <v>0</v>
      </c>
      <c r="E404" s="1476">
        <f>IF(choice703.5.1="75% as ENERGY STAR",claim703.5.1,0)</f>
        <v>0</v>
      </c>
      <c r="F404" s="4560">
        <f>note703.5.1</f>
        <v>0</v>
      </c>
      <c r="G404" s="4561"/>
    </row>
    <row r="405" spans="3:7" ht="30" customHeight="1">
      <c r="C405" s="238" t="s">
        <v>2468</v>
      </c>
      <c r="D405" s="1490">
        <f>points703.5.1_2</f>
        <v>0</v>
      </c>
      <c r="E405" s="1476">
        <f>IF(choice703.5.1="95% as ENERGY STAR",claim703.5.1,0)</f>
        <v>0</v>
      </c>
      <c r="F405" s="4562"/>
      <c r="G405" s="4563"/>
    </row>
    <row r="406" spans="3:7" ht="31" thickBot="1">
      <c r="C406" s="251" t="s">
        <v>2469</v>
      </c>
      <c r="D406" s="252">
        <v>1</v>
      </c>
      <c r="E406" s="253">
        <f>claim703.5.1_2</f>
        <v>0</v>
      </c>
      <c r="F406" s="4556">
        <f>note703.5.1_2</f>
        <v>0</v>
      </c>
      <c r="G406" s="4557"/>
    </row>
    <row r="407" spans="3:7" ht="30" customHeight="1" thickTop="1">
      <c r="C407" s="4535" t="s">
        <v>2470</v>
      </c>
      <c r="D407" s="4502">
        <v>2</v>
      </c>
      <c r="E407" s="1614">
        <f>claim703.5.2</f>
        <v>0</v>
      </c>
      <c r="F407" s="4504">
        <f>note703.5.2</f>
        <v>0</v>
      </c>
      <c r="G407" s="4505"/>
    </row>
    <row r="408" spans="3:7" ht="63" customHeight="1">
      <c r="C408" s="4536"/>
      <c r="D408" s="4487"/>
      <c r="E408" s="1476">
        <f>IF(enterRecessedLights&lt;&gt;"",CONCATENATE(enterRecessedLights," recessed lights penetrating thermal envelope"),0)</f>
        <v>0</v>
      </c>
      <c r="F408" s="4491"/>
      <c r="G408" s="4492"/>
    </row>
    <row r="409" spans="3:7" ht="30" customHeight="1" thickBot="1">
      <c r="C409" s="4537"/>
      <c r="D409" s="4503"/>
      <c r="E409" s="253" t="str">
        <f>CONCATENATE(startTotalFloorArea," s.f. total floor area")</f>
        <v xml:space="preserve"> s.f. total floor area</v>
      </c>
      <c r="F409" s="4506"/>
      <c r="G409" s="4507"/>
    </row>
    <row r="410" spans="3:7" ht="16" thickTop="1">
      <c r="C410" s="293" t="s">
        <v>2471</v>
      </c>
      <c r="D410" s="843"/>
      <c r="E410" s="840"/>
      <c r="F410" s="4516"/>
      <c r="G410" s="4517"/>
    </row>
    <row r="411" spans="3:7">
      <c r="C411" s="238" t="s">
        <v>1867</v>
      </c>
      <c r="D411" s="1490">
        <f>points703.5.3_1</f>
        <v>0</v>
      </c>
      <c r="E411" s="1476">
        <f>claim703.5.3_1</f>
        <v>0</v>
      </c>
      <c r="F411" s="4512">
        <f>note703.5.3_1</f>
        <v>0</v>
      </c>
      <c r="G411" s="4513"/>
    </row>
    <row r="412" spans="3:7">
      <c r="C412" s="238" t="s">
        <v>1868</v>
      </c>
      <c r="D412" s="1490">
        <v>1</v>
      </c>
      <c r="E412" s="1476">
        <f>claim703.5.3_2</f>
        <v>0</v>
      </c>
      <c r="F412" s="4512">
        <f>note703.5.3_2</f>
        <v>0</v>
      </c>
      <c r="G412" s="4513"/>
    </row>
    <row r="413" spans="3:7" ht="16" thickBot="1">
      <c r="C413" s="251" t="s">
        <v>1869</v>
      </c>
      <c r="D413" s="252">
        <v>4</v>
      </c>
      <c r="E413" s="253">
        <f>claim703.5.3_3</f>
        <v>0</v>
      </c>
      <c r="F413" s="4526">
        <f>note703.5.3_3</f>
        <v>0</v>
      </c>
      <c r="G413" s="4527"/>
    </row>
    <row r="414" spans="3:7" ht="16" thickTop="1">
      <c r="C414" s="1663" t="s">
        <v>2472</v>
      </c>
      <c r="D414" s="1688">
        <v>1</v>
      </c>
      <c r="E414" s="269">
        <f>claim703.5.4</f>
        <v>0</v>
      </c>
      <c r="F414" s="4493">
        <f>note703.5.4</f>
        <v>0</v>
      </c>
      <c r="G414" s="4494"/>
    </row>
    <row r="415" spans="3:7">
      <c r="C415" s="243" t="s">
        <v>2473</v>
      </c>
      <c r="D415" s="1628"/>
      <c r="E415" s="842"/>
      <c r="F415" s="4518"/>
      <c r="G415" s="4519"/>
    </row>
    <row r="416" spans="3:7" ht="30">
      <c r="C416" s="297" t="s">
        <v>2474</v>
      </c>
      <c r="D416" s="1490">
        <f>IF(points703.6.1=0,"0",points703.6.1)</f>
        <v>5</v>
      </c>
      <c r="E416" s="1476">
        <f>IF(claim703.6.1="0","0",claim703.6.1)</f>
        <v>0</v>
      </c>
      <c r="F416" s="4512">
        <f>note703.6.1</f>
        <v>0</v>
      </c>
      <c r="G416" s="4513"/>
    </row>
    <row r="417" spans="3:7" ht="16" thickBot="1">
      <c r="C417" s="1696" t="s">
        <v>2475</v>
      </c>
      <c r="D417" s="1686">
        <v>1</v>
      </c>
      <c r="E417" s="240">
        <f>claim703.6.2</f>
        <v>0</v>
      </c>
      <c r="F417" s="4538">
        <f>note703.6.2</f>
        <v>0</v>
      </c>
      <c r="G417" s="4539"/>
    </row>
    <row r="418" spans="3:7" ht="31" thickTop="1">
      <c r="C418" s="293" t="s">
        <v>2476</v>
      </c>
      <c r="D418" s="843"/>
      <c r="E418" s="840"/>
      <c r="F418" s="4516"/>
      <c r="G418" s="4517"/>
    </row>
    <row r="419" spans="3:7" ht="105">
      <c r="C419" s="238" t="s">
        <v>1878</v>
      </c>
      <c r="D419" s="1490">
        <f>points703.5.3_1</f>
        <v>0</v>
      </c>
      <c r="E419" s="1476">
        <f>claim703.6.3_1</f>
        <v>0</v>
      </c>
      <c r="F419" s="4489">
        <f>note703.6.3</f>
        <v>0</v>
      </c>
      <c r="G419" s="4490"/>
    </row>
    <row r="420" spans="3:7" ht="37.5" customHeight="1">
      <c r="C420" s="238" t="s">
        <v>2477</v>
      </c>
      <c r="D420" s="1490">
        <v>1</v>
      </c>
      <c r="E420" s="1476">
        <f>claim703.6.3_2</f>
        <v>0</v>
      </c>
      <c r="F420" s="4491"/>
      <c r="G420" s="4492"/>
    </row>
    <row r="421" spans="3:7">
      <c r="C421" s="238" t="s">
        <v>383</v>
      </c>
      <c r="D421" s="1490">
        <v>1</v>
      </c>
      <c r="E421" s="1476">
        <f>claim703.6.3_3</f>
        <v>0</v>
      </c>
      <c r="F421" s="4491"/>
      <c r="G421" s="4492"/>
    </row>
    <row r="422" spans="3:7" ht="30">
      <c r="C422" s="238" t="s">
        <v>384</v>
      </c>
      <c r="D422" s="1490">
        <f>points703.5.3_1</f>
        <v>0</v>
      </c>
      <c r="E422" s="1476">
        <f>claim703.6.3_4</f>
        <v>0</v>
      </c>
      <c r="F422" s="4491"/>
      <c r="G422" s="4492"/>
    </row>
    <row r="423" spans="3:7" ht="105">
      <c r="C423" s="238" t="s">
        <v>2478</v>
      </c>
      <c r="D423" s="1490">
        <v>1</v>
      </c>
      <c r="E423" s="1476">
        <f>claim703.6.3_5</f>
        <v>0</v>
      </c>
      <c r="F423" s="4491"/>
      <c r="G423" s="4492"/>
    </row>
    <row r="424" spans="3:7" ht="31" thickBot="1">
      <c r="C424" s="251" t="s">
        <v>1882</v>
      </c>
      <c r="D424" s="252">
        <v>1</v>
      </c>
      <c r="E424" s="253">
        <f>claim703.6.3_6</f>
        <v>0</v>
      </c>
      <c r="F424" s="4506"/>
      <c r="G424" s="4507"/>
    </row>
    <row r="425" spans="3:7" ht="31" thickTop="1">
      <c r="C425" s="1696" t="s">
        <v>2479</v>
      </c>
      <c r="D425" s="1686" t="str">
        <f>IF(points703.6.4=0,"0",points703.6.4)</f>
        <v>0</v>
      </c>
      <c r="E425" s="240">
        <f>IF(claim703.6.4="0","0",claim703.6.4)</f>
        <v>0</v>
      </c>
      <c r="F425" s="4489">
        <f>note703.6.4</f>
        <v>0</v>
      </c>
      <c r="G425" s="4490"/>
    </row>
    <row r="426" spans="3:7">
      <c r="C426" s="4532" t="s">
        <v>629</v>
      </c>
      <c r="D426" s="4533"/>
      <c r="E426" s="4533"/>
      <c r="F426" s="4533"/>
      <c r="G426" s="4534"/>
    </row>
    <row r="427" spans="3:7">
      <c r="C427" s="1672" t="s">
        <v>2481</v>
      </c>
      <c r="D427" s="1671"/>
      <c r="E427" s="1671"/>
      <c r="F427" s="4524"/>
      <c r="G427" s="4525"/>
    </row>
    <row r="428" spans="3:7" ht="30">
      <c r="C428" s="1663" t="s">
        <v>2480</v>
      </c>
      <c r="D428" s="1618"/>
      <c r="E428" s="1619"/>
      <c r="F428" s="4518"/>
      <c r="G428" s="4519"/>
    </row>
    <row r="429" spans="3:7">
      <c r="C429" s="1699" t="s">
        <v>380</v>
      </c>
      <c r="D429" s="1688">
        <v>1</v>
      </c>
      <c r="E429" s="269">
        <f>IF(claim704.2.1=D429,claim704.2.1,0)</f>
        <v>0</v>
      </c>
      <c r="F429" s="4489">
        <f>note704.2.1</f>
        <v>0</v>
      </c>
      <c r="G429" s="4490"/>
    </row>
    <row r="430" spans="3:7">
      <c r="C430" s="1699" t="s">
        <v>381</v>
      </c>
      <c r="D430" s="1688">
        <v>2</v>
      </c>
      <c r="E430" s="269">
        <f>IF(claim704.2.1=D430,claim704.2.1,0)</f>
        <v>0</v>
      </c>
      <c r="F430" s="4493"/>
      <c r="G430" s="4494"/>
    </row>
    <row r="431" spans="3:7" ht="30">
      <c r="C431" s="297" t="s">
        <v>2482</v>
      </c>
      <c r="D431" s="1490">
        <v>2</v>
      </c>
      <c r="E431" s="1476">
        <f>claim704.2.2</f>
        <v>0</v>
      </c>
      <c r="F431" s="4512">
        <f>note704.2.2</f>
        <v>0</v>
      </c>
      <c r="G431" s="4513"/>
    </row>
    <row r="432" spans="3:7" ht="31" thickBot="1">
      <c r="C432" s="297" t="s">
        <v>630</v>
      </c>
      <c r="D432" s="1513">
        <v>1</v>
      </c>
      <c r="E432" s="1593">
        <f>claim704.2.3</f>
        <v>0</v>
      </c>
      <c r="F432" s="4512">
        <f>note704.2.3</f>
        <v>0</v>
      </c>
      <c r="G432" s="4513"/>
    </row>
    <row r="433" spans="3:7" ht="32" thickTop="1" thickBot="1">
      <c r="C433" s="263" t="s">
        <v>2483</v>
      </c>
      <c r="D433" s="1591">
        <v>5</v>
      </c>
      <c r="E433" s="1592">
        <f>claim704.3</f>
        <v>0</v>
      </c>
      <c r="F433" s="4522">
        <f>note704.3</f>
        <v>0</v>
      </c>
      <c r="G433" s="4523"/>
    </row>
    <row r="434" spans="3:7" ht="16" thickTop="1">
      <c r="C434" s="263" t="s">
        <v>2485</v>
      </c>
      <c r="D434" s="264"/>
      <c r="E434" s="264"/>
      <c r="F434" s="4516"/>
      <c r="G434" s="4517"/>
    </row>
    <row r="435" spans="3:7" ht="60">
      <c r="C435" s="297" t="s">
        <v>2486</v>
      </c>
      <c r="D435" s="1490">
        <v>1</v>
      </c>
      <c r="E435" s="1476">
        <f>claim704.4.1</f>
        <v>0</v>
      </c>
      <c r="F435" s="4512">
        <f>note704.4.1</f>
        <v>0</v>
      </c>
      <c r="G435" s="4513"/>
    </row>
    <row r="436" spans="3:7" ht="110.25" customHeight="1">
      <c r="C436" s="297" t="s">
        <v>3002</v>
      </c>
      <c r="D436" s="1490">
        <v>3</v>
      </c>
      <c r="E436" s="1476">
        <f>claim704.4.2</f>
        <v>0</v>
      </c>
      <c r="F436" s="4512">
        <f>note704.4.2</f>
        <v>0</v>
      </c>
      <c r="G436" s="4513"/>
    </row>
    <row r="437" spans="3:7" ht="46" thickBot="1">
      <c r="C437" s="297" t="s">
        <v>3003</v>
      </c>
      <c r="D437" s="1490">
        <v>4</v>
      </c>
      <c r="E437" s="1476">
        <f>claim704.4.3</f>
        <v>0</v>
      </c>
      <c r="F437" s="4512">
        <f>note704.4.3</f>
        <v>0</v>
      </c>
      <c r="G437" s="4513"/>
    </row>
    <row r="438" spans="3:7" ht="16" thickTop="1">
      <c r="C438" s="263" t="s">
        <v>2487</v>
      </c>
      <c r="D438" s="264"/>
      <c r="E438" s="264"/>
      <c r="F438" s="4516"/>
      <c r="G438" s="4517"/>
    </row>
    <row r="439" spans="3:7" ht="147" customHeight="1">
      <c r="C439" s="297" t="s">
        <v>2488</v>
      </c>
      <c r="D439" s="1490">
        <v>5</v>
      </c>
      <c r="E439" s="1476">
        <f>claim704.5.1</f>
        <v>0</v>
      </c>
      <c r="F439" s="4512">
        <f>note704.5.1</f>
        <v>0</v>
      </c>
      <c r="G439" s="4513"/>
    </row>
    <row r="440" spans="3:7" ht="30" customHeight="1">
      <c r="C440" s="297" t="s">
        <v>2489</v>
      </c>
      <c r="D440" s="1560"/>
      <c r="E440" s="1491"/>
      <c r="F440" s="4518"/>
      <c r="G440" s="4519"/>
    </row>
    <row r="441" spans="3:7">
      <c r="C441" s="238" t="s">
        <v>2490</v>
      </c>
      <c r="D441" s="1560"/>
      <c r="E441" s="1491"/>
      <c r="F441" s="1689"/>
      <c r="G441" s="1694"/>
    </row>
    <row r="442" spans="3:7" ht="30" customHeight="1">
      <c r="C442" s="4508" t="s">
        <v>1926</v>
      </c>
      <c r="D442" s="4510">
        <v>5</v>
      </c>
      <c r="E442" s="1504">
        <f>claim704.5.2.1_1</f>
        <v>0</v>
      </c>
      <c r="F442" s="4489">
        <f>note704.5.2.1_1</f>
        <v>0</v>
      </c>
      <c r="G442" s="4490"/>
    </row>
    <row r="443" spans="3:7" ht="30" customHeight="1">
      <c r="C443" s="4509"/>
      <c r="D443" s="4511"/>
      <c r="E443" s="1680">
        <f>IF(ch7blowerdoor&gt;0,CONCATENATE(ch7blowerdoor," expected ACH50 result"),0)</f>
        <v>0</v>
      </c>
      <c r="F443" s="4493"/>
      <c r="G443" s="4494"/>
    </row>
    <row r="444" spans="3:7" ht="30" customHeight="1">
      <c r="C444" s="248" t="s">
        <v>1927</v>
      </c>
      <c r="D444" s="1513">
        <v>5</v>
      </c>
      <c r="E444" s="1504">
        <f>claim704.5.2.1_2</f>
        <v>0</v>
      </c>
      <c r="F444" s="4512">
        <f>note704.5.2.1_2</f>
        <v>0</v>
      </c>
      <c r="G444" s="4513"/>
    </row>
    <row r="445" spans="3:7" ht="75">
      <c r="C445" s="238" t="s">
        <v>2492</v>
      </c>
      <c r="D445" s="1513">
        <v>8</v>
      </c>
      <c r="E445" s="1504">
        <f>claim704.5.2.2</f>
        <v>0</v>
      </c>
      <c r="F445" s="4512">
        <f>note704.5.2.2</f>
        <v>0</v>
      </c>
      <c r="G445" s="4513"/>
    </row>
    <row r="446" spans="3:7" ht="156" customHeight="1" thickBot="1">
      <c r="C446" s="297" t="s">
        <v>2491</v>
      </c>
      <c r="D446" s="1490">
        <v>1</v>
      </c>
      <c r="E446" s="1476">
        <f>claim704.5.3</f>
        <v>0</v>
      </c>
      <c r="F446" s="4520">
        <f>note704.5.3</f>
        <v>0</v>
      </c>
      <c r="G446" s="4521"/>
    </row>
    <row r="447" spans="3:7" ht="16" thickBot="1">
      <c r="C447" s="4547" t="s">
        <v>631</v>
      </c>
      <c r="D447" s="4548"/>
      <c r="E447" s="4548"/>
      <c r="F447" s="4548"/>
      <c r="G447" s="4549"/>
    </row>
    <row r="448" spans="3:7" ht="30">
      <c r="C448" s="245" t="s">
        <v>2493</v>
      </c>
      <c r="D448" s="301" t="s">
        <v>606</v>
      </c>
      <c r="E448" s="302">
        <f>claim705.1</f>
        <v>0</v>
      </c>
      <c r="F448" s="4514">
        <f>note705.1</f>
        <v>0</v>
      </c>
      <c r="G448" s="4515"/>
    </row>
    <row r="449" spans="3:11">
      <c r="C449" s="300" t="s">
        <v>632</v>
      </c>
      <c r="D449" s="1490">
        <v>1</v>
      </c>
      <c r="E449" s="1567">
        <f>claim705.1_1</f>
        <v>0</v>
      </c>
      <c r="F449" s="4491"/>
      <c r="G449" s="4492"/>
    </row>
    <row r="450" spans="3:11">
      <c r="C450" s="300" t="s">
        <v>633</v>
      </c>
      <c r="D450" s="1490">
        <v>2</v>
      </c>
      <c r="E450" s="1567">
        <f>claim705.1_2</f>
        <v>0</v>
      </c>
      <c r="F450" s="4491"/>
      <c r="G450" s="4492"/>
    </row>
    <row r="451" spans="3:11" ht="16" thickBot="1">
      <c r="C451" s="303" t="s">
        <v>634</v>
      </c>
      <c r="D451" s="252">
        <v>4</v>
      </c>
      <c r="E451" s="304">
        <f>claim705.1_3</f>
        <v>0</v>
      </c>
      <c r="F451" s="4506"/>
      <c r="G451" s="4507"/>
    </row>
    <row r="452" spans="3:11" ht="16" thickTop="1">
      <c r="C452" s="263" t="s">
        <v>635</v>
      </c>
      <c r="D452" s="264"/>
      <c r="E452" s="264"/>
      <c r="F452" s="4516"/>
      <c r="G452" s="4517"/>
    </row>
    <row r="453" spans="3:11" ht="30">
      <c r="C453" s="238" t="s">
        <v>636</v>
      </c>
      <c r="D453" s="1490">
        <v>2</v>
      </c>
      <c r="E453" s="1476">
        <f>claim705.2_1</f>
        <v>0</v>
      </c>
      <c r="F453" s="4512">
        <f>note705.2_1</f>
        <v>0</v>
      </c>
      <c r="G453" s="4513"/>
    </row>
    <row r="454" spans="3:11">
      <c r="C454" s="238" t="s">
        <v>637</v>
      </c>
      <c r="D454" s="1560"/>
      <c r="E454" s="1491"/>
      <c r="F454" s="4518"/>
      <c r="G454" s="4519"/>
    </row>
    <row r="455" spans="3:11">
      <c r="C455" s="248" t="s">
        <v>2505</v>
      </c>
      <c r="D455" s="1490">
        <v>5</v>
      </c>
      <c r="E455" s="1476">
        <f>IF(claim705.2_2=D455,claim705.2_2,0)</f>
        <v>0</v>
      </c>
      <c r="F455" s="4489">
        <f>note705.2_2</f>
        <v>0</v>
      </c>
      <c r="G455" s="4490"/>
    </row>
    <row r="456" spans="3:11" ht="26.25" customHeight="1" thickBot="1">
      <c r="C456" s="292" t="s">
        <v>2506</v>
      </c>
      <c r="D456" s="252">
        <v>1</v>
      </c>
      <c r="E456" s="253">
        <f>IF(claim705.2_2=D456,claim705.2_2,0)</f>
        <v>0</v>
      </c>
      <c r="F456" s="4506"/>
      <c r="G456" s="4507"/>
    </row>
    <row r="457" spans="3:11" ht="26.25" customHeight="1" thickTop="1">
      <c r="C457" s="241" t="s">
        <v>2494</v>
      </c>
      <c r="D457" s="4502" t="s">
        <v>1945</v>
      </c>
      <c r="E457" s="1614">
        <f>claim705.3</f>
        <v>0</v>
      </c>
      <c r="F457" s="4504">
        <f>note705.3</f>
        <v>0</v>
      </c>
      <c r="G457" s="4505"/>
    </row>
    <row r="458" spans="3:11" ht="15" customHeight="1">
      <c r="C458" s="297" t="s">
        <v>1867</v>
      </c>
      <c r="D458" s="4487"/>
      <c r="E458" s="1544">
        <f>choice705.3_1</f>
        <v>0</v>
      </c>
      <c r="F458" s="4491"/>
      <c r="G458" s="4492"/>
      <c r="H458" s="1594"/>
      <c r="I458" s="1594"/>
      <c r="J458" s="1594"/>
      <c r="K458" s="1594"/>
    </row>
    <row r="459" spans="3:11" ht="15" customHeight="1">
      <c r="C459" s="297" t="s">
        <v>1946</v>
      </c>
      <c r="D459" s="4487"/>
      <c r="E459" s="1544">
        <f>choice705.3_2</f>
        <v>0</v>
      </c>
      <c r="F459" s="4491"/>
      <c r="G459" s="4492"/>
      <c r="H459" s="1594"/>
      <c r="I459" s="1594"/>
      <c r="J459" s="1594"/>
      <c r="K459" s="1594"/>
    </row>
    <row r="460" spans="3:11" ht="15" customHeight="1">
      <c r="C460" s="297" t="s">
        <v>1868</v>
      </c>
      <c r="D460" s="4487"/>
      <c r="E460" s="1544">
        <f>choice705.3_3</f>
        <v>0</v>
      </c>
      <c r="F460" s="4491"/>
      <c r="G460" s="4492"/>
      <c r="H460" s="1594"/>
      <c r="I460" s="1594"/>
      <c r="J460" s="1594"/>
      <c r="K460" s="1594"/>
    </row>
    <row r="461" spans="3:11" ht="15" customHeight="1">
      <c r="C461" s="297" t="s">
        <v>1947</v>
      </c>
      <c r="D461" s="4487"/>
      <c r="E461" s="1544">
        <f>choice705.3_4</f>
        <v>0</v>
      </c>
      <c r="F461" s="4491"/>
      <c r="G461" s="4492"/>
      <c r="H461" s="1594"/>
      <c r="I461" s="1594"/>
      <c r="J461" s="1594"/>
      <c r="K461" s="1594"/>
    </row>
    <row r="462" spans="3:11" ht="15" customHeight="1">
      <c r="C462" s="297" t="s">
        <v>1948</v>
      </c>
      <c r="D462" s="4487"/>
      <c r="E462" s="1544">
        <f>choice705.3_5</f>
        <v>0</v>
      </c>
      <c r="F462" s="4491"/>
      <c r="G462" s="4492"/>
      <c r="H462" s="1594"/>
      <c r="I462" s="1594"/>
      <c r="J462" s="1594"/>
      <c r="K462" s="1594"/>
    </row>
    <row r="463" spans="3:11" ht="15" customHeight="1">
      <c r="C463" s="297" t="s">
        <v>1949</v>
      </c>
      <c r="D463" s="4487"/>
      <c r="E463" s="1544">
        <f>choice705.3_6</f>
        <v>0</v>
      </c>
      <c r="F463" s="4491"/>
      <c r="G463" s="4492"/>
      <c r="H463" s="1594"/>
      <c r="I463" s="1594"/>
      <c r="J463" s="1594"/>
      <c r="K463" s="1594"/>
    </row>
    <row r="464" spans="3:11" ht="15" customHeight="1">
      <c r="C464" s="297" t="s">
        <v>128</v>
      </c>
      <c r="D464" s="4487"/>
      <c r="E464" s="1544">
        <f>choice705.3_7</f>
        <v>0</v>
      </c>
      <c r="F464" s="4491"/>
      <c r="G464" s="4492"/>
      <c r="H464" s="1594"/>
      <c r="I464" s="1594"/>
      <c r="J464" s="1594"/>
      <c r="K464" s="1594"/>
    </row>
    <row r="465" spans="3:11" ht="15" customHeight="1" thickBot="1">
      <c r="C465" s="287" t="s">
        <v>1950</v>
      </c>
      <c r="D465" s="4503"/>
      <c r="E465" s="1681">
        <f>choice705.3_8</f>
        <v>0</v>
      </c>
      <c r="F465" s="4506"/>
      <c r="G465" s="4507"/>
      <c r="H465" s="1594"/>
      <c r="I465" s="1594"/>
      <c r="J465" s="1594"/>
      <c r="K465" s="1594"/>
    </row>
    <row r="466" spans="3:11" ht="15" customHeight="1" thickTop="1">
      <c r="C466" s="241" t="s">
        <v>2495</v>
      </c>
      <c r="D466" s="843"/>
      <c r="E466" s="1683"/>
      <c r="F466" s="4495"/>
      <c r="G466" s="4496"/>
      <c r="H466" s="1594"/>
      <c r="I466" s="1594"/>
      <c r="J466" s="1594"/>
      <c r="K466" s="1594"/>
    </row>
    <row r="467" spans="3:11" ht="15" customHeight="1">
      <c r="C467" s="297" t="s">
        <v>2496</v>
      </c>
      <c r="D467" s="1560"/>
      <c r="E467" s="1684"/>
      <c r="F467" s="4497"/>
      <c r="G467" s="4498"/>
      <c r="H467" s="1594"/>
      <c r="I467" s="1594"/>
      <c r="J467" s="1594"/>
      <c r="K467" s="1594"/>
    </row>
    <row r="468" spans="3:11" ht="15" customHeight="1">
      <c r="C468" s="238" t="s">
        <v>2497</v>
      </c>
      <c r="D468" s="1490">
        <v>1</v>
      </c>
      <c r="E468" s="1544">
        <f>claim705.4.1_1</f>
        <v>0</v>
      </c>
      <c r="F468" s="4489">
        <f>note705.4.1</f>
        <v>0</v>
      </c>
      <c r="G468" s="4490"/>
      <c r="H468" s="1594"/>
      <c r="I468" s="1594"/>
      <c r="J468" s="1594"/>
      <c r="K468" s="1594"/>
    </row>
    <row r="469" spans="3:11" ht="30" customHeight="1">
      <c r="C469" s="238" t="s">
        <v>2498</v>
      </c>
      <c r="D469" s="1490">
        <v>3</v>
      </c>
      <c r="E469" s="1544">
        <f>claim705.4.1_2</f>
        <v>0</v>
      </c>
      <c r="F469" s="4493"/>
      <c r="G469" s="4494"/>
      <c r="H469" s="1594"/>
      <c r="I469" s="1594"/>
      <c r="J469" s="1594"/>
      <c r="K469" s="1594"/>
    </row>
    <row r="470" spans="3:11" ht="30">
      <c r="C470" s="297" t="s">
        <v>2499</v>
      </c>
      <c r="D470" s="1490">
        <v>1</v>
      </c>
      <c r="E470" s="1544">
        <f>claim705.4.2</f>
        <v>0</v>
      </c>
      <c r="F470" s="4499">
        <f>note705.4.2</f>
        <v>0</v>
      </c>
      <c r="G470" s="4500"/>
      <c r="H470" s="1594"/>
      <c r="I470" s="1594"/>
      <c r="J470" s="1594"/>
      <c r="K470" s="1594"/>
    </row>
    <row r="471" spans="3:11" ht="20" customHeight="1">
      <c r="C471" s="4483" t="s">
        <v>2500</v>
      </c>
      <c r="D471" s="4486" t="s">
        <v>1978</v>
      </c>
      <c r="E471" s="1544">
        <f>claim705.5</f>
        <v>0</v>
      </c>
      <c r="F471" s="4489">
        <f>note705.5</f>
        <v>0</v>
      </c>
      <c r="G471" s="4490"/>
      <c r="H471" s="1594"/>
      <c r="I471" s="1594"/>
      <c r="J471" s="1594"/>
      <c r="K471" s="1594"/>
    </row>
    <row r="472" spans="3:11" ht="39.75" customHeight="1">
      <c r="C472" s="4484"/>
      <c r="D472" s="4487"/>
      <c r="E472" s="1682">
        <f>IF(enter705.5&gt;0,CONCATENATE(enter705.5," watts of renewable energy"),0)</f>
        <v>0</v>
      </c>
      <c r="F472" s="4491"/>
      <c r="G472" s="4492"/>
      <c r="H472" s="1594"/>
      <c r="I472" s="1594"/>
      <c r="J472" s="1594"/>
      <c r="K472" s="1594"/>
    </row>
    <row r="473" spans="3:11" ht="35.25" customHeight="1">
      <c r="C473" s="4485"/>
      <c r="D473" s="4488"/>
      <c r="E473" s="1682">
        <f>IF(startTotalFloorArea&gt;0,CONCATENATE(startTotalFloorArea," s.f. total floor area"),0)</f>
        <v>0</v>
      </c>
      <c r="F473" s="4493"/>
      <c r="G473" s="4494"/>
      <c r="H473" s="1594"/>
      <c r="I473" s="1594"/>
      <c r="J473" s="1594"/>
      <c r="K473" s="1594"/>
    </row>
    <row r="474" spans="3:11" ht="30">
      <c r="C474" s="1509" t="s">
        <v>2501</v>
      </c>
      <c r="D474" s="1686">
        <v>2</v>
      </c>
      <c r="E474" s="1682">
        <f>claim705.6</f>
        <v>0</v>
      </c>
      <c r="F474" s="4501">
        <f>note705.6</f>
        <v>0</v>
      </c>
      <c r="G474" s="4500"/>
      <c r="H474" s="1594"/>
      <c r="I474" s="1594"/>
      <c r="J474" s="1594"/>
      <c r="K474" s="1594"/>
    </row>
    <row r="475" spans="3:11" ht="52.5" customHeight="1">
      <c r="C475" s="2857" t="s">
        <v>3129</v>
      </c>
      <c r="D475" s="2846">
        <v>2</v>
      </c>
      <c r="E475" s="2856">
        <f>claim705.7</f>
        <v>0</v>
      </c>
      <c r="F475" s="2855">
        <f>note705.7</f>
        <v>0</v>
      </c>
      <c r="G475" s="2845"/>
      <c r="H475" s="2842"/>
      <c r="I475" s="2842"/>
      <c r="J475" s="2842"/>
      <c r="K475" s="2842"/>
    </row>
    <row r="476" spans="3:11">
      <c r="C476" s="4664"/>
      <c r="D476" s="4665"/>
      <c r="E476" s="4665"/>
      <c r="F476" s="4665"/>
      <c r="G476" s="4666"/>
    </row>
    <row r="477" spans="3:11">
      <c r="C477" s="4532" t="s">
        <v>638</v>
      </c>
      <c r="D477" s="4533"/>
      <c r="E477" s="4533"/>
      <c r="F477" s="4533"/>
      <c r="G477" s="4534"/>
    </row>
    <row r="478" spans="3:11">
      <c r="C478" s="4532" t="s">
        <v>639</v>
      </c>
      <c r="D478" s="4533"/>
      <c r="E478" s="4533"/>
      <c r="F478" s="4533"/>
      <c r="G478" s="4534"/>
    </row>
    <row r="479" spans="3:11">
      <c r="C479" s="305" t="s">
        <v>640</v>
      </c>
      <c r="D479" s="306"/>
      <c r="E479" s="306"/>
      <c r="F479" s="4530"/>
      <c r="G479" s="4531"/>
    </row>
    <row r="480" spans="3:11" ht="156" customHeight="1">
      <c r="C480" s="238" t="s">
        <v>2302</v>
      </c>
      <c r="D480" s="1568"/>
      <c r="E480" s="1568"/>
      <c r="F480" s="4554"/>
      <c r="G480" s="4555"/>
    </row>
    <row r="481" spans="3:7" ht="30">
      <c r="C481" s="1307" t="s">
        <v>2190</v>
      </c>
      <c r="D481" s="1532">
        <v>11</v>
      </c>
      <c r="E481" s="1476" t="str">
        <f>IF(choice801.1.1_1thru4a=dd801.1.1_opt1,claim801.1.1_1thru4a,"")</f>
        <v/>
      </c>
      <c r="F481" s="4489">
        <f>note801.1.1_1thru4a</f>
        <v>0</v>
      </c>
      <c r="G481" s="4490"/>
    </row>
    <row r="482" spans="3:7" ht="30">
      <c r="C482" s="1307" t="s">
        <v>2191</v>
      </c>
      <c r="D482" s="1532">
        <v>17</v>
      </c>
      <c r="E482" s="1519" t="str">
        <f>IF(choice801.1.1_1thru4a=dd801.1.1_opt2,claim801.1.1_1thru4a,"")</f>
        <v/>
      </c>
      <c r="F482" s="4491"/>
      <c r="G482" s="4492"/>
    </row>
    <row r="483" spans="3:7" ht="30">
      <c r="C483" s="1518" t="s">
        <v>2192</v>
      </c>
      <c r="D483" s="1532">
        <v>29</v>
      </c>
      <c r="E483" s="1520" t="str">
        <f>IF(choice801.1.1_1thru4a=dd801.1.1_opt3,claim801.1.1_1thru4a,"")</f>
        <v/>
      </c>
      <c r="F483" s="4491"/>
      <c r="G483" s="4492"/>
    </row>
    <row r="484" spans="3:7" ht="45">
      <c r="C484" s="1307" t="s">
        <v>2193</v>
      </c>
      <c r="D484" s="1532">
        <v>35</v>
      </c>
      <c r="E484" s="1476" t="str">
        <f>IF(choice801.1.1_1thru4a=dd801.1.1_opt4,claim801.1.1_1thru4a,"")</f>
        <v/>
      </c>
      <c r="F484" s="4491"/>
      <c r="G484" s="4492"/>
    </row>
    <row r="485" spans="3:7" ht="30">
      <c r="C485" s="1697" t="s">
        <v>2194</v>
      </c>
      <c r="D485" s="256">
        <v>39</v>
      </c>
      <c r="E485" s="1477" t="str">
        <f>IF(choice801.1.1_1thru4a=dd801.1.1_opt5,claim801.1.1_1thru4a,"")</f>
        <v/>
      </c>
      <c r="F485" s="4491"/>
      <c r="G485" s="4492"/>
    </row>
    <row r="486" spans="3:7" ht="60">
      <c r="C486" s="1698" t="s">
        <v>2131</v>
      </c>
      <c r="D486" s="1692">
        <v>9</v>
      </c>
      <c r="E486" s="1521">
        <f>claim801.1.1_5</f>
        <v>0</v>
      </c>
      <c r="F486" s="4489">
        <f>note801.1.1_5</f>
        <v>0</v>
      </c>
      <c r="G486" s="4490"/>
    </row>
    <row r="487" spans="3:7" ht="46" thickBot="1">
      <c r="C487" s="251" t="s">
        <v>2132</v>
      </c>
      <c r="D487" s="1478">
        <v>4</v>
      </c>
      <c r="E487" s="1522">
        <f>claim801.1.1_6</f>
        <v>0</v>
      </c>
      <c r="F487" s="4526">
        <f>note801.1.1_6</f>
        <v>0</v>
      </c>
      <c r="G487" s="4527"/>
    </row>
    <row r="488" spans="3:7" ht="16" thickTop="1">
      <c r="C488" s="263" t="s">
        <v>2133</v>
      </c>
      <c r="D488" s="1288"/>
      <c r="E488" s="2093"/>
      <c r="F488" s="4516"/>
      <c r="G488" s="4517"/>
    </row>
    <row r="489" spans="3:7">
      <c r="C489" s="308" t="s">
        <v>641</v>
      </c>
      <c r="D489" s="1490">
        <v>2</v>
      </c>
      <c r="E489" s="1476">
        <f>claim801.2_1</f>
        <v>0</v>
      </c>
      <c r="F489" s="4512">
        <f>note801.2_1</f>
        <v>0</v>
      </c>
      <c r="G489" s="4513"/>
    </row>
    <row r="490" spans="3:7">
      <c r="C490" s="308" t="s">
        <v>2134</v>
      </c>
      <c r="D490" s="1532">
        <v>13</v>
      </c>
      <c r="E490" s="1476" t="str">
        <f>IF(choice801.2_2="&gt;6.0",13,"")</f>
        <v/>
      </c>
      <c r="F490" s="4489">
        <f>note801.2_2</f>
        <v>0</v>
      </c>
      <c r="G490" s="4490"/>
    </row>
    <row r="491" spans="3:7" ht="16" thickBot="1">
      <c r="C491" s="1479" t="s">
        <v>2135</v>
      </c>
      <c r="D491" s="256">
        <v>24</v>
      </c>
      <c r="E491" s="240" t="str">
        <f>IF(choice801.2_2="&lt;=6.0",24,"")</f>
        <v/>
      </c>
      <c r="F491" s="4493"/>
      <c r="G491" s="4494"/>
    </row>
    <row r="492" spans="3:7" ht="16" thickTop="1">
      <c r="C492" s="263" t="s">
        <v>2136</v>
      </c>
      <c r="D492" s="264"/>
      <c r="E492" s="264"/>
      <c r="F492" s="4516"/>
      <c r="G492" s="4517"/>
    </row>
    <row r="493" spans="3:7" ht="90">
      <c r="C493" s="238" t="s">
        <v>2137</v>
      </c>
      <c r="D493" s="1480"/>
      <c r="E493" s="1481"/>
      <c r="F493" s="4554"/>
      <c r="G493" s="4555"/>
    </row>
    <row r="494" spans="3:7" ht="15" customHeight="1">
      <c r="C494" s="1307" t="s">
        <v>1133</v>
      </c>
      <c r="D494" s="1484">
        <v>4</v>
      </c>
      <c r="E494" s="1485" t="str">
        <f>IF(choice801.3_1="1 fixture",4,"")</f>
        <v/>
      </c>
      <c r="F494" s="4489">
        <f>note801.3_1</f>
        <v>0</v>
      </c>
      <c r="G494" s="4490"/>
    </row>
    <row r="495" spans="3:7" ht="15" customHeight="1">
      <c r="C495" s="1697" t="s">
        <v>1134</v>
      </c>
      <c r="D495" s="1482">
        <v>5</v>
      </c>
      <c r="E495" s="1483" t="str">
        <f>IF(choice801.3_1="2 fixtures",5,"")</f>
        <v/>
      </c>
      <c r="F495" s="4491"/>
      <c r="G495" s="4492"/>
    </row>
    <row r="496" spans="3:7" ht="15" customHeight="1">
      <c r="C496" s="1307" t="s">
        <v>1135</v>
      </c>
      <c r="D496" s="1484">
        <v>6</v>
      </c>
      <c r="E496" s="1485" t="str">
        <f>IF(choice801.3_1="3 fixtures",6,"")</f>
        <v/>
      </c>
      <c r="F496" s="4491"/>
      <c r="G496" s="4492"/>
    </row>
    <row r="497" spans="3:7" ht="15" customHeight="1" thickBot="1">
      <c r="C497" s="1486" t="s">
        <v>1136</v>
      </c>
      <c r="D497" s="309">
        <v>7</v>
      </c>
      <c r="E497" s="310" t="str">
        <f>IF(choice801.3_1="4+ fixtures",7,"")</f>
        <v/>
      </c>
      <c r="F497" s="4506"/>
      <c r="G497" s="4507"/>
    </row>
    <row r="498" spans="3:7" ht="31" thickTop="1">
      <c r="C498" s="238" t="s">
        <v>2138</v>
      </c>
      <c r="D498" s="1480"/>
      <c r="E498" s="1481"/>
      <c r="F498" s="4554"/>
      <c r="G498" s="4555"/>
    </row>
    <row r="499" spans="3:7" ht="15" customHeight="1">
      <c r="C499" s="1307" t="s">
        <v>411</v>
      </c>
      <c r="D499" s="1484">
        <v>11</v>
      </c>
      <c r="E499" s="1485" t="str">
        <f>IF(choice801.3_2="2.0 to &lt;2.5 gpm",11,"")</f>
        <v/>
      </c>
      <c r="F499" s="4489">
        <f>note801.3_2</f>
        <v>0</v>
      </c>
      <c r="G499" s="4490"/>
    </row>
    <row r="500" spans="3:7" ht="15" customHeight="1" thickBot="1">
      <c r="C500" s="1486" t="s">
        <v>412</v>
      </c>
      <c r="D500" s="309">
        <v>14</v>
      </c>
      <c r="E500" s="310" t="str">
        <f>IF(choice801.3_2="1.6 to &lt;2.0 gpm",14,"")</f>
        <v/>
      </c>
      <c r="F500" s="4506"/>
      <c r="G500" s="4507"/>
    </row>
    <row r="501" spans="3:7" ht="16" thickTop="1">
      <c r="C501" s="238" t="s">
        <v>2139</v>
      </c>
      <c r="D501" s="1480"/>
      <c r="E501" s="1481"/>
      <c r="F501" s="4554"/>
      <c r="G501" s="4555"/>
    </row>
    <row r="502" spans="3:7" ht="15" customHeight="1">
      <c r="C502" s="1307" t="s">
        <v>1144</v>
      </c>
      <c r="D502" s="1484">
        <v>1</v>
      </c>
      <c r="E502" s="1485" t="str">
        <f>IF(choice801.3_3="1 shutoff",1,"")</f>
        <v/>
      </c>
      <c r="F502" s="4489">
        <f>note801.3_3</f>
        <v>0</v>
      </c>
      <c r="G502" s="4490"/>
    </row>
    <row r="503" spans="3:7" ht="15" customHeight="1">
      <c r="C503" s="1307" t="s">
        <v>1145</v>
      </c>
      <c r="D503" s="1484">
        <v>2</v>
      </c>
      <c r="E503" s="1485" t="str">
        <f>IF(choice801.3_3="2 shutoffs",2,"")</f>
        <v/>
      </c>
      <c r="F503" s="4491"/>
      <c r="G503" s="4492"/>
    </row>
    <row r="504" spans="3:7" ht="15" customHeight="1" thickBot="1">
      <c r="C504" s="1486" t="s">
        <v>1146</v>
      </c>
      <c r="D504" s="309">
        <v>3</v>
      </c>
      <c r="E504" s="310" t="str">
        <f>IF(choice801.3_3="3 shutoffs",3,"")</f>
        <v/>
      </c>
      <c r="F504" s="4506"/>
      <c r="G504" s="4507"/>
    </row>
    <row r="505" spans="3:7" ht="16" thickTop="1">
      <c r="C505" s="245" t="s">
        <v>2155</v>
      </c>
      <c r="D505" s="246"/>
      <c r="E505" s="246"/>
      <c r="F505" s="4530"/>
      <c r="G505" s="4531"/>
    </row>
    <row r="506" spans="3:7" ht="41.25" customHeight="1">
      <c r="C506" s="238" t="s">
        <v>2156</v>
      </c>
      <c r="D506" s="1565"/>
      <c r="E506" s="1565"/>
      <c r="F506" s="4554"/>
      <c r="G506" s="4555"/>
    </row>
    <row r="507" spans="3:7">
      <c r="C507" s="1307" t="s">
        <v>2157</v>
      </c>
      <c r="D507" s="1480"/>
      <c r="E507" s="1481"/>
      <c r="F507" s="4554"/>
      <c r="G507" s="4555"/>
    </row>
    <row r="508" spans="3:7">
      <c r="C508" s="1487" t="s">
        <v>1152</v>
      </c>
      <c r="D508" s="1484">
        <v>1</v>
      </c>
      <c r="E508" s="1485" t="str">
        <f>IF(choice801.4.1_1="1 bath",1,"")</f>
        <v/>
      </c>
      <c r="F508" s="4489">
        <f>note801.4.1_1</f>
        <v>0</v>
      </c>
      <c r="G508" s="4490"/>
    </row>
    <row r="509" spans="3:7">
      <c r="C509" s="1487" t="s">
        <v>1153</v>
      </c>
      <c r="D509" s="1484">
        <v>2</v>
      </c>
      <c r="E509" s="1485" t="str">
        <f>IF(choice801.4.1_1="2 baths",2,"")</f>
        <v/>
      </c>
      <c r="F509" s="4491"/>
      <c r="G509" s="4492"/>
    </row>
    <row r="510" spans="3:7">
      <c r="C510" s="1487" t="s">
        <v>1154</v>
      </c>
      <c r="D510" s="1484">
        <v>3</v>
      </c>
      <c r="E510" s="1485" t="str">
        <f>IF(choice801.4.1_1="3+ baths",3,"")</f>
        <v/>
      </c>
      <c r="F510" s="4493"/>
      <c r="G510" s="4494"/>
    </row>
    <row r="511" spans="3:7">
      <c r="C511" s="1307" t="s">
        <v>2158</v>
      </c>
      <c r="D511" s="1484">
        <v>6</v>
      </c>
      <c r="E511" s="1476">
        <f>claim801.4.1_2</f>
        <v>0</v>
      </c>
      <c r="F511" s="4512">
        <f>note801.4.1_2</f>
        <v>0</v>
      </c>
      <c r="G511" s="4513"/>
    </row>
    <row r="512" spans="3:7" ht="31" thickBot="1">
      <c r="C512" s="251" t="s">
        <v>2159</v>
      </c>
      <c r="D512" s="1488"/>
      <c r="E512" s="1489"/>
      <c r="F512" s="4552"/>
      <c r="G512" s="4553"/>
    </row>
    <row r="513" spans="3:7" ht="15" customHeight="1" thickTop="1">
      <c r="C513" s="1307" t="s">
        <v>1133</v>
      </c>
      <c r="D513" s="1484">
        <v>1</v>
      </c>
      <c r="E513" s="1485" t="str">
        <f>IF(choice801.4.2="1 fixture",1,"")</f>
        <v/>
      </c>
      <c r="F513" s="4489">
        <f>note801.4.2</f>
        <v>0</v>
      </c>
      <c r="G513" s="4490"/>
    </row>
    <row r="514" spans="3:7" ht="15" customHeight="1">
      <c r="C514" s="1307" t="s">
        <v>1134</v>
      </c>
      <c r="D514" s="1484">
        <v>2</v>
      </c>
      <c r="E514" s="1485" t="str">
        <f>IF(choice801.4.2="2 fixtures",2,"")</f>
        <v/>
      </c>
      <c r="F514" s="4491"/>
      <c r="G514" s="4492"/>
    </row>
    <row r="515" spans="3:7" ht="15" customHeight="1" thickBot="1">
      <c r="C515" s="1486" t="s">
        <v>1156</v>
      </c>
      <c r="D515" s="309">
        <v>3</v>
      </c>
      <c r="E515" s="310" t="str">
        <f>IF(choice801.4.2="3 fixtures",3,"")</f>
        <v/>
      </c>
      <c r="F515" s="4506"/>
      <c r="G515" s="4507"/>
    </row>
    <row r="516" spans="3:7" ht="16" thickTop="1">
      <c r="C516" s="245" t="s">
        <v>2160</v>
      </c>
      <c r="D516" s="246"/>
      <c r="E516" s="246"/>
      <c r="F516" s="4516"/>
      <c r="G516" s="4517"/>
    </row>
    <row r="517" spans="3:7" ht="55" customHeight="1">
      <c r="C517" s="238" t="s">
        <v>2161</v>
      </c>
      <c r="D517" s="1490" t="s">
        <v>642</v>
      </c>
      <c r="E517" s="1504" t="str">
        <f>claim801.5_1</f>
        <v>Not Eligible for Gold or Emerald</v>
      </c>
      <c r="F517" s="4512">
        <f>note801.5_1</f>
        <v>0</v>
      </c>
      <c r="G517" s="4513"/>
    </row>
    <row r="518" spans="3:7" ht="63" customHeight="1">
      <c r="C518" s="238" t="s">
        <v>2162</v>
      </c>
      <c r="D518" s="1560"/>
      <c r="E518" s="1481"/>
      <c r="F518" s="4554"/>
      <c r="G518" s="4555"/>
    </row>
    <row r="519" spans="3:7">
      <c r="C519" s="1307" t="s">
        <v>1133</v>
      </c>
      <c r="D519" s="1490">
        <v>2</v>
      </c>
      <c r="E519" s="1485" t="str">
        <f>IF(choice801.5_2="1 fixture",2,"")</f>
        <v/>
      </c>
      <c r="F519" s="4489">
        <f>note801.5_2</f>
        <v>0</v>
      </c>
      <c r="G519" s="4490"/>
    </row>
    <row r="520" spans="3:7">
      <c r="C520" s="1307" t="s">
        <v>1134</v>
      </c>
      <c r="D520" s="1490">
        <v>4</v>
      </c>
      <c r="E520" s="1485" t="str">
        <f>IF(choice801.5_2="2 fixtures",4,"")</f>
        <v/>
      </c>
      <c r="F520" s="4491"/>
      <c r="G520" s="4492"/>
    </row>
    <row r="521" spans="3:7">
      <c r="C521" s="1307" t="s">
        <v>1156</v>
      </c>
      <c r="D521" s="1490">
        <v>6</v>
      </c>
      <c r="E521" s="1485" t="str">
        <f>IF(choice801.5_2="3+ fixtures",6,"")</f>
        <v/>
      </c>
      <c r="F521" s="4493"/>
      <c r="G521" s="4494"/>
    </row>
    <row r="522" spans="3:7">
      <c r="C522" s="238" t="s">
        <v>2163</v>
      </c>
      <c r="D522" s="1484">
        <v>11</v>
      </c>
      <c r="E522" s="1476">
        <f>claim801.5_2</f>
        <v>0</v>
      </c>
      <c r="F522" s="4512">
        <f>note801.5_3</f>
        <v>0</v>
      </c>
      <c r="G522" s="4513"/>
    </row>
    <row r="523" spans="3:7" ht="30">
      <c r="C523" s="238" t="s">
        <v>2164</v>
      </c>
      <c r="D523" s="1480"/>
      <c r="E523" s="1491"/>
      <c r="F523" s="4518"/>
      <c r="G523" s="4519"/>
    </row>
    <row r="524" spans="3:7">
      <c r="C524" s="1307" t="s">
        <v>1133</v>
      </c>
      <c r="D524" s="1484">
        <v>1</v>
      </c>
      <c r="E524" s="1476" t="str">
        <f>IF(choice801.5_3a="1 fixture",1,"")</f>
        <v/>
      </c>
      <c r="F524" s="4489">
        <f>note801.5_3a</f>
        <v>0</v>
      </c>
      <c r="G524" s="4490"/>
    </row>
    <row r="525" spans="3:7">
      <c r="C525" s="1307" t="s">
        <v>1134</v>
      </c>
      <c r="D525" s="1484">
        <v>2</v>
      </c>
      <c r="E525" s="1476" t="str">
        <f>IF(choice801.5_3a="2 fixtures",2,"")</f>
        <v/>
      </c>
      <c r="F525" s="4491"/>
      <c r="G525" s="4492"/>
    </row>
    <row r="526" spans="3:7">
      <c r="C526" s="1307" t="s">
        <v>1156</v>
      </c>
      <c r="D526" s="1484">
        <v>3</v>
      </c>
      <c r="E526" s="1476" t="str">
        <f>IF(choice801.5_3a="3+ fixtures",3,"")</f>
        <v/>
      </c>
      <c r="F526" s="4493"/>
      <c r="G526" s="4494"/>
    </row>
    <row r="527" spans="3:7" ht="30">
      <c r="C527" s="238" t="s">
        <v>2165</v>
      </c>
      <c r="D527" s="1484">
        <v>8</v>
      </c>
      <c r="E527" s="1476">
        <f>claim801.5_3b</f>
        <v>0</v>
      </c>
      <c r="F527" s="4512">
        <f>note801.5_3b</f>
        <v>0</v>
      </c>
      <c r="G527" s="4513"/>
    </row>
    <row r="528" spans="3:7" ht="31" thickBot="1">
      <c r="C528" s="1698" t="s">
        <v>2166</v>
      </c>
      <c r="D528" s="1482">
        <v>6</v>
      </c>
      <c r="E528" s="240">
        <f>claim801.5_3c</f>
        <v>0</v>
      </c>
      <c r="F528" s="4489">
        <f>note801.5_3c</f>
        <v>0</v>
      </c>
      <c r="G528" s="4490"/>
    </row>
    <row r="529" spans="3:7" ht="16" thickTop="1">
      <c r="C529" s="263" t="s">
        <v>2167</v>
      </c>
      <c r="D529" s="264"/>
      <c r="E529" s="264"/>
      <c r="F529" s="4516"/>
      <c r="G529" s="4517"/>
    </row>
    <row r="530" spans="3:7" ht="30" customHeight="1" thickBot="1">
      <c r="C530" s="238" t="s">
        <v>2168</v>
      </c>
      <c r="D530" s="1530">
        <v>6</v>
      </c>
      <c r="E530" s="1534">
        <f>claim801.6.1</f>
        <v>0</v>
      </c>
      <c r="F530" s="4512">
        <f>note801.6.1</f>
        <v>0</v>
      </c>
      <c r="G530" s="4513"/>
    </row>
    <row r="531" spans="3:7">
      <c r="C531" s="1492" t="s">
        <v>2169</v>
      </c>
      <c r="D531" s="311">
        <v>4</v>
      </c>
      <c r="E531" s="312">
        <f>claim801.6.2_1</f>
        <v>0</v>
      </c>
      <c r="F531" s="4576">
        <f>note801.6.2_1</f>
        <v>0</v>
      </c>
      <c r="G531" s="4577"/>
    </row>
    <row r="532" spans="3:7">
      <c r="C532" s="1699" t="s">
        <v>2170</v>
      </c>
      <c r="D532" s="1493">
        <v>4</v>
      </c>
      <c r="E532" s="269">
        <f>claim801.6.2_2</f>
        <v>0</v>
      </c>
      <c r="F532" s="4512">
        <f>note801.6.2_2</f>
        <v>0</v>
      </c>
      <c r="G532" s="4513"/>
    </row>
    <row r="533" spans="3:7" ht="30">
      <c r="C533" s="1699" t="s">
        <v>2171</v>
      </c>
      <c r="D533" s="1493">
        <v>5</v>
      </c>
      <c r="E533" s="269">
        <f>claim801.6.3</f>
        <v>0</v>
      </c>
      <c r="F533" s="4512">
        <f>note801.6.3</f>
        <v>0</v>
      </c>
      <c r="G533" s="4513"/>
    </row>
    <row r="534" spans="3:7" ht="30">
      <c r="C534" s="238" t="s">
        <v>2172</v>
      </c>
      <c r="D534" s="1498">
        <v>10</v>
      </c>
      <c r="E534" s="1499">
        <f>claim801.6.4</f>
        <v>0</v>
      </c>
      <c r="F534" s="4512">
        <f>note801.6.4</f>
        <v>0</v>
      </c>
      <c r="G534" s="4513"/>
    </row>
    <row r="535" spans="3:7">
      <c r="C535" s="238" t="s">
        <v>2173</v>
      </c>
      <c r="D535" s="1500"/>
      <c r="E535" s="1501"/>
      <c r="F535" s="4518"/>
      <c r="G535" s="4519"/>
    </row>
    <row r="536" spans="3:7" ht="30">
      <c r="C536" s="1307" t="s">
        <v>2873</v>
      </c>
      <c r="D536" s="1532">
        <v>8</v>
      </c>
      <c r="E536" s="1485">
        <f>claim801.6.5_1</f>
        <v>0</v>
      </c>
      <c r="F536" s="4512">
        <f>note801.6.5_1</f>
        <v>0</v>
      </c>
      <c r="G536" s="4513"/>
    </row>
    <row r="537" spans="3:7" ht="31" thickBot="1">
      <c r="C537" s="1486" t="s">
        <v>2874</v>
      </c>
      <c r="D537" s="259">
        <v>15</v>
      </c>
      <c r="E537" s="310">
        <f>claim801.6.5_3</f>
        <v>0</v>
      </c>
      <c r="F537" s="4526">
        <f>note801.6.5_3</f>
        <v>0</v>
      </c>
      <c r="G537" s="4527"/>
    </row>
    <row r="538" spans="3:7" ht="16" thickTop="1">
      <c r="C538" s="263" t="s">
        <v>2183</v>
      </c>
      <c r="D538" s="264"/>
      <c r="E538" s="264"/>
      <c r="F538" s="4516"/>
      <c r="G538" s="4517"/>
    </row>
    <row r="539" spans="3:7" ht="30" customHeight="1">
      <c r="C539" s="238" t="s">
        <v>2175</v>
      </c>
      <c r="D539" s="1532">
        <v>5</v>
      </c>
      <c r="E539" s="1476" t="str">
        <f>IF(choice801.7.1="Without impermeable water storage",5,"")</f>
        <v/>
      </c>
      <c r="F539" s="4489">
        <f>note801.7.1</f>
        <v>0</v>
      </c>
      <c r="G539" s="4490"/>
    </row>
    <row r="540" spans="3:7">
      <c r="C540" s="1698" t="s">
        <v>2176</v>
      </c>
      <c r="D540" s="1502"/>
      <c r="E540" s="1503"/>
      <c r="F540" s="4491"/>
      <c r="G540" s="4492"/>
    </row>
    <row r="541" spans="3:7">
      <c r="C541" s="1307" t="s">
        <v>2179</v>
      </c>
      <c r="D541" s="1498">
        <v>5</v>
      </c>
      <c r="E541" s="1504" t="str">
        <f>IF(choice801.7.1="50-499 gal. impermeable storage",5,"")</f>
        <v/>
      </c>
      <c r="F541" s="4491"/>
      <c r="G541" s="4492"/>
    </row>
    <row r="542" spans="3:7">
      <c r="C542" s="1307" t="s">
        <v>2178</v>
      </c>
      <c r="D542" s="1498">
        <v>10</v>
      </c>
      <c r="E542" s="1504" t="str">
        <f>IF(choice801.7.1="500-2499 gal. impermeable storage",10,"")</f>
        <v/>
      </c>
      <c r="F542" s="4491"/>
      <c r="G542" s="4492"/>
    </row>
    <row r="543" spans="3:7">
      <c r="C543" s="1307" t="s">
        <v>2181</v>
      </c>
      <c r="D543" s="1498">
        <v>15</v>
      </c>
      <c r="E543" s="1504" t="str">
        <f>IF(choice801.7.1="2500+ gal. impermeable storage",15,"")</f>
        <v/>
      </c>
      <c r="F543" s="4491"/>
      <c r="G543" s="4492"/>
    </row>
    <row r="544" spans="3:7">
      <c r="C544" s="1697" t="s">
        <v>2177</v>
      </c>
      <c r="D544" s="1507">
        <v>25</v>
      </c>
      <c r="E544" s="1508" t="str">
        <f>IF(choice801.7.1="All irrigation demands met by rainwater capture",25,"")</f>
        <v/>
      </c>
      <c r="F544" s="4491"/>
      <c r="G544" s="4492"/>
    </row>
    <row r="545" spans="3:7" ht="30">
      <c r="C545" s="1509" t="s">
        <v>2182</v>
      </c>
      <c r="D545" s="1502"/>
      <c r="E545" s="1503"/>
      <c r="F545" s="4518"/>
      <c r="G545" s="4519"/>
    </row>
    <row r="546" spans="3:7">
      <c r="C546" s="238" t="s">
        <v>1216</v>
      </c>
      <c r="D546" s="1498">
        <v>5</v>
      </c>
      <c r="E546" s="1504" t="str">
        <f>IF(choice801.7.2=C546,5,"")</f>
        <v/>
      </c>
      <c r="F546" s="4489">
        <f>note801.7.2</f>
        <v>0</v>
      </c>
      <c r="G546" s="4490"/>
    </row>
    <row r="547" spans="3:7">
      <c r="C547" s="238" t="s">
        <v>1217</v>
      </c>
      <c r="D547" s="1498">
        <v>10</v>
      </c>
      <c r="E547" s="1504" t="str">
        <f>IF(choice801.7.2=C547,10,"")</f>
        <v/>
      </c>
      <c r="F547" s="4491"/>
      <c r="G547" s="4492"/>
    </row>
    <row r="548" spans="3:7">
      <c r="C548" s="238" t="s">
        <v>1218</v>
      </c>
      <c r="D548" s="1498">
        <v>15</v>
      </c>
      <c r="E548" s="1504" t="str">
        <f>IF(choice801.7.2=C548,15,"")</f>
        <v/>
      </c>
      <c r="F548" s="4491"/>
      <c r="G548" s="4492"/>
    </row>
    <row r="549" spans="3:7" ht="16" thickBot="1">
      <c r="C549" s="251" t="s">
        <v>1219</v>
      </c>
      <c r="D549" s="1505">
        <v>25</v>
      </c>
      <c r="E549" s="1506" t="str">
        <f>IF(choice801.7.2=C549,25,"")</f>
        <v/>
      </c>
      <c r="F549" s="4506"/>
      <c r="G549" s="4507"/>
    </row>
    <row r="550" spans="3:7" ht="31" thickTop="1">
      <c r="C550" s="1703" t="s">
        <v>2184</v>
      </c>
      <c r="D550" s="313">
        <v>1</v>
      </c>
      <c r="E550" s="244">
        <f>claim801.8</f>
        <v>0</v>
      </c>
      <c r="F550" s="4491">
        <f>note801.8</f>
        <v>0</v>
      </c>
      <c r="G550" s="4492"/>
    </row>
    <row r="551" spans="3:7">
      <c r="C551" s="4532" t="s">
        <v>643</v>
      </c>
      <c r="D551" s="4533"/>
      <c r="E551" s="4533"/>
      <c r="F551" s="4533"/>
      <c r="G551" s="4534"/>
    </row>
    <row r="552" spans="3:7">
      <c r="C552" s="245" t="s">
        <v>2185</v>
      </c>
      <c r="D552" s="246"/>
      <c r="E552" s="246"/>
      <c r="F552" s="4530"/>
      <c r="G552" s="4531"/>
    </row>
    <row r="553" spans="3:7" ht="15" customHeight="1">
      <c r="C553" s="238" t="s">
        <v>1181</v>
      </c>
      <c r="D553" s="1532">
        <v>5</v>
      </c>
      <c r="E553" s="1485" t="str">
        <f>IF(choice802.1=C553,5,"")</f>
        <v/>
      </c>
      <c r="F553" s="4489">
        <f>note802.1</f>
        <v>0</v>
      </c>
      <c r="G553" s="4490"/>
    </row>
    <row r="554" spans="3:7" ht="15" customHeight="1">
      <c r="C554" s="1698" t="s">
        <v>1182</v>
      </c>
      <c r="D554" s="256">
        <v>10</v>
      </c>
      <c r="E554" s="1483" t="str">
        <f>IF(choice802.1=C554,10,"")</f>
        <v/>
      </c>
      <c r="F554" s="4491"/>
      <c r="G554" s="4492"/>
    </row>
    <row r="555" spans="3:7" ht="15" customHeight="1">
      <c r="C555" s="1698" t="s">
        <v>1183</v>
      </c>
      <c r="D555" s="256">
        <v>15</v>
      </c>
      <c r="E555" s="1483" t="str">
        <f>IF(choice802.1=C555,15,"")</f>
        <v/>
      </c>
      <c r="F555" s="4491"/>
      <c r="G555" s="4492"/>
    </row>
    <row r="556" spans="3:7" ht="15" customHeight="1">
      <c r="C556" s="1698" t="s">
        <v>1184</v>
      </c>
      <c r="D556" s="256">
        <v>20</v>
      </c>
      <c r="E556" s="1483" t="str">
        <f>IF(choice802.1=C556,20,"")</f>
        <v/>
      </c>
      <c r="F556" s="4491"/>
      <c r="G556" s="4492"/>
    </row>
    <row r="557" spans="3:7" ht="15" customHeight="1" thickBot="1">
      <c r="C557" s="251" t="s">
        <v>1185</v>
      </c>
      <c r="D557" s="259">
        <v>10</v>
      </c>
      <c r="E557" s="310" t="str">
        <f>IF(choice802.1=C557,10,"")</f>
        <v/>
      </c>
      <c r="F557" s="4506"/>
      <c r="G557" s="4507"/>
    </row>
    <row r="558" spans="3:7" ht="31" thickTop="1">
      <c r="C558" s="1702" t="s">
        <v>2186</v>
      </c>
      <c r="D558" s="1510"/>
      <c r="E558" s="1510"/>
      <c r="F558" s="4730"/>
      <c r="G558" s="4731"/>
    </row>
    <row r="559" spans="3:7">
      <c r="C559" s="1511" t="s">
        <v>1187</v>
      </c>
      <c r="D559" s="1513">
        <v>2</v>
      </c>
      <c r="E559" s="1514" t="str">
        <f>IF(choice802.2=C559,2,"")</f>
        <v/>
      </c>
      <c r="F559" s="4489">
        <f>note802.2</f>
        <v>0</v>
      </c>
      <c r="G559" s="4490"/>
    </row>
    <row r="560" spans="3:7" ht="16" thickBot="1">
      <c r="C560" s="1512" t="s">
        <v>1188</v>
      </c>
      <c r="D560" s="1478">
        <v>2</v>
      </c>
      <c r="E560" s="1515" t="str">
        <f>IF(choice802.2=C560,2,"")</f>
        <v/>
      </c>
      <c r="F560" s="4506"/>
      <c r="G560" s="4507"/>
    </row>
    <row r="561" spans="3:7" ht="31" thickTop="1">
      <c r="C561" s="314" t="s">
        <v>2187</v>
      </c>
      <c r="D561" s="1693">
        <v>20</v>
      </c>
      <c r="E561" s="1516">
        <f>claim802.3</f>
        <v>0</v>
      </c>
      <c r="F561" s="4493">
        <f>note802.3</f>
        <v>0</v>
      </c>
      <c r="G561" s="4494"/>
    </row>
    <row r="562" spans="3:7" ht="30">
      <c r="C562" s="315" t="s">
        <v>2188</v>
      </c>
      <c r="D562" s="1490">
        <v>1</v>
      </c>
      <c r="E562" s="1476">
        <f>claim802.4</f>
        <v>0</v>
      </c>
      <c r="F562" s="4512">
        <f>note802.4</f>
        <v>0</v>
      </c>
      <c r="G562" s="4513"/>
    </row>
    <row r="563" spans="3:7">
      <c r="C563" s="1517" t="s">
        <v>2189</v>
      </c>
      <c r="D563" s="1490">
        <v>20</v>
      </c>
      <c r="E563" s="1476">
        <f>claim802.5</f>
        <v>0</v>
      </c>
      <c r="F563" s="4512">
        <f>note802.5</f>
        <v>0</v>
      </c>
      <c r="G563" s="4513"/>
    </row>
    <row r="564" spans="3:7">
      <c r="C564" s="4649"/>
      <c r="D564" s="4650"/>
      <c r="E564" s="4650"/>
      <c r="F564" s="4650"/>
      <c r="G564" s="4651"/>
    </row>
    <row r="565" spans="3:7">
      <c r="C565" s="4652" t="s">
        <v>644</v>
      </c>
      <c r="D565" s="4653"/>
      <c r="E565" s="4653"/>
      <c r="F565" s="4653"/>
      <c r="G565" s="4654"/>
    </row>
    <row r="566" spans="3:7">
      <c r="C566" s="4532" t="s">
        <v>645</v>
      </c>
      <c r="D566" s="4533"/>
      <c r="E566" s="4533"/>
      <c r="F566" s="4533"/>
      <c r="G566" s="4534"/>
    </row>
    <row r="567" spans="3:7">
      <c r="C567" s="245" t="s">
        <v>646</v>
      </c>
      <c r="D567" s="306"/>
      <c r="E567" s="306"/>
      <c r="F567" s="4554"/>
      <c r="G567" s="4555"/>
    </row>
    <row r="568" spans="3:7" ht="35" customHeight="1">
      <c r="C568" s="4590" t="s">
        <v>2249</v>
      </c>
      <c r="D568" s="4486">
        <v>5</v>
      </c>
      <c r="E568" s="4592">
        <f>claim901.1.1</f>
        <v>0</v>
      </c>
      <c r="F568" s="4489">
        <f>note901.1.1</f>
        <v>0</v>
      </c>
      <c r="G568" s="4490"/>
    </row>
    <row r="569" spans="3:7" ht="35" customHeight="1">
      <c r="C569" s="4591"/>
      <c r="D569" s="4488"/>
      <c r="E569" s="4593"/>
      <c r="F569" s="4493"/>
      <c r="G569" s="4494"/>
    </row>
    <row r="570" spans="3:7" ht="30">
      <c r="C570" s="238" t="s">
        <v>2250</v>
      </c>
      <c r="D570" s="1490">
        <v>5</v>
      </c>
      <c r="E570" s="1476">
        <f>claim901.1.2</f>
        <v>0</v>
      </c>
      <c r="F570" s="4512">
        <f>note901.1.2</f>
        <v>0</v>
      </c>
      <c r="G570" s="4513"/>
    </row>
    <row r="571" spans="3:7" ht="30">
      <c r="C571" s="238" t="s">
        <v>2251</v>
      </c>
      <c r="D571" s="1565"/>
      <c r="E571" s="1565"/>
      <c r="F571" s="4554"/>
      <c r="G571" s="4555"/>
    </row>
    <row r="572" spans="3:7">
      <c r="C572" s="1307" t="s">
        <v>2252</v>
      </c>
      <c r="D572" s="1490">
        <v>3</v>
      </c>
      <c r="E572" s="1476" t="str">
        <f>IF(choice901.1.3_1="Power Vent",3,"")</f>
        <v/>
      </c>
      <c r="F572" s="4489">
        <f>note901.1.3_1</f>
        <v>0</v>
      </c>
      <c r="G572" s="4490"/>
    </row>
    <row r="573" spans="3:7">
      <c r="C573" s="1307" t="s">
        <v>2253</v>
      </c>
      <c r="D573" s="1490">
        <v>5</v>
      </c>
      <c r="E573" s="1476" t="str">
        <f>IF(choice901.1.3_1="Direct Vent",5,"")</f>
        <v/>
      </c>
      <c r="F573" s="4493"/>
      <c r="G573" s="4494"/>
    </row>
    <row r="574" spans="3:7">
      <c r="C574" s="1307" t="s">
        <v>2254</v>
      </c>
      <c r="D574" s="1490">
        <v>3</v>
      </c>
      <c r="E574" s="1476" t="str">
        <f>IF(choice901.1.3_2="Power Vent",3,"")</f>
        <v/>
      </c>
      <c r="F574" s="4489">
        <f>note901.1.3_2</f>
        <v>0</v>
      </c>
      <c r="G574" s="4490"/>
    </row>
    <row r="575" spans="3:7">
      <c r="C575" s="1307" t="s">
        <v>2255</v>
      </c>
      <c r="D575" s="1490">
        <v>5</v>
      </c>
      <c r="E575" s="1476" t="str">
        <f>IF(choice901.1.3_2="Direct Vent",5,"")</f>
        <v/>
      </c>
      <c r="F575" s="4493"/>
      <c r="G575" s="4494"/>
    </row>
    <row r="576" spans="3:7" ht="45">
      <c r="C576" s="238" t="s">
        <v>2256</v>
      </c>
      <c r="D576" s="1490" t="s">
        <v>339</v>
      </c>
      <c r="E576" s="1476">
        <f>claim901.1.4</f>
        <v>0</v>
      </c>
      <c r="F576" s="4512">
        <f>note901.1.4</f>
        <v>0</v>
      </c>
      <c r="G576" s="4513"/>
    </row>
    <row r="577" spans="3:7" ht="30">
      <c r="C577" s="1698" t="s">
        <v>2257</v>
      </c>
      <c r="D577" s="1686">
        <v>7</v>
      </c>
      <c r="E577" s="240">
        <f>claim901.1.5</f>
        <v>0</v>
      </c>
      <c r="F577" s="4489">
        <f>note901.1.5</f>
        <v>0</v>
      </c>
      <c r="G577" s="4490"/>
    </row>
    <row r="578" spans="3:7">
      <c r="C578" s="238" t="s">
        <v>2258</v>
      </c>
      <c r="D578" s="1560"/>
      <c r="E578" s="1491"/>
      <c r="F578" s="4518"/>
      <c r="G578" s="4519"/>
    </row>
    <row r="579" spans="3:7">
      <c r="C579" s="1518" t="s">
        <v>2259</v>
      </c>
      <c r="D579" s="1490">
        <v>2</v>
      </c>
      <c r="E579" s="1476" t="str">
        <f>IF(choice901.1.6="Unconditioned space",2,"")</f>
        <v/>
      </c>
      <c r="F579" s="4489">
        <f>note901.1.6</f>
        <v>0</v>
      </c>
      <c r="G579" s="4490"/>
    </row>
    <row r="580" spans="3:7" ht="16" thickBot="1">
      <c r="C580" s="1587" t="s">
        <v>2260</v>
      </c>
      <c r="D580" s="1686">
        <v>5</v>
      </c>
      <c r="E580" s="240" t="str">
        <f>IF(choice901.1.6="Conditioned space",5,"")</f>
        <v/>
      </c>
      <c r="F580" s="4491"/>
      <c r="G580" s="4492"/>
    </row>
    <row r="581" spans="3:7" ht="16" thickTop="1">
      <c r="C581" s="263" t="s">
        <v>2261</v>
      </c>
      <c r="D581" s="264"/>
      <c r="E581" s="264"/>
      <c r="F581" s="4516"/>
      <c r="G581" s="4517"/>
    </row>
    <row r="582" spans="3:7" ht="30">
      <c r="C582" s="238" t="s">
        <v>2262</v>
      </c>
      <c r="D582" s="1565"/>
      <c r="E582" s="1565"/>
      <c r="F582" s="4554"/>
      <c r="G582" s="4555"/>
    </row>
    <row r="583" spans="3:7" ht="45" customHeight="1">
      <c r="C583" s="4550" t="s">
        <v>2263</v>
      </c>
      <c r="D583" s="4486" t="s">
        <v>2264</v>
      </c>
      <c r="E583" s="1808">
        <f>choice901.2.1_1</f>
        <v>0</v>
      </c>
      <c r="F583" s="4564">
        <f>note901.2.1_1</f>
        <v>0</v>
      </c>
      <c r="G583" s="4565"/>
    </row>
    <row r="584" spans="3:7" ht="20" customHeight="1">
      <c r="C584" s="4551"/>
      <c r="D584" s="4488"/>
      <c r="E584" s="1685" t="str">
        <f>IF(claim901.2.1_1=4,4,"0")</f>
        <v>0</v>
      </c>
      <c r="F584" s="4572"/>
      <c r="G584" s="4573"/>
    </row>
    <row r="585" spans="3:7" ht="25.5" customHeight="1">
      <c r="C585" s="4550" t="s">
        <v>2265</v>
      </c>
      <c r="D585" s="4486" t="s">
        <v>2266</v>
      </c>
      <c r="E585" s="1808">
        <f>choice901.2.1_2</f>
        <v>0</v>
      </c>
      <c r="F585" s="4564">
        <f>note901.2.1_2</f>
        <v>0</v>
      </c>
      <c r="G585" s="4565"/>
    </row>
    <row r="586" spans="3:7" ht="20" customHeight="1">
      <c r="C586" s="4551"/>
      <c r="D586" s="4488"/>
      <c r="E586" s="1685" t="str">
        <f>IF(claim901.2.1_2=6,6,"0")</f>
        <v>0</v>
      </c>
      <c r="F586" s="4572"/>
      <c r="G586" s="4573"/>
    </row>
    <row r="587" spans="3:7" ht="27" customHeight="1">
      <c r="C587" s="4550" t="s">
        <v>2267</v>
      </c>
      <c r="D587" s="4486" t="s">
        <v>2266</v>
      </c>
      <c r="E587" s="1685">
        <f>choice901.2.1_3</f>
        <v>0</v>
      </c>
      <c r="F587" s="4564">
        <f>note901.2.1_3</f>
        <v>0</v>
      </c>
      <c r="G587" s="4565"/>
    </row>
    <row r="588" spans="3:7" ht="20" customHeight="1">
      <c r="C588" s="4551"/>
      <c r="D588" s="4488"/>
      <c r="E588" s="1685" t="str">
        <f>IF(claim901.2.1_3=6,6,"0")</f>
        <v>0</v>
      </c>
      <c r="F588" s="4572"/>
      <c r="G588" s="4573"/>
    </row>
    <row r="589" spans="3:7" ht="24" customHeight="1">
      <c r="C589" s="4550" t="s">
        <v>2268</v>
      </c>
      <c r="D589" s="4486" t="s">
        <v>2266</v>
      </c>
      <c r="E589" s="1685">
        <f>choice901.2.1_4</f>
        <v>0</v>
      </c>
      <c r="F589" s="4564">
        <f>note901.2.1_4</f>
        <v>0</v>
      </c>
      <c r="G589" s="4565"/>
    </row>
    <row r="590" spans="3:7" ht="20" customHeight="1">
      <c r="C590" s="4551"/>
      <c r="D590" s="4488"/>
      <c r="E590" s="1685" t="str">
        <f>IF(claim901.2.1_4=6,6,"0")</f>
        <v>0</v>
      </c>
      <c r="F590" s="4572"/>
      <c r="G590" s="4573"/>
    </row>
    <row r="591" spans="3:7" ht="25.5" customHeight="1">
      <c r="C591" s="4550" t="s">
        <v>2269</v>
      </c>
      <c r="D591" s="4486" t="s">
        <v>2266</v>
      </c>
      <c r="E591" s="1685">
        <f>choice901.2.1_5</f>
        <v>0</v>
      </c>
      <c r="F591" s="4564">
        <f>note901.2.1_5</f>
        <v>0</v>
      </c>
      <c r="G591" s="4565"/>
    </row>
    <row r="592" spans="3:7" ht="20" customHeight="1">
      <c r="C592" s="4551"/>
      <c r="D592" s="4488"/>
      <c r="E592" s="1685" t="str">
        <f>IF(claim901.2.1_5=6,6,"0")</f>
        <v>0</v>
      </c>
      <c r="F592" s="4572"/>
      <c r="G592" s="4573"/>
    </row>
    <row r="593" spans="3:7" ht="30" customHeight="1" thickBot="1">
      <c r="C593" s="251" t="s">
        <v>2270</v>
      </c>
      <c r="D593" s="252">
        <v>7</v>
      </c>
      <c r="E593" s="253">
        <f>claim901.2.2</f>
        <v>0</v>
      </c>
      <c r="F593" s="4526">
        <f>note901.2.2</f>
        <v>0</v>
      </c>
      <c r="G593" s="4527"/>
    </row>
    <row r="594" spans="3:7" ht="16" thickTop="1">
      <c r="C594" s="263" t="s">
        <v>647</v>
      </c>
      <c r="D594" s="264"/>
      <c r="E594" s="264"/>
      <c r="F594" s="4516"/>
      <c r="G594" s="4517"/>
    </row>
    <row r="595" spans="3:7" ht="25.5" customHeight="1">
      <c r="C595" s="4570" t="s">
        <v>2271</v>
      </c>
      <c r="D595" s="4486" t="s">
        <v>648</v>
      </c>
      <c r="E595" s="1534">
        <f>choice901.3_1_a</f>
        <v>0</v>
      </c>
      <c r="F595" s="4564">
        <f>note901.3_1_a</f>
        <v>0</v>
      </c>
      <c r="G595" s="4565"/>
    </row>
    <row r="596" spans="3:7">
      <c r="C596" s="4571"/>
      <c r="D596" s="4488"/>
      <c r="E596" s="1534" t="str">
        <f>IF(claim901.3_1_a=0,"0",claim901.3_1_a)</f>
        <v>0</v>
      </c>
      <c r="F596" s="4572"/>
      <c r="G596" s="4573"/>
    </row>
    <row r="597" spans="3:7" ht="25.5" customHeight="1">
      <c r="C597" s="4570" t="s">
        <v>2272</v>
      </c>
      <c r="D597" s="4486" t="s">
        <v>648</v>
      </c>
      <c r="E597" s="1534">
        <f>choice901.3_1_b</f>
        <v>0</v>
      </c>
      <c r="F597" s="4564">
        <f>note901.3_1_b</f>
        <v>0</v>
      </c>
      <c r="G597" s="4565"/>
    </row>
    <row r="598" spans="3:7">
      <c r="C598" s="4571"/>
      <c r="D598" s="4488"/>
      <c r="E598" s="1534" t="str">
        <f>IF(claim901.3_1_b=0,"0",claim901.3_1_b)</f>
        <v>0</v>
      </c>
      <c r="F598" s="4572"/>
      <c r="G598" s="4573"/>
    </row>
    <row r="599" spans="3:7" ht="74.25" customHeight="1">
      <c r="C599" s="238" t="s">
        <v>2273</v>
      </c>
      <c r="D599" s="1490">
        <v>4</v>
      </c>
      <c r="E599" s="1476">
        <f>claim901.3_1_c</f>
        <v>0</v>
      </c>
      <c r="F599" s="4512">
        <f>note901.3_1_c</f>
        <v>0</v>
      </c>
      <c r="G599" s="4513"/>
    </row>
    <row r="600" spans="3:7" ht="16" thickBot="1">
      <c r="C600" s="251" t="s">
        <v>2274</v>
      </c>
      <c r="D600" s="252">
        <v>10</v>
      </c>
      <c r="E600" s="253">
        <f>claim901.3_2</f>
        <v>0</v>
      </c>
      <c r="F600" s="4526">
        <f>note901.3_2</f>
        <v>0</v>
      </c>
      <c r="G600" s="4527"/>
    </row>
    <row r="601" spans="3:7" ht="63" customHeight="1" thickTop="1">
      <c r="C601" s="263" t="s">
        <v>2275</v>
      </c>
      <c r="D601" s="1490" t="s">
        <v>649</v>
      </c>
      <c r="E601" s="1588">
        <f>claim901.4_1</f>
        <v>0</v>
      </c>
      <c r="F601" s="4522">
        <f>note901.4_1</f>
        <v>0</v>
      </c>
      <c r="G601" s="4523"/>
    </row>
    <row r="602" spans="3:7" ht="45">
      <c r="C602" s="314" t="s">
        <v>2276</v>
      </c>
      <c r="D602" s="1490" t="s">
        <v>2277</v>
      </c>
      <c r="E602" s="1588">
        <f>claim901.4_2thru6</f>
        <v>0</v>
      </c>
      <c r="F602" s="4518"/>
      <c r="G602" s="4519"/>
    </row>
    <row r="603" spans="3:7" ht="30">
      <c r="C603" s="238" t="s">
        <v>2278</v>
      </c>
      <c r="D603" s="1560"/>
      <c r="E603" s="1491"/>
      <c r="F603" s="4518"/>
      <c r="G603" s="4519"/>
    </row>
    <row r="604" spans="3:7">
      <c r="C604" s="1307" t="s">
        <v>2066</v>
      </c>
      <c r="D604" s="1490">
        <v>2</v>
      </c>
      <c r="E604" s="1476">
        <f>claim901.4_2a</f>
        <v>0</v>
      </c>
      <c r="F604" s="4489">
        <f>note901.4_2</f>
        <v>0</v>
      </c>
      <c r="G604" s="4490"/>
    </row>
    <row r="605" spans="3:7">
      <c r="C605" s="1307" t="s">
        <v>2067</v>
      </c>
      <c r="D605" s="1490">
        <v>2</v>
      </c>
      <c r="E605" s="1476">
        <f>claim901.4_2b</f>
        <v>0</v>
      </c>
      <c r="F605" s="4491"/>
      <c r="G605" s="4492"/>
    </row>
    <row r="606" spans="3:7">
      <c r="C606" s="1307" t="s">
        <v>2068</v>
      </c>
      <c r="D606" s="1490">
        <v>2</v>
      </c>
      <c r="E606" s="1476">
        <f>claim901.4_2c</f>
        <v>0</v>
      </c>
      <c r="F606" s="4491"/>
      <c r="G606" s="4492"/>
    </row>
    <row r="607" spans="3:7">
      <c r="C607" s="1307" t="s">
        <v>2069</v>
      </c>
      <c r="D607" s="1490">
        <v>2</v>
      </c>
      <c r="E607" s="1476">
        <f>claim901.4_2d</f>
        <v>0</v>
      </c>
      <c r="F607" s="4493"/>
      <c r="G607" s="4494"/>
    </row>
    <row r="608" spans="3:7">
      <c r="C608" s="238" t="s">
        <v>2282</v>
      </c>
      <c r="D608" s="1560"/>
      <c r="E608" s="1491"/>
      <c r="F608" s="4518"/>
      <c r="G608" s="4519"/>
    </row>
    <row r="609" spans="3:7">
      <c r="C609" s="1307" t="s">
        <v>2066</v>
      </c>
      <c r="D609" s="1490">
        <v>2</v>
      </c>
      <c r="E609" s="1476">
        <f>claim901.4_3a</f>
        <v>0</v>
      </c>
      <c r="F609" s="4489">
        <f>note901.4_3</f>
        <v>0</v>
      </c>
      <c r="G609" s="4490"/>
    </row>
    <row r="610" spans="3:7">
      <c r="C610" s="1307" t="s">
        <v>2067</v>
      </c>
      <c r="D610" s="1490">
        <v>2</v>
      </c>
      <c r="E610" s="1476">
        <f>claim901.4_3b</f>
        <v>0</v>
      </c>
      <c r="F610" s="4491"/>
      <c r="G610" s="4492"/>
    </row>
    <row r="611" spans="3:7">
      <c r="C611" s="1307" t="s">
        <v>2068</v>
      </c>
      <c r="D611" s="1490">
        <v>2</v>
      </c>
      <c r="E611" s="1476">
        <f>claim901.4_3c</f>
        <v>0</v>
      </c>
      <c r="F611" s="4491"/>
      <c r="G611" s="4492"/>
    </row>
    <row r="612" spans="3:7">
      <c r="C612" s="1307" t="s">
        <v>2069</v>
      </c>
      <c r="D612" s="1490">
        <v>2</v>
      </c>
      <c r="E612" s="1476">
        <f>claim901.4_3d</f>
        <v>0</v>
      </c>
      <c r="F612" s="4493"/>
      <c r="G612" s="4494"/>
    </row>
    <row r="613" spans="3:7">
      <c r="C613" s="238" t="s">
        <v>2279</v>
      </c>
      <c r="D613" s="1560"/>
      <c r="E613" s="1491"/>
      <c r="F613" s="4518"/>
      <c r="G613" s="4519"/>
    </row>
    <row r="614" spans="3:7">
      <c r="C614" s="1307" t="s">
        <v>2066</v>
      </c>
      <c r="D614" s="1490">
        <v>3</v>
      </c>
      <c r="E614" s="1476">
        <f>claim901.4_4a</f>
        <v>0</v>
      </c>
      <c r="F614" s="4489">
        <f>note901.4_4</f>
        <v>0</v>
      </c>
      <c r="G614" s="4490"/>
    </row>
    <row r="615" spans="3:7">
      <c r="C615" s="1307" t="s">
        <v>2067</v>
      </c>
      <c r="D615" s="1490">
        <v>3</v>
      </c>
      <c r="E615" s="1476">
        <f>claim901.4_4b</f>
        <v>0</v>
      </c>
      <c r="F615" s="4491"/>
      <c r="G615" s="4492"/>
    </row>
    <row r="616" spans="3:7">
      <c r="C616" s="1307" t="s">
        <v>2068</v>
      </c>
      <c r="D616" s="1490">
        <v>3</v>
      </c>
      <c r="E616" s="1476">
        <f>claim901.4_4c</f>
        <v>0</v>
      </c>
      <c r="F616" s="4491"/>
      <c r="G616" s="4492"/>
    </row>
    <row r="617" spans="3:7">
      <c r="C617" s="1307" t="s">
        <v>2069</v>
      </c>
      <c r="D617" s="1490">
        <v>3</v>
      </c>
      <c r="E617" s="1476">
        <f>claim901.4_4d</f>
        <v>0</v>
      </c>
      <c r="F617" s="4493"/>
      <c r="G617" s="4494"/>
    </row>
    <row r="618" spans="3:7" ht="45" customHeight="1">
      <c r="C618" s="238" t="s">
        <v>2280</v>
      </c>
      <c r="D618" s="1560"/>
      <c r="E618" s="1491"/>
      <c r="F618" s="4518"/>
      <c r="G618" s="4519"/>
    </row>
    <row r="619" spans="3:7">
      <c r="C619" s="1307" t="s">
        <v>2066</v>
      </c>
      <c r="D619" s="1490">
        <v>4</v>
      </c>
      <c r="E619" s="1476">
        <f>claim901.4_5a</f>
        <v>0</v>
      </c>
      <c r="F619" s="4489">
        <f>note901.4_5</f>
        <v>0</v>
      </c>
      <c r="G619" s="4490"/>
    </row>
    <row r="620" spans="3:7">
      <c r="C620" s="1307" t="s">
        <v>2067</v>
      </c>
      <c r="D620" s="1490">
        <v>4</v>
      </c>
      <c r="E620" s="1476">
        <f>claim901.4_5b</f>
        <v>0</v>
      </c>
      <c r="F620" s="4491"/>
      <c r="G620" s="4492"/>
    </row>
    <row r="621" spans="3:7">
      <c r="C621" s="1307" t="s">
        <v>2068</v>
      </c>
      <c r="D621" s="1490">
        <v>4</v>
      </c>
      <c r="E621" s="1476">
        <f>claim901.4_5c</f>
        <v>0</v>
      </c>
      <c r="F621" s="4491"/>
      <c r="G621" s="4492"/>
    </row>
    <row r="622" spans="3:7">
      <c r="C622" s="1307" t="s">
        <v>2069</v>
      </c>
      <c r="D622" s="1490">
        <v>4</v>
      </c>
      <c r="E622" s="1476">
        <f>claim901.4_5d</f>
        <v>0</v>
      </c>
      <c r="F622" s="4493"/>
      <c r="G622" s="4494"/>
    </row>
    <row r="623" spans="3:7">
      <c r="C623" s="238" t="s">
        <v>2281</v>
      </c>
      <c r="D623" s="1560"/>
      <c r="E623" s="1491"/>
      <c r="F623" s="4518"/>
      <c r="G623" s="4519"/>
    </row>
    <row r="624" spans="3:7">
      <c r="C624" s="1307" t="s">
        <v>2066</v>
      </c>
      <c r="D624" s="1490">
        <v>4</v>
      </c>
      <c r="E624" s="1476">
        <f>claim901.4_6a</f>
        <v>0</v>
      </c>
      <c r="F624" s="4489">
        <f>note901.4_6</f>
        <v>0</v>
      </c>
      <c r="G624" s="4490"/>
    </row>
    <row r="625" spans="3:7">
      <c r="C625" s="1307" t="s">
        <v>2067</v>
      </c>
      <c r="D625" s="1490">
        <v>4</v>
      </c>
      <c r="E625" s="1476">
        <f>claim901.4_6b</f>
        <v>0</v>
      </c>
      <c r="F625" s="4491"/>
      <c r="G625" s="4492"/>
    </row>
    <row r="626" spans="3:7">
      <c r="C626" s="1307" t="s">
        <v>2068</v>
      </c>
      <c r="D626" s="1490">
        <v>4</v>
      </c>
      <c r="E626" s="1476">
        <f>claim901.4_6c</f>
        <v>0</v>
      </c>
      <c r="F626" s="4491"/>
      <c r="G626" s="4492"/>
    </row>
    <row r="627" spans="3:7" ht="16" thickBot="1">
      <c r="C627" s="1697" t="s">
        <v>2069</v>
      </c>
      <c r="D627" s="1686">
        <v>4</v>
      </c>
      <c r="E627" s="240">
        <f>claim901.4_6d</f>
        <v>0</v>
      </c>
      <c r="F627" s="4491"/>
      <c r="G627" s="4492"/>
    </row>
    <row r="628" spans="3:7" ht="31" thickTop="1">
      <c r="C628" s="241" t="s">
        <v>2284</v>
      </c>
      <c r="D628" s="843"/>
      <c r="E628" s="1590">
        <f>choice901.5</f>
        <v>0</v>
      </c>
      <c r="F628" s="4528"/>
      <c r="G628" s="4529"/>
    </row>
    <row r="629" spans="3:7" ht="30">
      <c r="C629" s="1589" t="s">
        <v>2285</v>
      </c>
      <c r="D629" s="1539">
        <v>3</v>
      </c>
      <c r="E629" s="1685" t="str">
        <f>IF(claim901.5=3,3,"")</f>
        <v/>
      </c>
      <c r="F629" s="4489">
        <f>note901.5</f>
        <v>0</v>
      </c>
      <c r="G629" s="4490"/>
    </row>
    <row r="630" spans="3:7" ht="45">
      <c r="C630" s="1589" t="s">
        <v>2286</v>
      </c>
      <c r="D630" s="1539">
        <v>5</v>
      </c>
      <c r="E630" s="1685" t="str">
        <f>IF(claim901.5=5,5,"")</f>
        <v/>
      </c>
      <c r="F630" s="4493"/>
      <c r="G630" s="4494"/>
    </row>
    <row r="631" spans="3:7">
      <c r="C631" s="315" t="s">
        <v>2287</v>
      </c>
      <c r="D631" s="1569"/>
      <c r="E631" s="1535"/>
      <c r="F631" s="4554"/>
      <c r="G631" s="4555"/>
    </row>
    <row r="632" spans="3:7">
      <c r="C632" s="238" t="s">
        <v>2288</v>
      </c>
      <c r="D632" s="1490" t="s">
        <v>3</v>
      </c>
      <c r="E632" s="1476">
        <f>claim901.6_1</f>
        <v>0</v>
      </c>
      <c r="F632" s="4512">
        <f>note901.6_1</f>
        <v>0</v>
      </c>
      <c r="G632" s="4513"/>
    </row>
    <row r="633" spans="3:7">
      <c r="C633" s="238" t="s">
        <v>2289</v>
      </c>
      <c r="D633" s="1490">
        <v>6</v>
      </c>
      <c r="E633" s="1476">
        <f>claim901.6_2_a</f>
        <v>0</v>
      </c>
      <c r="F633" s="4489">
        <f>note901.6_2</f>
        <v>0</v>
      </c>
      <c r="G633" s="4490"/>
    </row>
    <row r="634" spans="3:7" ht="16" thickBot="1">
      <c r="C634" s="251" t="s">
        <v>2290</v>
      </c>
      <c r="D634" s="252">
        <v>2</v>
      </c>
      <c r="E634" s="253">
        <f>claim901.6_2_b</f>
        <v>0</v>
      </c>
      <c r="F634" s="4506"/>
      <c r="G634" s="4507"/>
    </row>
    <row r="635" spans="3:7" ht="47" thickTop="1" thickBot="1">
      <c r="C635" s="1509" t="s">
        <v>2291</v>
      </c>
      <c r="D635" s="1686">
        <v>6</v>
      </c>
      <c r="E635" s="240">
        <f>claim901.7</f>
        <v>0</v>
      </c>
      <c r="F635" s="4504">
        <f>note901.7</f>
        <v>0</v>
      </c>
      <c r="G635" s="4505"/>
    </row>
    <row r="636" spans="3:7" ht="32" thickTop="1" thickBot="1">
      <c r="C636" s="263" t="s">
        <v>2292</v>
      </c>
      <c r="D636" s="1591">
        <v>4</v>
      </c>
      <c r="E636" s="1592">
        <f>claim901.8</f>
        <v>0</v>
      </c>
      <c r="F636" s="4522">
        <f>note901.8</f>
        <v>0</v>
      </c>
      <c r="G636" s="4523"/>
    </row>
    <row r="637" spans="3:7" ht="46" thickTop="1">
      <c r="C637" s="263" t="s">
        <v>2293</v>
      </c>
      <c r="D637" s="264"/>
      <c r="E637" s="264"/>
      <c r="F637" s="4516"/>
      <c r="G637" s="4517"/>
    </row>
    <row r="638" spans="3:7" ht="75">
      <c r="C638" s="238" t="s">
        <v>2294</v>
      </c>
      <c r="D638" s="1513">
        <v>5</v>
      </c>
      <c r="E638" s="1593">
        <f>claim901.9.1</f>
        <v>0</v>
      </c>
      <c r="F638" s="4512">
        <f>note901.9.1</f>
        <v>0</v>
      </c>
      <c r="G638" s="4513"/>
    </row>
    <row r="639" spans="3:7" ht="30" customHeight="1">
      <c r="C639" s="238" t="s">
        <v>2295</v>
      </c>
      <c r="D639" s="1513">
        <v>1</v>
      </c>
      <c r="E639" s="1593">
        <f>claim901.9.2</f>
        <v>0</v>
      </c>
      <c r="F639" s="4512">
        <f>note901.9.2</f>
        <v>0</v>
      </c>
      <c r="G639" s="4513"/>
    </row>
    <row r="640" spans="3:7" ht="31" thickBot="1">
      <c r="C640" s="251" t="s">
        <v>2296</v>
      </c>
      <c r="D640" s="1478">
        <v>8</v>
      </c>
      <c r="E640" s="1506">
        <f>claim901.9.3</f>
        <v>0</v>
      </c>
      <c r="F640" s="4526">
        <f>note901.9.3</f>
        <v>0</v>
      </c>
      <c r="G640" s="4527"/>
    </row>
    <row r="641" spans="3:7" ht="46" thickTop="1">
      <c r="C641" s="263" t="s">
        <v>2297</v>
      </c>
      <c r="D641" s="264"/>
      <c r="E641" s="1600"/>
      <c r="F641" s="4516"/>
      <c r="G641" s="4517"/>
    </row>
    <row r="642" spans="3:7">
      <c r="C642" s="238" t="s">
        <v>2298</v>
      </c>
      <c r="D642" s="1490">
        <v>8</v>
      </c>
      <c r="E642" s="1476" t="str">
        <f>IF(claim901.10=8,8,"")</f>
        <v/>
      </c>
      <c r="F642" s="4489">
        <f>note901.10</f>
        <v>0</v>
      </c>
      <c r="G642" s="4490"/>
    </row>
    <row r="643" spans="3:7">
      <c r="C643" s="238" t="s">
        <v>2299</v>
      </c>
      <c r="D643" s="1490">
        <v>5</v>
      </c>
      <c r="E643" s="1476" t="str">
        <f>IF(choice901.10="GreenSeal GS-36",5,"")</f>
        <v/>
      </c>
      <c r="F643" s="4491"/>
      <c r="G643" s="4492"/>
    </row>
    <row r="644" spans="3:7" ht="16" thickBot="1">
      <c r="C644" s="251" t="s">
        <v>2300</v>
      </c>
      <c r="D644" s="252">
        <v>5</v>
      </c>
      <c r="E644" s="253" t="str">
        <f>IF(choice901.10="SCAQMD Rule 1168",5,"")</f>
        <v/>
      </c>
      <c r="F644" s="4506"/>
      <c r="G644" s="4507"/>
    </row>
    <row r="645" spans="3:7" ht="47" thickTop="1" thickBot="1">
      <c r="C645" s="263" t="s">
        <v>2307</v>
      </c>
      <c r="D645" s="1591">
        <v>4</v>
      </c>
      <c r="E645" s="1592">
        <f>claim901.11</f>
        <v>0</v>
      </c>
      <c r="F645" s="4609">
        <f>note901.11</f>
        <v>0</v>
      </c>
      <c r="G645" s="4610"/>
    </row>
    <row r="646" spans="3:7" ht="32" thickTop="1" thickBot="1">
      <c r="C646" s="262" t="s">
        <v>2308</v>
      </c>
      <c r="D646" s="274">
        <v>3</v>
      </c>
      <c r="E646" s="261">
        <f>claim901.12</f>
        <v>0</v>
      </c>
      <c r="F646" s="4609">
        <f>note901.12</f>
        <v>0</v>
      </c>
      <c r="G646" s="4610"/>
    </row>
    <row r="647" spans="3:7" ht="16" thickTop="1">
      <c r="C647" s="263" t="s">
        <v>2309</v>
      </c>
      <c r="D647" s="264"/>
      <c r="E647" s="1600"/>
      <c r="F647" s="4516"/>
      <c r="G647" s="4517"/>
    </row>
    <row r="648" spans="3:7">
      <c r="C648" s="238" t="s">
        <v>650</v>
      </c>
      <c r="D648" s="1490">
        <v>1</v>
      </c>
      <c r="E648" s="1476" t="str">
        <f>IF(choice901.13="Exterior grilles",1,"")</f>
        <v/>
      </c>
      <c r="F648" s="4489">
        <f>note901.13</f>
        <v>0</v>
      </c>
      <c r="G648" s="4490"/>
    </row>
    <row r="649" spans="3:7" ht="16" thickBot="1">
      <c r="C649" s="251" t="s">
        <v>651</v>
      </c>
      <c r="D649" s="252">
        <v>1</v>
      </c>
      <c r="E649" s="253" t="str">
        <f>IF(choice901.13="Interior grilles",1,"")</f>
        <v/>
      </c>
      <c r="F649" s="4506"/>
      <c r="G649" s="4507"/>
    </row>
    <row r="650" spans="3:7" ht="16" thickTop="1">
      <c r="C650" s="2103" t="s">
        <v>2841</v>
      </c>
      <c r="D650" s="2133"/>
      <c r="E650" s="2134"/>
      <c r="F650" s="2135"/>
      <c r="G650" s="2136"/>
    </row>
    <row r="651" spans="3:7" ht="31" thickBot="1">
      <c r="C651" s="2132" t="s">
        <v>2839</v>
      </c>
      <c r="D651" s="2104">
        <v>1</v>
      </c>
      <c r="E651" s="2107">
        <f>claim901.14_1</f>
        <v>0</v>
      </c>
      <c r="F651" s="2105"/>
      <c r="G651" s="2106"/>
    </row>
    <row r="652" spans="3:7" ht="32" thickTop="1" thickBot="1">
      <c r="C652" s="2132" t="s">
        <v>2840</v>
      </c>
      <c r="D652" s="1687">
        <v>1</v>
      </c>
      <c r="E652" s="2138">
        <f>claim901.14_2</f>
        <v>0</v>
      </c>
      <c r="F652" s="4734">
        <f>note901.14</f>
        <v>0</v>
      </c>
      <c r="G652" s="4735"/>
    </row>
    <row r="653" spans="3:7" ht="16" thickBot="1">
      <c r="C653" s="4655" t="s">
        <v>652</v>
      </c>
      <c r="D653" s="4656"/>
      <c r="E653" s="4656"/>
      <c r="F653" s="4656"/>
      <c r="G653" s="4657"/>
    </row>
    <row r="654" spans="3:7" ht="16" thickBot="1">
      <c r="C654" s="1701" t="s">
        <v>2310</v>
      </c>
      <c r="D654" s="316"/>
      <c r="E654" s="316"/>
      <c r="F654" s="4732"/>
      <c r="G654" s="4733"/>
    </row>
    <row r="655" spans="3:7" ht="16" thickTop="1">
      <c r="C655" s="263" t="s">
        <v>653</v>
      </c>
      <c r="D655" s="294"/>
      <c r="E655" s="264"/>
      <c r="F655" s="4516"/>
      <c r="G655" s="4517"/>
    </row>
    <row r="656" spans="3:7">
      <c r="C656" s="297" t="s">
        <v>654</v>
      </c>
      <c r="D656" s="1569"/>
      <c r="E656" s="1565"/>
      <c r="F656" s="4554"/>
      <c r="G656" s="4555"/>
    </row>
    <row r="657" spans="3:7" ht="33" customHeight="1">
      <c r="C657" s="4570" t="s">
        <v>655</v>
      </c>
      <c r="D657" s="4486" t="s">
        <v>3</v>
      </c>
      <c r="E657" s="1534">
        <f>choice902.1.1_1</f>
        <v>0</v>
      </c>
      <c r="F657" s="4489">
        <f>note902.1.1_1</f>
        <v>0</v>
      </c>
      <c r="G657" s="4490"/>
    </row>
    <row r="658" spans="3:7">
      <c r="C658" s="4571"/>
      <c r="D658" s="4488"/>
      <c r="E658" s="1534" t="str">
        <f>IF(claim902.1.1_1=0,"0",claim902.1.1_1)</f>
        <v>0</v>
      </c>
      <c r="F658" s="4493"/>
      <c r="G658" s="4494"/>
    </row>
    <row r="659" spans="3:7" ht="22.5" customHeight="1">
      <c r="C659" s="238" t="s">
        <v>656</v>
      </c>
      <c r="D659" s="1490" t="s">
        <v>3</v>
      </c>
      <c r="E659" s="1534">
        <f>claim902.1.1_2</f>
        <v>0</v>
      </c>
      <c r="F659" s="4512">
        <f>note902.1.1_2</f>
        <v>0</v>
      </c>
      <c r="G659" s="4513"/>
    </row>
    <row r="660" spans="3:7">
      <c r="C660" s="238" t="s">
        <v>657</v>
      </c>
      <c r="D660" s="1490">
        <v>8</v>
      </c>
      <c r="E660" s="1476">
        <f>claim902.1.1_3</f>
        <v>0</v>
      </c>
      <c r="F660" s="4512">
        <f>note902.1.1_3</f>
        <v>0</v>
      </c>
      <c r="G660" s="4513"/>
    </row>
    <row r="661" spans="3:7">
      <c r="C661" s="297" t="s">
        <v>658</v>
      </c>
      <c r="D661" s="1570"/>
      <c r="E661" s="1571"/>
      <c r="F661" s="4554"/>
      <c r="G661" s="4555"/>
    </row>
    <row r="662" spans="3:7">
      <c r="C662" s="238" t="s">
        <v>659</v>
      </c>
      <c r="D662" s="1490">
        <v>5</v>
      </c>
      <c r="E662" s="1476" t="str">
        <f>IF(choice902.1.2="1 device",5,"")</f>
        <v/>
      </c>
      <c r="F662" s="4489">
        <f>note902.1.2</f>
        <v>0</v>
      </c>
      <c r="G662" s="4490"/>
    </row>
    <row r="663" spans="3:7">
      <c r="C663" s="238" t="s">
        <v>660</v>
      </c>
      <c r="D663" s="1490">
        <v>7</v>
      </c>
      <c r="E663" s="1476" t="str">
        <f>IF(choice902.1.2="2 devices",7,"")</f>
        <v/>
      </c>
      <c r="F663" s="4491"/>
      <c r="G663" s="4492"/>
    </row>
    <row r="664" spans="3:7">
      <c r="C664" s="238" t="s">
        <v>2312</v>
      </c>
      <c r="D664" s="1490">
        <v>9</v>
      </c>
      <c r="E664" s="1476" t="str">
        <f>IF(choice902.1.2="3 devices",9,"")</f>
        <v/>
      </c>
      <c r="F664" s="4491"/>
      <c r="G664" s="4492"/>
    </row>
    <row r="665" spans="3:7">
      <c r="C665" s="238" t="s">
        <v>2311</v>
      </c>
      <c r="D665" s="1490">
        <v>11</v>
      </c>
      <c r="E665" s="1476" t="str">
        <f>IF(choice902.1.2="4+ devices",11,"")</f>
        <v/>
      </c>
      <c r="F665" s="4493"/>
      <c r="G665" s="4494"/>
    </row>
    <row r="666" spans="3:7" ht="45">
      <c r="C666" s="297" t="s">
        <v>2313</v>
      </c>
      <c r="D666" s="1490">
        <v>8</v>
      </c>
      <c r="E666" s="1476">
        <f>claim902.1.3</f>
        <v>0</v>
      </c>
      <c r="F666" s="4512">
        <f>note902.1.3</f>
        <v>0</v>
      </c>
      <c r="G666" s="4513"/>
    </row>
    <row r="667" spans="3:7">
      <c r="C667" s="297" t="s">
        <v>661</v>
      </c>
      <c r="D667" s="1530" t="s">
        <v>601</v>
      </c>
      <c r="E667" s="1562">
        <f>claim902.1.4</f>
        <v>0</v>
      </c>
      <c r="F667" s="4489">
        <f>note902.1.4</f>
        <v>0</v>
      </c>
      <c r="G667" s="4490"/>
    </row>
    <row r="668" spans="3:7">
      <c r="C668" s="238" t="s">
        <v>662</v>
      </c>
      <c r="D668" s="1490" t="s">
        <v>663</v>
      </c>
      <c r="E668" s="1476">
        <f>choice902.1.4_1</f>
        <v>0</v>
      </c>
      <c r="F668" s="4491"/>
      <c r="G668" s="4492"/>
    </row>
    <row r="669" spans="3:7" ht="16" thickBot="1">
      <c r="C669" s="251" t="s">
        <v>664</v>
      </c>
      <c r="D669" s="252" t="s">
        <v>665</v>
      </c>
      <c r="E669" s="253">
        <f>choice902.1.4_2</f>
        <v>0</v>
      </c>
      <c r="F669" s="4506"/>
      <c r="G669" s="4507"/>
    </row>
    <row r="670" spans="3:7" ht="16" thickTop="1">
      <c r="C670" s="263" t="s">
        <v>666</v>
      </c>
      <c r="D670" s="275"/>
      <c r="E670" s="275"/>
      <c r="F670" s="4516"/>
      <c r="G670" s="4517"/>
    </row>
    <row r="671" spans="3:7" ht="75" customHeight="1">
      <c r="C671" s="297" t="s">
        <v>667</v>
      </c>
      <c r="D671" s="1513" t="s">
        <v>2318</v>
      </c>
      <c r="E671" s="1593">
        <f>choice902.2.1</f>
        <v>0</v>
      </c>
      <c r="F671" s="4554"/>
      <c r="G671" s="4555"/>
    </row>
    <row r="672" spans="3:7">
      <c r="C672" s="238" t="s">
        <v>2314</v>
      </c>
      <c r="D672" s="1490">
        <v>3</v>
      </c>
      <c r="E672" s="1476">
        <f>IF(claim902.2.1=3,3,0)</f>
        <v>0</v>
      </c>
      <c r="F672" s="4489">
        <f>note902.2.1</f>
        <v>0</v>
      </c>
      <c r="G672" s="4490"/>
    </row>
    <row r="673" spans="3:7" ht="39.75" customHeight="1">
      <c r="C673" s="238" t="s">
        <v>2315</v>
      </c>
      <c r="D673" s="1490">
        <v>6</v>
      </c>
      <c r="E673" s="1476">
        <f>IF(claim902.2.1=6,6,0)</f>
        <v>0</v>
      </c>
      <c r="F673" s="4491"/>
      <c r="G673" s="4492"/>
    </row>
    <row r="674" spans="3:7">
      <c r="C674" s="238" t="s">
        <v>2316</v>
      </c>
      <c r="D674" s="1490">
        <v>7</v>
      </c>
      <c r="E674" s="1476">
        <f>IF(claim902.2.1=7,7,0)</f>
        <v>0</v>
      </c>
      <c r="F674" s="4491"/>
      <c r="G674" s="4492"/>
    </row>
    <row r="675" spans="3:7">
      <c r="C675" s="238" t="s">
        <v>2317</v>
      </c>
      <c r="D675" s="1490">
        <v>8</v>
      </c>
      <c r="E675" s="1476">
        <f>IF(claim902.2.1=8,8,0)</f>
        <v>0</v>
      </c>
      <c r="F675" s="4493"/>
      <c r="G675" s="4494"/>
    </row>
    <row r="676" spans="3:7" ht="30">
      <c r="C676" s="297" t="s">
        <v>2319</v>
      </c>
      <c r="D676" s="1490">
        <v>8</v>
      </c>
      <c r="E676" s="1476">
        <f>claim902.2.2</f>
        <v>0</v>
      </c>
      <c r="F676" s="4512">
        <f>note902.2.2</f>
        <v>0</v>
      </c>
      <c r="G676" s="4513"/>
    </row>
    <row r="677" spans="3:7" ht="46" thickBot="1">
      <c r="C677" s="287" t="s">
        <v>2320</v>
      </c>
      <c r="D677" s="252">
        <v>3</v>
      </c>
      <c r="E677" s="253">
        <f>claim902.2.3</f>
        <v>0</v>
      </c>
      <c r="F677" s="4526">
        <f>note902.2.3</f>
        <v>0</v>
      </c>
      <c r="G677" s="4527"/>
    </row>
    <row r="678" spans="3:7" ht="16" thickTop="1">
      <c r="C678" s="263" t="s">
        <v>668</v>
      </c>
      <c r="D678" s="275"/>
      <c r="E678" s="275"/>
      <c r="F678" s="4516"/>
      <c r="G678" s="4517"/>
    </row>
    <row r="679" spans="3:7" ht="22.5" customHeight="1">
      <c r="C679" s="238" t="s">
        <v>669</v>
      </c>
      <c r="D679" s="1490" t="s">
        <v>3</v>
      </c>
      <c r="E679" s="1534">
        <f>claim902.3</f>
        <v>0</v>
      </c>
      <c r="F679" s="4489">
        <f>note902.3_1</f>
        <v>0</v>
      </c>
      <c r="G679" s="4490"/>
    </row>
    <row r="680" spans="3:7">
      <c r="C680" s="248" t="s">
        <v>670</v>
      </c>
      <c r="D680" s="1490">
        <v>7</v>
      </c>
      <c r="E680" s="1476">
        <f>IF(claim902.3_1=7,7,0)</f>
        <v>0</v>
      </c>
      <c r="F680" s="4491"/>
      <c r="G680" s="4492"/>
    </row>
    <row r="681" spans="3:7">
      <c r="C681" s="248" t="s">
        <v>671</v>
      </c>
      <c r="D681" s="1490">
        <v>10</v>
      </c>
      <c r="E681" s="1476">
        <f>IF(claim902.3_1=10,10,0)</f>
        <v>0</v>
      </c>
      <c r="F681" s="4493"/>
      <c r="G681" s="4494"/>
    </row>
    <row r="682" spans="3:7">
      <c r="C682" s="238" t="s">
        <v>672</v>
      </c>
      <c r="D682" s="1569"/>
      <c r="E682" s="1566"/>
      <c r="F682" s="4728"/>
      <c r="G682" s="4729"/>
    </row>
    <row r="683" spans="3:7" ht="16" thickBot="1">
      <c r="C683" s="292" t="s">
        <v>673</v>
      </c>
      <c r="D683" s="1490">
        <v>7</v>
      </c>
      <c r="E683" s="1476">
        <f>claim902.3_2</f>
        <v>0</v>
      </c>
      <c r="F683" s="4506">
        <f>note902.3_2</f>
        <v>0</v>
      </c>
      <c r="G683" s="4507"/>
    </row>
    <row r="684" spans="3:7" ht="16" thickTop="1">
      <c r="C684" s="263" t="s">
        <v>674</v>
      </c>
      <c r="D684" s="275"/>
      <c r="E684" s="275"/>
      <c r="F684" s="4516"/>
      <c r="G684" s="4517"/>
    </row>
    <row r="685" spans="3:7" ht="45" customHeight="1">
      <c r="C685" s="238" t="s">
        <v>2321</v>
      </c>
      <c r="D685" s="1490">
        <v>3</v>
      </c>
      <c r="E685" s="1476">
        <f>IF(choice902.4="Registers covered during construction",3,0)</f>
        <v>0</v>
      </c>
      <c r="F685" s="4512">
        <f>note902.4_1</f>
        <v>0</v>
      </c>
      <c r="G685" s="4513"/>
    </row>
    <row r="686" spans="3:7" ht="45" customHeight="1" thickBot="1">
      <c r="C686" s="251" t="s">
        <v>2322</v>
      </c>
      <c r="D686" s="252">
        <v>3</v>
      </c>
      <c r="E686" s="253">
        <f>IF(choice902.4="Registers vacuumed before occupancy",3,0)</f>
        <v>0</v>
      </c>
      <c r="F686" s="4526">
        <f>note902.4_2</f>
        <v>0</v>
      </c>
      <c r="G686" s="4527"/>
    </row>
    <row r="687" spans="3:7" ht="17" thickTop="1" thickBot="1">
      <c r="C687" s="262" t="s">
        <v>675</v>
      </c>
      <c r="D687" s="274">
        <v>3</v>
      </c>
      <c r="E687" s="261">
        <f>claim902.5</f>
        <v>0</v>
      </c>
      <c r="F687" s="4609">
        <f>note902.5</f>
        <v>0</v>
      </c>
      <c r="G687" s="4610"/>
    </row>
    <row r="688" spans="3:7" ht="31" thickTop="1">
      <c r="C688" s="1703" t="s">
        <v>2323</v>
      </c>
      <c r="D688" s="1602" t="s">
        <v>3</v>
      </c>
      <c r="E688" s="1603">
        <f>claim902.6</f>
        <v>0</v>
      </c>
      <c r="F688" s="4504">
        <f>note902.6</f>
        <v>0</v>
      </c>
      <c r="G688" s="4505"/>
    </row>
    <row r="689" spans="3:7">
      <c r="C689" s="4652" t="s">
        <v>676</v>
      </c>
      <c r="D689" s="4653"/>
      <c r="E689" s="4653"/>
      <c r="F689" s="4653"/>
      <c r="G689" s="4654"/>
    </row>
    <row r="690" spans="3:7">
      <c r="C690" s="1703" t="s">
        <v>2325</v>
      </c>
      <c r="D690" s="1687"/>
      <c r="E690" s="842"/>
      <c r="F690" s="4596"/>
      <c r="G690" s="4597"/>
    </row>
    <row r="691" spans="3:7" ht="30" customHeight="1">
      <c r="C691" s="238" t="s">
        <v>2324</v>
      </c>
      <c r="D691" s="1490">
        <v>2</v>
      </c>
      <c r="E691" s="1504">
        <f>IF(claim903.1=2,2,0)</f>
        <v>0</v>
      </c>
      <c r="F691" s="4512">
        <f>note903.1.1</f>
        <v>0</v>
      </c>
      <c r="G691" s="4513"/>
    </row>
    <row r="692" spans="3:7" ht="15" customHeight="1" thickBot="1">
      <c r="C692" s="251" t="s">
        <v>2326</v>
      </c>
      <c r="D692" s="252">
        <v>5</v>
      </c>
      <c r="E692" s="1506">
        <f>IF(claim903.1=5,5,0)</f>
        <v>0</v>
      </c>
      <c r="F692" s="4526">
        <f>note903.1.2</f>
        <v>0</v>
      </c>
      <c r="G692" s="4527"/>
    </row>
    <row r="693" spans="3:7" ht="16" thickTop="1">
      <c r="C693" s="263" t="s">
        <v>2327</v>
      </c>
      <c r="D693" s="264"/>
      <c r="E693" s="264"/>
      <c r="F693" s="4516"/>
      <c r="G693" s="4517"/>
    </row>
    <row r="694" spans="3:7">
      <c r="C694" s="297" t="s">
        <v>2328</v>
      </c>
      <c r="D694" s="1530">
        <v>1</v>
      </c>
      <c r="E694" s="1593">
        <f>IF(claim903.2=1,1,0)</f>
        <v>0</v>
      </c>
      <c r="F694" s="4512">
        <f>note903.2_1</f>
        <v>0</v>
      </c>
      <c r="G694" s="4513"/>
    </row>
    <row r="695" spans="3:7" ht="31" thickBot="1">
      <c r="C695" s="287" t="s">
        <v>2329</v>
      </c>
      <c r="D695" s="252">
        <v>3</v>
      </c>
      <c r="E695" s="1506">
        <f>IF(claim903.2=3,3,0)</f>
        <v>0</v>
      </c>
      <c r="F695" s="4526">
        <f>note903.2_2</f>
        <v>0</v>
      </c>
      <c r="G695" s="4527"/>
    </row>
    <row r="696" spans="3:7" ht="32" thickTop="1" thickBot="1">
      <c r="C696" s="1702" t="s">
        <v>2330</v>
      </c>
      <c r="D696" s="1604"/>
      <c r="E696" s="1605"/>
      <c r="F696" s="4578"/>
      <c r="G696" s="4579"/>
    </row>
    <row r="697" spans="3:7" ht="16" thickTop="1">
      <c r="C697" s="238" t="s">
        <v>2331</v>
      </c>
      <c r="D697" s="1513">
        <v>7</v>
      </c>
      <c r="E697" s="1504">
        <f>IF(choice903.3="additional dehumidification system",7,0)</f>
        <v>0</v>
      </c>
      <c r="F697" s="4522">
        <f>note903.3_1</f>
        <v>0</v>
      </c>
      <c r="G697" s="4523"/>
    </row>
    <row r="698" spans="3:7">
      <c r="C698" s="1698" t="s">
        <v>2332</v>
      </c>
      <c r="D698" s="1692">
        <v>7</v>
      </c>
      <c r="E698" s="1508">
        <f>IF(choice903.3="central HVAC system with dehumidification mode",7,0)</f>
        <v>0</v>
      </c>
      <c r="F698" s="4489">
        <f>note903.3_2</f>
        <v>0</v>
      </c>
      <c r="G698" s="4490"/>
    </row>
    <row r="699" spans="3:7">
      <c r="C699" s="4652" t="s">
        <v>677</v>
      </c>
      <c r="D699" s="4653"/>
      <c r="E699" s="4653"/>
      <c r="F699" s="4653"/>
      <c r="G699" s="4654"/>
    </row>
    <row r="700" spans="3:7" ht="60">
      <c r="C700" s="245" t="s">
        <v>2333</v>
      </c>
      <c r="D700" s="1688">
        <v>2</v>
      </c>
      <c r="E700" s="269">
        <f>claim904.1</f>
        <v>0</v>
      </c>
      <c r="F700" s="4512">
        <f>note904.1</f>
        <v>0</v>
      </c>
      <c r="G700" s="4513"/>
    </row>
    <row r="701" spans="3:7" ht="45">
      <c r="C701" s="286" t="s">
        <v>2334</v>
      </c>
      <c r="D701" s="1490">
        <v>2</v>
      </c>
      <c r="E701" s="1476">
        <f>claim904.2</f>
        <v>0</v>
      </c>
      <c r="F701" s="4512">
        <f>note904.2</f>
        <v>0</v>
      </c>
      <c r="G701" s="4513"/>
    </row>
    <row r="702" spans="3:7">
      <c r="C702" s="4658"/>
      <c r="D702" s="4659"/>
      <c r="E702" s="4659"/>
      <c r="F702" s="4659"/>
      <c r="G702" s="4660"/>
    </row>
    <row r="703" spans="3:7">
      <c r="C703" s="4652" t="s">
        <v>678</v>
      </c>
      <c r="D703" s="4653"/>
      <c r="E703" s="4653"/>
      <c r="F703" s="4653"/>
      <c r="G703" s="4654"/>
    </row>
    <row r="704" spans="3:7">
      <c r="C704" s="4652" t="s">
        <v>679</v>
      </c>
      <c r="D704" s="4653"/>
      <c r="E704" s="4653"/>
      <c r="F704" s="4653"/>
      <c r="G704" s="4654"/>
    </row>
    <row r="705" spans="3:7" ht="60">
      <c r="C705" s="245" t="s">
        <v>2195</v>
      </c>
      <c r="D705" s="317" t="s">
        <v>2196</v>
      </c>
      <c r="E705" s="1528">
        <f>claim1001.1</f>
        <v>0</v>
      </c>
      <c r="F705" s="4554"/>
      <c r="G705" s="4555"/>
    </row>
    <row r="706" spans="3:7">
      <c r="C706" s="238" t="s">
        <v>2200</v>
      </c>
      <c r="D706" s="1490" t="s">
        <v>3</v>
      </c>
      <c r="E706" s="1534">
        <f>IF(startSingleorMulti="Single-Family",choice1001.1_1,IF(startSingleorMulti="Multi-Unit","NA",choice1001.1_1))</f>
        <v>0</v>
      </c>
      <c r="F706" s="4574">
        <f>note1001.1_1</f>
        <v>0</v>
      </c>
      <c r="G706" s="4575"/>
    </row>
    <row r="707" spans="3:7">
      <c r="C707" s="238" t="s">
        <v>2201</v>
      </c>
      <c r="D707" s="1490" t="s">
        <v>3</v>
      </c>
      <c r="E707" s="1534">
        <f>IF(startSingleorMulti="Single-Family",choice1001.1_2,IF(startSingleorMulti="Multi-Unit","NA",choice1001.1_2))</f>
        <v>0</v>
      </c>
      <c r="F707" s="4574">
        <f>note1001.1_2</f>
        <v>0</v>
      </c>
      <c r="G707" s="4575"/>
    </row>
    <row r="708" spans="3:7" ht="30">
      <c r="C708" s="1698" t="s">
        <v>2202</v>
      </c>
      <c r="D708" s="1686" t="s">
        <v>3</v>
      </c>
      <c r="E708" s="845">
        <f>IF(startSingleorMulti="Single-Family",choice1001.1_3,IF(startSingleorMulti="Multi-Unit","NA",choice1001.1_3))</f>
        <v>0</v>
      </c>
      <c r="F708" s="4574">
        <f>note1001.1_3</f>
        <v>0</v>
      </c>
      <c r="G708" s="4575"/>
    </row>
    <row r="709" spans="3:7">
      <c r="C709" s="238" t="s">
        <v>2203</v>
      </c>
      <c r="D709" s="1490">
        <v>0.5</v>
      </c>
      <c r="E709" s="1476">
        <f>choice1001.1_4</f>
        <v>0</v>
      </c>
      <c r="F709" s="4574">
        <f>note1001.1_4</f>
        <v>0</v>
      </c>
      <c r="G709" s="4575"/>
    </row>
    <row r="710" spans="3:7">
      <c r="C710" s="238" t="s">
        <v>2204</v>
      </c>
      <c r="D710" s="1688">
        <v>0.5</v>
      </c>
      <c r="E710" s="1476">
        <f>choice1001.1_5</f>
        <v>0</v>
      </c>
      <c r="F710" s="4512">
        <f>note1001.1_5</f>
        <v>0</v>
      </c>
      <c r="G710" s="4513"/>
    </row>
    <row r="711" spans="3:7" ht="30">
      <c r="C711" s="238" t="s">
        <v>2205</v>
      </c>
      <c r="D711" s="1688">
        <v>0.5</v>
      </c>
      <c r="E711" s="1476">
        <f>choice1001.1_6</f>
        <v>0</v>
      </c>
      <c r="F711" s="4512">
        <f>note1001.1_6</f>
        <v>0</v>
      </c>
      <c r="G711" s="4513"/>
    </row>
    <row r="712" spans="3:7" ht="30">
      <c r="C712" s="238" t="s">
        <v>2206</v>
      </c>
      <c r="D712" s="1688">
        <v>0.5</v>
      </c>
      <c r="E712" s="1476">
        <f>choice1001.1_7</f>
        <v>0</v>
      </c>
      <c r="F712" s="4512">
        <f>note1001.1_7</f>
        <v>0</v>
      </c>
      <c r="G712" s="4513"/>
    </row>
    <row r="713" spans="3:7">
      <c r="C713" s="238" t="s">
        <v>2207</v>
      </c>
      <c r="D713" s="1688">
        <v>0.5</v>
      </c>
      <c r="E713" s="1476">
        <f>choice1001.1_8</f>
        <v>0</v>
      </c>
      <c r="F713" s="4512">
        <f>note1001.1_8</f>
        <v>0</v>
      </c>
      <c r="G713" s="4513"/>
    </row>
    <row r="714" spans="3:7">
      <c r="C714" s="238" t="s">
        <v>2208</v>
      </c>
      <c r="D714" s="1688">
        <v>0.5</v>
      </c>
      <c r="E714" s="1476">
        <f>choice1001.1_9</f>
        <v>0</v>
      </c>
      <c r="F714" s="4512">
        <f>note1001.1_9</f>
        <v>0</v>
      </c>
      <c r="G714" s="4513"/>
    </row>
    <row r="715" spans="3:7">
      <c r="C715" s="238" t="s">
        <v>2209</v>
      </c>
      <c r="D715" s="1688">
        <v>0.5</v>
      </c>
      <c r="E715" s="1476">
        <f>choice1001.1_10</f>
        <v>0</v>
      </c>
      <c r="F715" s="4512">
        <f>note1001.1_10</f>
        <v>0</v>
      </c>
      <c r="G715" s="4513"/>
    </row>
    <row r="716" spans="3:7">
      <c r="C716" s="238" t="s">
        <v>2210</v>
      </c>
      <c r="D716" s="1688">
        <v>0.5</v>
      </c>
      <c r="E716" s="1476">
        <f>choice1001.1_11</f>
        <v>0</v>
      </c>
      <c r="F716" s="4512">
        <f>note1001.1_11</f>
        <v>0</v>
      </c>
      <c r="G716" s="4513"/>
    </row>
    <row r="717" spans="3:7" ht="30">
      <c r="C717" s="238" t="s">
        <v>2211</v>
      </c>
      <c r="D717" s="1688">
        <v>0.5</v>
      </c>
      <c r="E717" s="1476">
        <f>choice1001.1_12</f>
        <v>0</v>
      </c>
      <c r="F717" s="4512">
        <f>note1001.1_12</f>
        <v>0</v>
      </c>
      <c r="G717" s="4513"/>
    </row>
    <row r="718" spans="3:7">
      <c r="C718" s="238" t="s">
        <v>2212</v>
      </c>
      <c r="D718" s="1688">
        <v>0.5</v>
      </c>
      <c r="E718" s="1476">
        <f>choice1001.1_13</f>
        <v>0</v>
      </c>
      <c r="F718" s="4512">
        <f>note1001.1_13</f>
        <v>0</v>
      </c>
      <c r="G718" s="4513"/>
    </row>
    <row r="719" spans="3:7" ht="30">
      <c r="C719" s="238" t="s">
        <v>2213</v>
      </c>
      <c r="D719" s="1688">
        <v>0.5</v>
      </c>
      <c r="E719" s="1476">
        <f>choice1001.1_14</f>
        <v>0</v>
      </c>
      <c r="F719" s="4512">
        <f>note1001.1_14</f>
        <v>0</v>
      </c>
      <c r="G719" s="4513"/>
    </row>
    <row r="720" spans="3:7">
      <c r="C720" s="238" t="s">
        <v>2214</v>
      </c>
      <c r="D720" s="1688">
        <v>0.5</v>
      </c>
      <c r="E720" s="1476">
        <f>choice1001.1_15</f>
        <v>0</v>
      </c>
      <c r="F720" s="4512">
        <f>note1001.1_15</f>
        <v>0</v>
      </c>
      <c r="G720" s="4513"/>
    </row>
    <row r="721" spans="3:7">
      <c r="C721" s="238" t="s">
        <v>680</v>
      </c>
      <c r="D721" s="1688">
        <v>0.5</v>
      </c>
      <c r="E721" s="1476">
        <f>choice1001.1_16</f>
        <v>0</v>
      </c>
      <c r="F721" s="4512">
        <f>note1001.1_16</f>
        <v>0</v>
      </c>
      <c r="G721" s="4513"/>
    </row>
    <row r="722" spans="3:7" ht="30">
      <c r="C722" s="238" t="s">
        <v>2215</v>
      </c>
      <c r="D722" s="1688">
        <v>0.5</v>
      </c>
      <c r="E722" s="1476">
        <f>choice1001.1_17</f>
        <v>0</v>
      </c>
      <c r="F722" s="4512">
        <f>note1001.1_17</f>
        <v>0</v>
      </c>
      <c r="G722" s="4513"/>
    </row>
    <row r="723" spans="3:7">
      <c r="C723" s="238" t="s">
        <v>2216</v>
      </c>
      <c r="D723" s="1688">
        <v>0.5</v>
      </c>
      <c r="E723" s="1476">
        <f>choice1001.1_18</f>
        <v>0</v>
      </c>
      <c r="F723" s="4512">
        <f>note1001.1_18</f>
        <v>0</v>
      </c>
      <c r="G723" s="4513"/>
    </row>
    <row r="724" spans="3:7" ht="30">
      <c r="C724" s="238" t="s">
        <v>2217</v>
      </c>
      <c r="D724" s="1688">
        <v>0.5</v>
      </c>
      <c r="E724" s="1476">
        <f>choice1001.1_19</f>
        <v>0</v>
      </c>
      <c r="F724" s="4512">
        <f>note1001.1_19</f>
        <v>0</v>
      </c>
      <c r="G724" s="4513"/>
    </row>
    <row r="725" spans="3:7" ht="30">
      <c r="C725" s="1698" t="s">
        <v>2218</v>
      </c>
      <c r="D725" s="1687">
        <v>0.5</v>
      </c>
      <c r="E725" s="240">
        <f>choice1001.1_20</f>
        <v>0</v>
      </c>
      <c r="F725" s="4489">
        <f>note1001.1_20</f>
        <v>0</v>
      </c>
      <c r="G725" s="4490"/>
    </row>
    <row r="726" spans="3:7" ht="30">
      <c r="C726" s="1698" t="s">
        <v>2219</v>
      </c>
      <c r="D726" s="1686">
        <v>0.5</v>
      </c>
      <c r="E726" s="240">
        <f>choice1001.1_21</f>
        <v>0</v>
      </c>
      <c r="F726" s="4489">
        <f>note1001.1_21</f>
        <v>0</v>
      </c>
      <c r="G726" s="4490"/>
    </row>
    <row r="727" spans="3:7" ht="15.75" customHeight="1">
      <c r="C727" s="4652" t="s">
        <v>681</v>
      </c>
      <c r="D727" s="4653"/>
      <c r="E727" s="4653"/>
      <c r="F727" s="4653"/>
      <c r="G727" s="4654"/>
    </row>
    <row r="728" spans="3:7" ht="150">
      <c r="C728" s="1703" t="s">
        <v>2197</v>
      </c>
      <c r="D728" s="313">
        <v>8</v>
      </c>
      <c r="E728" s="244">
        <f>claim1002.1</f>
        <v>0</v>
      </c>
      <c r="F728" s="4489">
        <f>note1002.1</f>
        <v>0</v>
      </c>
      <c r="G728" s="4490"/>
    </row>
    <row r="729" spans="3:7" ht="15.75" customHeight="1">
      <c r="C729" s="4652" t="s">
        <v>682</v>
      </c>
      <c r="D729" s="4653"/>
      <c r="E729" s="4653"/>
      <c r="F729" s="4653"/>
      <c r="G729" s="4654"/>
    </row>
    <row r="730" spans="3:7" ht="76" thickBot="1">
      <c r="C730" s="1703" t="s">
        <v>2199</v>
      </c>
      <c r="D730" s="318"/>
      <c r="E730" s="318"/>
      <c r="F730" s="4580"/>
      <c r="G730" s="4581"/>
    </row>
    <row r="731" spans="3:7" ht="91" thickTop="1">
      <c r="C731" s="241" t="s">
        <v>2198</v>
      </c>
      <c r="D731" s="319" t="s">
        <v>683</v>
      </c>
      <c r="E731" s="320">
        <f>claim1003.1</f>
        <v>0</v>
      </c>
      <c r="F731" s="4516"/>
      <c r="G731" s="4517"/>
    </row>
    <row r="732" spans="3:7" ht="30">
      <c r="C732" s="238" t="s">
        <v>2220</v>
      </c>
      <c r="D732" s="1490" t="s">
        <v>3</v>
      </c>
      <c r="E732" s="1534">
        <f>IF(startSingleorMulti&lt;&gt;"Single-Family",choice1003.1_1,"NA")</f>
        <v>0</v>
      </c>
      <c r="F732" s="4512">
        <f>note1003.1_1</f>
        <v>0</v>
      </c>
      <c r="G732" s="4513"/>
    </row>
    <row r="733" spans="3:7" ht="42" customHeight="1">
      <c r="C733" s="238" t="s">
        <v>2221</v>
      </c>
      <c r="D733" s="1490" t="s">
        <v>3</v>
      </c>
      <c r="E733" s="1534">
        <f>IF(startSingleorMulti&lt;&gt;"Single-Family",choice1003.1_2,"NA")</f>
        <v>0</v>
      </c>
      <c r="F733" s="4512">
        <f>note1003.1_2</f>
        <v>0</v>
      </c>
      <c r="G733" s="4513"/>
    </row>
    <row r="734" spans="3:7" ht="30">
      <c r="C734" s="1698" t="s">
        <v>2222</v>
      </c>
      <c r="D734" s="1686" t="s">
        <v>3</v>
      </c>
      <c r="E734" s="845">
        <f>IF(startSingleorMulti&lt;&gt;"Single-Family",choice1003.1_3,"NA")</f>
        <v>0</v>
      </c>
      <c r="F734" s="4512">
        <f>note1003.1_3</f>
        <v>0</v>
      </c>
      <c r="G734" s="4513"/>
    </row>
    <row r="735" spans="3:7">
      <c r="C735" s="238" t="s">
        <v>2223</v>
      </c>
      <c r="D735" s="1572">
        <v>0.5</v>
      </c>
      <c r="E735" s="1476">
        <f>choice1003.1_4</f>
        <v>0</v>
      </c>
      <c r="F735" s="4512">
        <f>note1003.1_4</f>
        <v>0</v>
      </c>
      <c r="G735" s="4513"/>
    </row>
    <row r="736" spans="3:7" ht="30">
      <c r="C736" s="238" t="s">
        <v>2224</v>
      </c>
      <c r="D736" s="1572">
        <v>0.5</v>
      </c>
      <c r="E736" s="1476">
        <f>choice1003.1_5</f>
        <v>0</v>
      </c>
      <c r="F736" s="4512">
        <f>note1003.1_5</f>
        <v>0</v>
      </c>
      <c r="G736" s="4513"/>
    </row>
    <row r="737" spans="3:7">
      <c r="C737" s="238" t="s">
        <v>2225</v>
      </c>
      <c r="D737" s="1572">
        <v>0.5</v>
      </c>
      <c r="E737" s="1476">
        <f>choice1003.1_6</f>
        <v>0</v>
      </c>
      <c r="F737" s="4512">
        <f>note1003.1_6</f>
        <v>0</v>
      </c>
      <c r="G737" s="4513"/>
    </row>
    <row r="738" spans="3:7">
      <c r="C738" s="238" t="s">
        <v>2226</v>
      </c>
      <c r="D738" s="1572">
        <v>0.5</v>
      </c>
      <c r="E738" s="1476">
        <f>choice1003.1_7</f>
        <v>0</v>
      </c>
      <c r="F738" s="4512">
        <f>note1003.1_7</f>
        <v>0</v>
      </c>
      <c r="G738" s="4513"/>
    </row>
    <row r="739" spans="3:7" ht="30" customHeight="1" thickBot="1">
      <c r="C739" s="1698" t="s">
        <v>2227</v>
      </c>
      <c r="D739" s="321">
        <v>0.5</v>
      </c>
      <c r="E739" s="240">
        <f>choice1003.1_8</f>
        <v>0</v>
      </c>
      <c r="F739" s="4526">
        <f>note1003.1_8</f>
        <v>0</v>
      </c>
      <c r="G739" s="4527"/>
    </row>
    <row r="740" spans="3:7" ht="91" thickTop="1">
      <c r="C740" s="263" t="s">
        <v>2228</v>
      </c>
      <c r="D740" s="319" t="s">
        <v>684</v>
      </c>
      <c r="E740" s="322">
        <f>claim1003.2</f>
        <v>0</v>
      </c>
      <c r="F740" s="4516"/>
      <c r="G740" s="4517"/>
    </row>
    <row r="741" spans="3:7">
      <c r="C741" s="238" t="s">
        <v>2229</v>
      </c>
      <c r="D741" s="1490" t="s">
        <v>3</v>
      </c>
      <c r="E741" s="1559">
        <f>IF(startSingleorMulti&lt;&gt;"Single-Family",choice1003.2_1,"N/A")</f>
        <v>0</v>
      </c>
      <c r="F741" s="4512">
        <f>note1003.2_1</f>
        <v>0</v>
      </c>
      <c r="G741" s="4513"/>
    </row>
    <row r="742" spans="3:7">
      <c r="C742" s="238" t="s">
        <v>2230</v>
      </c>
      <c r="D742" s="1490" t="s">
        <v>3</v>
      </c>
      <c r="E742" s="1559">
        <f>IF(startSingleorMulti&lt;&gt;"Single-Family",choice1003.2_2,"N/A")</f>
        <v>0</v>
      </c>
      <c r="F742" s="4512">
        <f>note1003.2_2</f>
        <v>0</v>
      </c>
      <c r="G742" s="4513"/>
    </row>
    <row r="743" spans="3:7" ht="30">
      <c r="C743" s="1698" t="s">
        <v>2231</v>
      </c>
      <c r="D743" s="1686">
        <v>0.5</v>
      </c>
      <c r="E743" s="845">
        <f>IF(startSingleorMulti&lt;&gt;"Single-Family",choice1003.2_3,"N/A")</f>
        <v>0</v>
      </c>
      <c r="F743" s="4512">
        <f>note1003.2_3</f>
        <v>0</v>
      </c>
      <c r="G743" s="4513"/>
    </row>
    <row r="744" spans="3:7" ht="45">
      <c r="C744" s="238" t="s">
        <v>2232</v>
      </c>
      <c r="D744" s="1573">
        <v>0.5</v>
      </c>
      <c r="E744" s="1476">
        <f>choice1003.2_4</f>
        <v>0</v>
      </c>
      <c r="F744" s="4512">
        <f>note1003.2_4</f>
        <v>0</v>
      </c>
      <c r="G744" s="4513"/>
    </row>
    <row r="745" spans="3:7" ht="30">
      <c r="C745" s="238" t="s">
        <v>2233</v>
      </c>
      <c r="D745" s="323">
        <v>0.5</v>
      </c>
      <c r="E745" s="1476">
        <f>choice1003.2_5</f>
        <v>0</v>
      </c>
      <c r="F745" s="4512">
        <f>note1003.2_5</f>
        <v>0</v>
      </c>
      <c r="G745" s="4513"/>
    </row>
    <row r="746" spans="3:7">
      <c r="C746" s="238" t="s">
        <v>2234</v>
      </c>
      <c r="D746" s="323">
        <v>0.5</v>
      </c>
      <c r="E746" s="1476">
        <f>choice1003.2_6</f>
        <v>0</v>
      </c>
      <c r="F746" s="4512">
        <f>note1003.2_6</f>
        <v>0</v>
      </c>
      <c r="G746" s="4513"/>
    </row>
    <row r="747" spans="3:7" ht="30">
      <c r="C747" s="238" t="s">
        <v>2235</v>
      </c>
      <c r="D747" s="323">
        <v>0.5</v>
      </c>
      <c r="E747" s="1476">
        <f>choice1003.2_7</f>
        <v>0</v>
      </c>
      <c r="F747" s="4512">
        <f>note1003.2_7</f>
        <v>0</v>
      </c>
      <c r="G747" s="4513"/>
    </row>
    <row r="748" spans="3:7">
      <c r="C748" s="238" t="s">
        <v>2236</v>
      </c>
      <c r="D748" s="323">
        <v>0.5</v>
      </c>
      <c r="E748" s="1476">
        <f>choice1003.2_8</f>
        <v>0</v>
      </c>
      <c r="F748" s="4512">
        <f>note1003.2_8</f>
        <v>0</v>
      </c>
      <c r="G748" s="4513"/>
    </row>
    <row r="749" spans="3:7" ht="30">
      <c r="C749" s="238" t="s">
        <v>2237</v>
      </c>
      <c r="D749" s="323">
        <v>0.5</v>
      </c>
      <c r="E749" s="1476">
        <f>choice1003.2_9</f>
        <v>0</v>
      </c>
      <c r="F749" s="4512">
        <f>note1003.2_9</f>
        <v>0</v>
      </c>
      <c r="G749" s="4513"/>
    </row>
    <row r="750" spans="3:7" ht="46" thickBot="1">
      <c r="C750" s="1698" t="s">
        <v>2238</v>
      </c>
      <c r="D750" s="324">
        <v>0.5</v>
      </c>
      <c r="E750" s="240">
        <f>choice1003.2_10</f>
        <v>0</v>
      </c>
      <c r="F750" s="4526">
        <f>note1003.2_10</f>
        <v>0</v>
      </c>
      <c r="G750" s="4527"/>
    </row>
    <row r="751" spans="3:7" ht="91" thickTop="1">
      <c r="C751" s="263" t="s">
        <v>2239</v>
      </c>
      <c r="D751" s="319" t="s">
        <v>685</v>
      </c>
      <c r="E751" s="322">
        <f>claim1003.3</f>
        <v>0</v>
      </c>
      <c r="F751" s="4516"/>
      <c r="G751" s="4517"/>
    </row>
    <row r="752" spans="3:7" ht="30">
      <c r="C752" s="238" t="s">
        <v>2240</v>
      </c>
      <c r="D752" s="1490" t="s">
        <v>3</v>
      </c>
      <c r="E752" s="1559">
        <f>IF(startSingleorMulti&lt;&gt;"Single-Family",choice1003.3_1,"N/A")</f>
        <v>0</v>
      </c>
      <c r="F752" s="4512">
        <f>note1003.3_1</f>
        <v>0</v>
      </c>
      <c r="G752" s="4513"/>
    </row>
    <row r="753" spans="3:7" ht="41.25" customHeight="1">
      <c r="C753" s="238" t="s">
        <v>2241</v>
      </c>
      <c r="D753" s="1490">
        <v>0.5</v>
      </c>
      <c r="E753" s="1476">
        <f>choice1003.3_2</f>
        <v>0</v>
      </c>
      <c r="F753" s="4512">
        <f>note1003.1_2</f>
        <v>0</v>
      </c>
      <c r="G753" s="4513"/>
    </row>
    <row r="754" spans="3:7" ht="105">
      <c r="C754" s="238" t="s">
        <v>686</v>
      </c>
      <c r="D754" s="1574">
        <v>0.5</v>
      </c>
      <c r="E754" s="1476">
        <f>choice1003.3_3</f>
        <v>0</v>
      </c>
      <c r="F754" s="4512">
        <f>note1003.3_3</f>
        <v>0</v>
      </c>
      <c r="G754" s="4513"/>
    </row>
    <row r="755" spans="3:7" ht="30">
      <c r="C755" s="238" t="s">
        <v>2242</v>
      </c>
      <c r="D755" s="1574">
        <v>0.5</v>
      </c>
      <c r="E755" s="1476">
        <f>choice1003.3_4</f>
        <v>0</v>
      </c>
      <c r="F755" s="4512">
        <f>note1003.3_4</f>
        <v>0</v>
      </c>
      <c r="G755" s="4513"/>
    </row>
    <row r="756" spans="3:7">
      <c r="C756" s="238" t="s">
        <v>2243</v>
      </c>
      <c r="D756" s="1574">
        <v>0.5</v>
      </c>
      <c r="E756" s="1476">
        <f>choice1003.3_5</f>
        <v>0</v>
      </c>
      <c r="F756" s="4512">
        <f>note1003.3_5</f>
        <v>0</v>
      </c>
      <c r="G756" s="4513"/>
    </row>
    <row r="757" spans="3:7" ht="30">
      <c r="C757" s="238" t="s">
        <v>2244</v>
      </c>
      <c r="D757" s="1574">
        <v>0.5</v>
      </c>
      <c r="E757" s="1476">
        <f>choice1003.3_6</f>
        <v>0</v>
      </c>
      <c r="F757" s="4512">
        <f>note1003.3_6</f>
        <v>0</v>
      </c>
      <c r="G757" s="4513"/>
    </row>
    <row r="758" spans="3:7">
      <c r="C758" s="238" t="s">
        <v>2245</v>
      </c>
      <c r="D758" s="1574">
        <v>0.5</v>
      </c>
      <c r="E758" s="1476">
        <f>choice1003.3_7</f>
        <v>0</v>
      </c>
      <c r="F758" s="4512">
        <f>note1003.3_7</f>
        <v>0</v>
      </c>
      <c r="G758" s="4513"/>
    </row>
    <row r="759" spans="3:7">
      <c r="C759" s="238" t="s">
        <v>2246</v>
      </c>
      <c r="D759" s="1574">
        <v>0.5</v>
      </c>
      <c r="E759" s="1476">
        <f>choice1003.3_8</f>
        <v>0</v>
      </c>
      <c r="F759" s="4512">
        <f>note1003.3_8</f>
        <v>0</v>
      </c>
      <c r="G759" s="4513"/>
    </row>
    <row r="760" spans="3:7" ht="30" customHeight="1">
      <c r="C760" s="238" t="s">
        <v>2247</v>
      </c>
      <c r="D760" s="1574">
        <v>0.5</v>
      </c>
      <c r="E760" s="1476">
        <f>choice1003.3_9</f>
        <v>0</v>
      </c>
      <c r="F760" s="4512">
        <f>note1003.3_9</f>
        <v>0</v>
      </c>
      <c r="G760" s="4513"/>
    </row>
    <row r="761" spans="3:7" ht="16" thickBot="1">
      <c r="C761" s="4646"/>
      <c r="D761" s="4647"/>
      <c r="E761" s="4647"/>
      <c r="F761" s="4647"/>
      <c r="G761" s="4648"/>
    </row>
    <row r="762" spans="3:7" ht="16" thickTop="1">
      <c r="C762" s="4736" t="str">
        <f>CONCATENATE(copyright," All rights reserved.  This document is protected by U.S. copyright law. Requirements from ICC700-2012 National Green Building Standard™ © 2013 National Association of Home Builders of the U.S. - used by permission."," Home Innovation authorizes use of this document only by those individuals/organizations participating in Home Innovation's Green Building Certification and solely for purpose of seeking project certification from the Home Innovation Research Labs.")</f>
        <v>© 2020 Home Innovation Research Labs, Inc. All rights reserved.  This document is protected by U.S. copyright law. Requirements from ICC700-2012 National Green Building Standard™ © 2013 National Association of Home Builders of the U.S. - used by permission. Home Innovation authorizes use of this document only by those individuals/organizations participating in Home Innovation's Green Building Certification and solely for purpose of seeking project certification from the Home Innovation Research Labs.</v>
      </c>
      <c r="D762" s="4736"/>
      <c r="E762" s="4736"/>
      <c r="F762" s="4736"/>
      <c r="G762" s="4736"/>
    </row>
    <row r="763" spans="3:7">
      <c r="C763" s="4231"/>
      <c r="D763" s="4231"/>
      <c r="E763" s="4231"/>
      <c r="F763" s="4231"/>
      <c r="G763" s="4231"/>
    </row>
    <row r="764" spans="3:7">
      <c r="C764" s="4231"/>
      <c r="D764" s="4231"/>
      <c r="E764" s="4231"/>
      <c r="F764" s="4231"/>
      <c r="G764" s="4231"/>
    </row>
  </sheetData>
  <sheetProtection algorithmName="SHA-512" hashValue="QScCQHdqkvziGP9Ty2gGuFO2ZHA47bWspPGkMR9n/31spLVMGQRYu2jVkonskOz6Edk9P4wpFvbfDh+ImW5sAQ==" saltValue="nPfa/eOTq67HK63g3O1aDQ==" spinCount="100000" sheet="1" objects="1" scenarios="1" formatRows="0" selectLockedCells="1" autoFilter="0"/>
  <autoFilter ref="C10:G760" xr:uid="{00000000-0009-0000-0000-000007000000}">
    <filterColumn colId="3" showButton="0"/>
  </autoFilter>
  <mergeCells count="604">
    <mergeCell ref="F211:G211"/>
    <mergeCell ref="F218:G220"/>
    <mergeCell ref="F198:G198"/>
    <mergeCell ref="F180:G180"/>
    <mergeCell ref="F181:G181"/>
    <mergeCell ref="F184:G184"/>
    <mergeCell ref="F185:G185"/>
    <mergeCell ref="F182:G183"/>
    <mergeCell ref="F187:G189"/>
    <mergeCell ref="F193:G193"/>
    <mergeCell ref="F205:G205"/>
    <mergeCell ref="C762:G764"/>
    <mergeCell ref="D1:E1"/>
    <mergeCell ref="C207:C208"/>
    <mergeCell ref="D207:D208"/>
    <mergeCell ref="F207:G208"/>
    <mergeCell ref="C209:C210"/>
    <mergeCell ref="D209:D210"/>
    <mergeCell ref="F209:G210"/>
    <mergeCell ref="F213:G213"/>
    <mergeCell ref="F217:G217"/>
    <mergeCell ref="F214:G216"/>
    <mergeCell ref="F199:G201"/>
    <mergeCell ref="F203:G203"/>
    <mergeCell ref="F204:G204"/>
    <mergeCell ref="F88:G88"/>
    <mergeCell ref="F89:G89"/>
    <mergeCell ref="F90:G90"/>
    <mergeCell ref="F91:G91"/>
    <mergeCell ref="F92:G92"/>
    <mergeCell ref="F609:G612"/>
    <mergeCell ref="F614:G617"/>
    <mergeCell ref="F619:G622"/>
    <mergeCell ref="F624:G627"/>
    <mergeCell ref="C112:G112"/>
    <mergeCell ref="F670:G670"/>
    <mergeCell ref="F671:G671"/>
    <mergeCell ref="F666:G666"/>
    <mergeCell ref="F659:G659"/>
    <mergeCell ref="F656:G656"/>
    <mergeCell ref="F642:G644"/>
    <mergeCell ref="F635:G635"/>
    <mergeCell ref="F636:G636"/>
    <mergeCell ref="F637:G637"/>
    <mergeCell ref="F638:G638"/>
    <mergeCell ref="F639:G639"/>
    <mergeCell ref="F640:G640"/>
    <mergeCell ref="F641:G641"/>
    <mergeCell ref="F645:G645"/>
    <mergeCell ref="F646:G646"/>
    <mergeCell ref="F648:G649"/>
    <mergeCell ref="F652:G652"/>
    <mergeCell ref="F654:G654"/>
    <mergeCell ref="F655:G655"/>
    <mergeCell ref="F667:G669"/>
    <mergeCell ref="F552:G552"/>
    <mergeCell ref="F558:G558"/>
    <mergeCell ref="F561:G561"/>
    <mergeCell ref="F562:G562"/>
    <mergeCell ref="F601:G601"/>
    <mergeCell ref="F304:G304"/>
    <mergeCell ref="F305:G305"/>
    <mergeCell ref="F306:G306"/>
    <mergeCell ref="F337:G338"/>
    <mergeCell ref="F492:G492"/>
    <mergeCell ref="F493:G493"/>
    <mergeCell ref="F505:G505"/>
    <mergeCell ref="F506:G506"/>
    <mergeCell ref="F507:G507"/>
    <mergeCell ref="F479:G479"/>
    <mergeCell ref="F480:G480"/>
    <mergeCell ref="F322:G322"/>
    <mergeCell ref="F324:G324"/>
    <mergeCell ref="F323:G323"/>
    <mergeCell ref="F494:G497"/>
    <mergeCell ref="F360:G360"/>
    <mergeCell ref="F361:G364"/>
    <mergeCell ref="C478:G478"/>
    <mergeCell ref="D390:D392"/>
    <mergeCell ref="F687:G687"/>
    <mergeCell ref="F688:G688"/>
    <mergeCell ref="F690:G690"/>
    <mergeCell ref="F691:G691"/>
    <mergeCell ref="F692:G692"/>
    <mergeCell ref="F694:G694"/>
    <mergeCell ref="F693:G693"/>
    <mergeCell ref="F682:G682"/>
    <mergeCell ref="F679:G681"/>
    <mergeCell ref="F684:G684"/>
    <mergeCell ref="F683:G683"/>
    <mergeCell ref="F676:G676"/>
    <mergeCell ref="F677:G677"/>
    <mergeCell ref="F672:G675"/>
    <mergeCell ref="F678:G678"/>
    <mergeCell ref="F660:G660"/>
    <mergeCell ref="F661:G661"/>
    <mergeCell ref="F685:G685"/>
    <mergeCell ref="F686:G686"/>
    <mergeCell ref="C257:G257"/>
    <mergeCell ref="F487:G487"/>
    <mergeCell ref="F261:G263"/>
    <mergeCell ref="F298:G298"/>
    <mergeCell ref="D325:D328"/>
    <mergeCell ref="E325:E328"/>
    <mergeCell ref="F537:G537"/>
    <mergeCell ref="F539:G544"/>
    <mergeCell ref="F594:G594"/>
    <mergeCell ref="F513:G515"/>
    <mergeCell ref="F519:G521"/>
    <mergeCell ref="C294:G294"/>
    <mergeCell ref="F307:G307"/>
    <mergeCell ref="C269:G269"/>
    <mergeCell ref="F270:G270"/>
    <mergeCell ref="C297:G297"/>
    <mergeCell ref="D8:E8"/>
    <mergeCell ref="F111:G111"/>
    <mergeCell ref="F110:G110"/>
    <mergeCell ref="F104:G104"/>
    <mergeCell ref="F105:G105"/>
    <mergeCell ref="F94:G94"/>
    <mergeCell ref="F93:G93"/>
    <mergeCell ref="F96:G96"/>
    <mergeCell ref="F103:G103"/>
    <mergeCell ref="F97:G97"/>
    <mergeCell ref="F98:G98"/>
    <mergeCell ref="F106:G106"/>
    <mergeCell ref="F107:G109"/>
    <mergeCell ref="F99:G99"/>
    <mergeCell ref="F100:G102"/>
    <mergeCell ref="F67:G67"/>
    <mergeCell ref="F49:G49"/>
    <mergeCell ref="F50:G50"/>
    <mergeCell ref="F47:G47"/>
    <mergeCell ref="F83:G83"/>
    <mergeCell ref="F84:G84"/>
    <mergeCell ref="F85:G85"/>
    <mergeCell ref="F86:G86"/>
    <mergeCell ref="F87:G87"/>
    <mergeCell ref="F16:G16"/>
    <mergeCell ref="F10:G10"/>
    <mergeCell ref="F27:G27"/>
    <mergeCell ref="F28:G28"/>
    <mergeCell ref="F17:G17"/>
    <mergeCell ref="F18:G18"/>
    <mergeCell ref="F19:G19"/>
    <mergeCell ref="F20:G20"/>
    <mergeCell ref="F21:G21"/>
    <mergeCell ref="F25:G25"/>
    <mergeCell ref="F31:G31"/>
    <mergeCell ref="F32:G32"/>
    <mergeCell ref="F70:G70"/>
    <mergeCell ref="F71:G71"/>
    <mergeCell ref="D58:E58"/>
    <mergeCell ref="F34:G34"/>
    <mergeCell ref="F22:G22"/>
    <mergeCell ref="F23:G23"/>
    <mergeCell ref="F33:G33"/>
    <mergeCell ref="F48:G48"/>
    <mergeCell ref="F39:G41"/>
    <mergeCell ref="F55:G55"/>
    <mergeCell ref="F56:G56"/>
    <mergeCell ref="F58:G58"/>
    <mergeCell ref="F59:G59"/>
    <mergeCell ref="F61:G61"/>
    <mergeCell ref="F62:G65"/>
    <mergeCell ref="F51:G51"/>
    <mergeCell ref="F52:G54"/>
    <mergeCell ref="F42:G42"/>
    <mergeCell ref="F43:G43"/>
    <mergeCell ref="F44:G44"/>
    <mergeCell ref="F45:G45"/>
    <mergeCell ref="F46:G46"/>
    <mergeCell ref="F176:G176"/>
    <mergeCell ref="F177:G177"/>
    <mergeCell ref="F178:G178"/>
    <mergeCell ref="F179:G179"/>
    <mergeCell ref="C3:G3"/>
    <mergeCell ref="D4:E4"/>
    <mergeCell ref="C95:G95"/>
    <mergeCell ref="D6:E6"/>
    <mergeCell ref="D7:E7"/>
    <mergeCell ref="C11:G11"/>
    <mergeCell ref="C12:G12"/>
    <mergeCell ref="C24:G24"/>
    <mergeCell ref="C26:G26"/>
    <mergeCell ref="C79:G79"/>
    <mergeCell ref="F14:G14"/>
    <mergeCell ref="F13:G13"/>
    <mergeCell ref="F15:G15"/>
    <mergeCell ref="D5:E5"/>
    <mergeCell ref="F37:G37"/>
    <mergeCell ref="F35:G35"/>
    <mergeCell ref="F36:G36"/>
    <mergeCell ref="F29:G29"/>
    <mergeCell ref="F38:G38"/>
    <mergeCell ref="F30:G30"/>
    <mergeCell ref="D196:D197"/>
    <mergeCell ref="C196:C197"/>
    <mergeCell ref="F196:G197"/>
    <mergeCell ref="C447:G447"/>
    <mergeCell ref="C476:G476"/>
    <mergeCell ref="F155:G155"/>
    <mergeCell ref="F156:G156"/>
    <mergeCell ref="F142:G142"/>
    <mergeCell ref="F146:G146"/>
    <mergeCell ref="F147:G147"/>
    <mergeCell ref="F143:G145"/>
    <mergeCell ref="F246:G246"/>
    <mergeCell ref="C245:G245"/>
    <mergeCell ref="C250:G250"/>
    <mergeCell ref="F149:G149"/>
    <mergeCell ref="F150:G150"/>
    <mergeCell ref="F151:G151"/>
    <mergeCell ref="F152:G152"/>
    <mergeCell ref="F153:G153"/>
    <mergeCell ref="F154:G154"/>
    <mergeCell ref="C229:G229"/>
    <mergeCell ref="C241:G241"/>
    <mergeCell ref="F194:G194"/>
    <mergeCell ref="F195:G195"/>
    <mergeCell ref="C761:G761"/>
    <mergeCell ref="C564:G564"/>
    <mergeCell ref="C565:G565"/>
    <mergeCell ref="C566:G566"/>
    <mergeCell ref="C653:G653"/>
    <mergeCell ref="C689:G689"/>
    <mergeCell ref="C699:G699"/>
    <mergeCell ref="C702:G702"/>
    <mergeCell ref="C703:G703"/>
    <mergeCell ref="C704:G704"/>
    <mergeCell ref="C727:G727"/>
    <mergeCell ref="C729:G729"/>
    <mergeCell ref="F577:G577"/>
    <mergeCell ref="F578:G578"/>
    <mergeCell ref="F579:G580"/>
    <mergeCell ref="F581:G581"/>
    <mergeCell ref="F582:G582"/>
    <mergeCell ref="C587:C588"/>
    <mergeCell ref="D587:D588"/>
    <mergeCell ref="F587:G588"/>
    <mergeCell ref="C597:C598"/>
    <mergeCell ref="D597:D598"/>
    <mergeCell ref="F597:G598"/>
    <mergeCell ref="F593:G593"/>
    <mergeCell ref="F57:G57"/>
    <mergeCell ref="F115:G115"/>
    <mergeCell ref="F120:G120"/>
    <mergeCell ref="F129:G129"/>
    <mergeCell ref="F130:G130"/>
    <mergeCell ref="F131:G131"/>
    <mergeCell ref="F133:G133"/>
    <mergeCell ref="F116:G119"/>
    <mergeCell ref="F121:G121"/>
    <mergeCell ref="F82:G82"/>
    <mergeCell ref="F72:G72"/>
    <mergeCell ref="F73:G73"/>
    <mergeCell ref="F74:G74"/>
    <mergeCell ref="F75:G75"/>
    <mergeCell ref="F80:G80"/>
    <mergeCell ref="F81:G81"/>
    <mergeCell ref="F77:G77"/>
    <mergeCell ref="F78:G78"/>
    <mergeCell ref="F69:G69"/>
    <mergeCell ref="F76:G76"/>
    <mergeCell ref="F66:G66"/>
    <mergeCell ref="F68:G68"/>
    <mergeCell ref="C113:G113"/>
    <mergeCell ref="C114:G114"/>
    <mergeCell ref="F175:G175"/>
    <mergeCell ref="F122:G122"/>
    <mergeCell ref="F123:G123"/>
    <mergeCell ref="F124:G124"/>
    <mergeCell ref="F125:G125"/>
    <mergeCell ref="F136:G136"/>
    <mergeCell ref="F132:G132"/>
    <mergeCell ref="F126:G126"/>
    <mergeCell ref="F60:G60"/>
    <mergeCell ref="F127:G127"/>
    <mergeCell ref="F128:G128"/>
    <mergeCell ref="F170:G170"/>
    <mergeCell ref="C148:G148"/>
    <mergeCell ref="F161:G161"/>
    <mergeCell ref="F162:G162"/>
    <mergeCell ref="C171:C172"/>
    <mergeCell ref="D171:D172"/>
    <mergeCell ref="F171:G172"/>
    <mergeCell ref="F174:G174"/>
    <mergeCell ref="F134:G134"/>
    <mergeCell ref="F135:G135"/>
    <mergeCell ref="F173:G173"/>
    <mergeCell ref="F157:G157"/>
    <mergeCell ref="F158:G158"/>
    <mergeCell ref="F159:G159"/>
    <mergeCell ref="F160:G160"/>
    <mergeCell ref="F163:G163"/>
    <mergeCell ref="F164:G164"/>
    <mergeCell ref="F165:G167"/>
    <mergeCell ref="F169:G169"/>
    <mergeCell ref="F168:G168"/>
    <mergeCell ref="F138:G138"/>
    <mergeCell ref="F139:G141"/>
    <mergeCell ref="F137:G137"/>
    <mergeCell ref="F186:G186"/>
    <mergeCell ref="F202:G202"/>
    <mergeCell ref="F230:G233"/>
    <mergeCell ref="F234:G234"/>
    <mergeCell ref="F264:G268"/>
    <mergeCell ref="F247:G249"/>
    <mergeCell ref="F251:G251"/>
    <mergeCell ref="F252:G256"/>
    <mergeCell ref="F258:G258"/>
    <mergeCell ref="F259:G259"/>
    <mergeCell ref="F260:G260"/>
    <mergeCell ref="F243:G243"/>
    <mergeCell ref="F244:G244"/>
    <mergeCell ref="F222:G222"/>
    <mergeCell ref="F223:G223"/>
    <mergeCell ref="F224:G224"/>
    <mergeCell ref="F225:G228"/>
    <mergeCell ref="F190:G190"/>
    <mergeCell ref="F191:G191"/>
    <mergeCell ref="F192:G192"/>
    <mergeCell ref="C206:G206"/>
    <mergeCell ref="C212:G212"/>
    <mergeCell ref="C221:G221"/>
    <mergeCell ref="F308:G308"/>
    <mergeCell ref="F309:G309"/>
    <mergeCell ref="F545:G545"/>
    <mergeCell ref="F550:G550"/>
    <mergeCell ref="C390:C392"/>
    <mergeCell ref="F235:G236"/>
    <mergeCell ref="F237:G237"/>
    <mergeCell ref="F238:G240"/>
    <mergeCell ref="F242:G242"/>
    <mergeCell ref="C295:G295"/>
    <mergeCell ref="C296:G296"/>
    <mergeCell ref="F350:G350"/>
    <mergeCell ref="F349:G349"/>
    <mergeCell ref="F365:G365"/>
    <mergeCell ref="F366:G370"/>
    <mergeCell ref="F371:G371"/>
    <mergeCell ref="F372:G372"/>
    <mergeCell ref="F344:G348"/>
    <mergeCell ref="F336:G336"/>
    <mergeCell ref="F339:G339"/>
    <mergeCell ref="F299:G299"/>
    <mergeCell ref="F300:G300"/>
    <mergeCell ref="F288:G288"/>
    <mergeCell ref="F289:G289"/>
    <mergeCell ref="E568:E569"/>
    <mergeCell ref="F355:G355"/>
    <mergeCell ref="F356:G356"/>
    <mergeCell ref="F381:G381"/>
    <mergeCell ref="F382:G382"/>
    <mergeCell ref="F390:G392"/>
    <mergeCell ref="F271:G280"/>
    <mergeCell ref="F281:G281"/>
    <mergeCell ref="F292:G292"/>
    <mergeCell ref="F318:G318"/>
    <mergeCell ref="F319:G319"/>
    <mergeCell ref="F311:G311"/>
    <mergeCell ref="F312:G312"/>
    <mergeCell ref="F313:G313"/>
    <mergeCell ref="F317:G317"/>
    <mergeCell ref="F282:G282"/>
    <mergeCell ref="F283:G283"/>
    <mergeCell ref="F301:G301"/>
    <mergeCell ref="F302:G302"/>
    <mergeCell ref="F303:G303"/>
    <mergeCell ref="F284:G284"/>
    <mergeCell ref="F285:G285"/>
    <mergeCell ref="F286:G286"/>
    <mergeCell ref="F287:G287"/>
    <mergeCell ref="F290:G290"/>
    <mergeCell ref="F291:G291"/>
    <mergeCell ref="F293:G293"/>
    <mergeCell ref="F712:G712"/>
    <mergeCell ref="F725:G725"/>
    <mergeCell ref="F713:G713"/>
    <mergeCell ref="F714:G714"/>
    <mergeCell ref="F553:G557"/>
    <mergeCell ref="F559:G560"/>
    <mergeCell ref="F563:G563"/>
    <mergeCell ref="C551:G551"/>
    <mergeCell ref="F570:G570"/>
    <mergeCell ref="F571:G571"/>
    <mergeCell ref="F572:G573"/>
    <mergeCell ref="F574:G575"/>
    <mergeCell ref="C568:C569"/>
    <mergeCell ref="D568:D569"/>
    <mergeCell ref="F568:G569"/>
    <mergeCell ref="C583:C584"/>
    <mergeCell ref="F706:G706"/>
    <mergeCell ref="F705:G705"/>
    <mergeCell ref="F567:G567"/>
    <mergeCell ref="F701:G701"/>
    <mergeCell ref="F695:G695"/>
    <mergeCell ref="F697:G697"/>
    <mergeCell ref="F709:G709"/>
    <mergeCell ref="F710:G710"/>
    <mergeCell ref="F760:G760"/>
    <mergeCell ref="F744:G744"/>
    <mergeCell ref="F745:G745"/>
    <mergeCell ref="F746:G746"/>
    <mergeCell ref="F747:G747"/>
    <mergeCell ref="F748:G748"/>
    <mergeCell ref="F749:G749"/>
    <mergeCell ref="F750:G750"/>
    <mergeCell ref="F751:G751"/>
    <mergeCell ref="F752:G752"/>
    <mergeCell ref="F753:G753"/>
    <mergeCell ref="F754:G754"/>
    <mergeCell ref="F755:G755"/>
    <mergeCell ref="F739:G739"/>
    <mergeCell ref="F740:G740"/>
    <mergeCell ref="F741:G741"/>
    <mergeCell ref="F742:G742"/>
    <mergeCell ref="F743:G743"/>
    <mergeCell ref="F756:G756"/>
    <mergeCell ref="F757:G757"/>
    <mergeCell ref="F758:G758"/>
    <mergeCell ref="F759:G759"/>
    <mergeCell ref="F735:G735"/>
    <mergeCell ref="F736:G736"/>
    <mergeCell ref="F737:G737"/>
    <mergeCell ref="F738:G738"/>
    <mergeCell ref="F731:G731"/>
    <mergeCell ref="F732:G732"/>
    <mergeCell ref="F733:G733"/>
    <mergeCell ref="F734:G734"/>
    <mergeCell ref="F715:G715"/>
    <mergeCell ref="F716:G716"/>
    <mergeCell ref="F717:G717"/>
    <mergeCell ref="F718:G718"/>
    <mergeCell ref="F719:G719"/>
    <mergeCell ref="F720:G720"/>
    <mergeCell ref="F721:G721"/>
    <mergeCell ref="F722:G722"/>
    <mergeCell ref="F723:G723"/>
    <mergeCell ref="F730:G730"/>
    <mergeCell ref="F724:G724"/>
    <mergeCell ref="F728:G728"/>
    <mergeCell ref="F726:G726"/>
    <mergeCell ref="F711:G711"/>
    <mergeCell ref="F613:G613"/>
    <mergeCell ref="F618:G618"/>
    <mergeCell ref="F628:G628"/>
    <mergeCell ref="F325:G328"/>
    <mergeCell ref="F332:G335"/>
    <mergeCell ref="F330:G330"/>
    <mergeCell ref="F331:G331"/>
    <mergeCell ref="F481:G485"/>
    <mergeCell ref="F486:G486"/>
    <mergeCell ref="F498:G498"/>
    <mergeCell ref="F499:G500"/>
    <mergeCell ref="F501:G501"/>
    <mergeCell ref="F502:G504"/>
    <mergeCell ref="F528:G528"/>
    <mergeCell ref="F523:G523"/>
    <mergeCell ref="F527:G527"/>
    <mergeCell ref="C477:G477"/>
    <mergeCell ref="F603:G603"/>
    <mergeCell ref="F490:G491"/>
    <mergeCell ref="F708:G708"/>
    <mergeCell ref="F608:G608"/>
    <mergeCell ref="F602:G602"/>
    <mergeCell ref="F576:G576"/>
    <mergeCell ref="F538:G538"/>
    <mergeCell ref="F529:G529"/>
    <mergeCell ref="F530:G530"/>
    <mergeCell ref="F532:G532"/>
    <mergeCell ref="F533:G533"/>
    <mergeCell ref="F535:G535"/>
    <mergeCell ref="F531:G531"/>
    <mergeCell ref="F534:G534"/>
    <mergeCell ref="F536:G536"/>
    <mergeCell ref="F599:G599"/>
    <mergeCell ref="F600:G600"/>
    <mergeCell ref="F546:G549"/>
    <mergeCell ref="F698:G698"/>
    <mergeCell ref="F696:G696"/>
    <mergeCell ref="F700:G700"/>
    <mergeCell ref="F583:G584"/>
    <mergeCell ref="F595:G596"/>
    <mergeCell ref="F591:G592"/>
    <mergeCell ref="F707:G707"/>
    <mergeCell ref="F662:G665"/>
    <mergeCell ref="C657:C658"/>
    <mergeCell ref="D657:D658"/>
    <mergeCell ref="F647:G647"/>
    <mergeCell ref="F657:G658"/>
    <mergeCell ref="D583:D584"/>
    <mergeCell ref="C595:C596"/>
    <mergeCell ref="D595:D596"/>
    <mergeCell ref="C589:C590"/>
    <mergeCell ref="D589:D590"/>
    <mergeCell ref="D591:D592"/>
    <mergeCell ref="C585:C586"/>
    <mergeCell ref="D585:D586"/>
    <mergeCell ref="F585:G586"/>
    <mergeCell ref="F589:G590"/>
    <mergeCell ref="C591:C592"/>
    <mergeCell ref="F604:G607"/>
    <mergeCell ref="F632:G632"/>
    <mergeCell ref="F633:G634"/>
    <mergeCell ref="F623:G623"/>
    <mergeCell ref="F629:G630"/>
    <mergeCell ref="F631:G631"/>
    <mergeCell ref="F373:G377"/>
    <mergeCell ref="F511:G511"/>
    <mergeCell ref="F512:G512"/>
    <mergeCell ref="F516:G516"/>
    <mergeCell ref="F517:G517"/>
    <mergeCell ref="F518:G518"/>
    <mergeCell ref="F522:G522"/>
    <mergeCell ref="F508:G510"/>
    <mergeCell ref="F524:G526"/>
    <mergeCell ref="F406:G406"/>
    <mergeCell ref="F488:G488"/>
    <mergeCell ref="F489:G489"/>
    <mergeCell ref="F393:G393"/>
    <mergeCell ref="F394:G394"/>
    <mergeCell ref="F395:G395"/>
    <mergeCell ref="F404:G405"/>
    <mergeCell ref="F396:G396"/>
    <mergeCell ref="F402:G402"/>
    <mergeCell ref="F397:G401"/>
    <mergeCell ref="F403:G403"/>
    <mergeCell ref="F378:G378"/>
    <mergeCell ref="F379:G379"/>
    <mergeCell ref="F380:G380"/>
    <mergeCell ref="F384:G384"/>
    <mergeCell ref="F310:G310"/>
    <mergeCell ref="F316:G316"/>
    <mergeCell ref="F314:G315"/>
    <mergeCell ref="F320:G320"/>
    <mergeCell ref="C324:C328"/>
    <mergeCell ref="D357:D359"/>
    <mergeCell ref="C357:C359"/>
    <mergeCell ref="F357:G359"/>
    <mergeCell ref="F351:G351"/>
    <mergeCell ref="C321:G321"/>
    <mergeCell ref="C329:G329"/>
    <mergeCell ref="F340:G341"/>
    <mergeCell ref="C314:C315"/>
    <mergeCell ref="D314:D316"/>
    <mergeCell ref="F342:G342"/>
    <mergeCell ref="F343:G343"/>
    <mergeCell ref="D332:D335"/>
    <mergeCell ref="F352:G354"/>
    <mergeCell ref="F383:G383"/>
    <mergeCell ref="F385:G385"/>
    <mergeCell ref="F386:G388"/>
    <mergeCell ref="F389:G389"/>
    <mergeCell ref="F419:G424"/>
    <mergeCell ref="F425:G425"/>
    <mergeCell ref="C426:G426"/>
    <mergeCell ref="C407:C409"/>
    <mergeCell ref="D407:D409"/>
    <mergeCell ref="F407:G409"/>
    <mergeCell ref="F411:G411"/>
    <mergeCell ref="F412:G412"/>
    <mergeCell ref="F413:G413"/>
    <mergeCell ref="F415:G415"/>
    <mergeCell ref="F418:G418"/>
    <mergeCell ref="F410:G410"/>
    <mergeCell ref="F414:G414"/>
    <mergeCell ref="F416:G416"/>
    <mergeCell ref="F417:G417"/>
    <mergeCell ref="F429:G430"/>
    <mergeCell ref="F433:G433"/>
    <mergeCell ref="F434:G434"/>
    <mergeCell ref="F435:G435"/>
    <mergeCell ref="F436:G436"/>
    <mergeCell ref="F437:G437"/>
    <mergeCell ref="F444:G444"/>
    <mergeCell ref="F427:G427"/>
    <mergeCell ref="F428:G428"/>
    <mergeCell ref="F431:G431"/>
    <mergeCell ref="F432:G432"/>
    <mergeCell ref="D2:G2"/>
    <mergeCell ref="C471:C473"/>
    <mergeCell ref="D471:D473"/>
    <mergeCell ref="F471:G473"/>
    <mergeCell ref="F466:G466"/>
    <mergeCell ref="F467:G467"/>
    <mergeCell ref="F470:G470"/>
    <mergeCell ref="F474:G474"/>
    <mergeCell ref="F468:G469"/>
    <mergeCell ref="D457:D465"/>
    <mergeCell ref="F457:G465"/>
    <mergeCell ref="C442:C443"/>
    <mergeCell ref="D442:D443"/>
    <mergeCell ref="F442:G443"/>
    <mergeCell ref="F445:G445"/>
    <mergeCell ref="F448:G451"/>
    <mergeCell ref="F455:G456"/>
    <mergeCell ref="F452:G452"/>
    <mergeCell ref="F453:G453"/>
    <mergeCell ref="F454:G454"/>
    <mergeCell ref="F438:G438"/>
    <mergeCell ref="F439:G439"/>
    <mergeCell ref="F440:G440"/>
    <mergeCell ref="F446:G446"/>
  </mergeCells>
  <conditionalFormatting sqref="E116">
    <cfRule type="expression" dxfId="1404" priority="609" stopIfTrue="1">
      <formula>OR(AND($E$116&gt;0,SUM($E$117:$E$119)&gt;0), AND(square_footage&gt;1000, $E$116=15))</formula>
    </cfRule>
  </conditionalFormatting>
  <conditionalFormatting sqref="E117">
    <cfRule type="expression" dxfId="1403" priority="608" stopIfTrue="1">
      <formula>OR(AND($E$117&gt;0,SUM($E$116,$E$118:$E$119)&gt;0), AND(square_footage&gt;1500, $E$117=12))</formula>
    </cfRule>
  </conditionalFormatting>
  <conditionalFormatting sqref="E118">
    <cfRule type="expression" dxfId="1402" priority="607" stopIfTrue="1">
      <formula>OR(AND($E$118&gt;0,SUM($E$116:$E$117,$E$119)&gt;0), AND(square_footage&gt;2000, $E$118=9))</formula>
    </cfRule>
  </conditionalFormatting>
  <conditionalFormatting sqref="E119">
    <cfRule type="expression" dxfId="1401" priority="606" stopIfTrue="1">
      <formula>OR(AND($E$119&gt;0,SUM($E$116:$E$118)&gt;0), AND(square_footage&gt;2500, $E$119=6))</formula>
    </cfRule>
  </conditionalFormatting>
  <conditionalFormatting sqref="E133">
    <cfRule type="expression" dxfId="1400" priority="605" stopIfTrue="1">
      <formula>AND($E$133&gt;0,OR($E$136&gt;0,$E$137&gt;0))</formula>
    </cfRule>
  </conditionalFormatting>
  <conditionalFormatting sqref="E134">
    <cfRule type="expression" dxfId="1399" priority="604" stopIfTrue="1">
      <formula>AND($E$134&gt;0,OR($E$136&gt;0,$E$137&gt;0))</formula>
    </cfRule>
  </conditionalFormatting>
  <conditionalFormatting sqref="E135">
    <cfRule type="expression" dxfId="1398" priority="603" stopIfTrue="1">
      <formula>AND($E$135&gt;0,OR($E$136&gt;0,$E$137&gt;0))</formula>
    </cfRule>
  </conditionalFormatting>
  <conditionalFormatting sqref="E136">
    <cfRule type="expression" dxfId="1397" priority="602" stopIfTrue="1">
      <formula>AND($E$136&gt;0,OR(SUM($E$133:$E$135)&gt;0,$E$137&gt;0))</formula>
    </cfRule>
  </conditionalFormatting>
  <conditionalFormatting sqref="E137">
    <cfRule type="expression" dxfId="1396" priority="601" stopIfTrue="1">
      <formula>AND($E$137&gt;0,OR(SUM($E$133:$E$135)&gt;0,$E$136&gt;0))</formula>
    </cfRule>
  </conditionalFormatting>
  <conditionalFormatting sqref="E230:E233">
    <cfRule type="expression" dxfId="1395" priority="591" stopIfTrue="1">
      <formula>AND($E$230&lt;3, $E$230&gt;0)</formula>
    </cfRule>
  </conditionalFormatting>
  <conditionalFormatting sqref="E325">
    <cfRule type="expression" dxfId="1394" priority="590" stopIfTrue="1">
      <formula>AND($E$325=30, OR(energypath="Alternative Bronze", energypath="Prescriptive Path"))</formula>
    </cfRule>
  </conditionalFormatting>
  <conditionalFormatting sqref="E600">
    <cfRule type="expression" dxfId="1393" priority="553" stopIfTrue="1">
      <formula>AND($E$600=10,SUM($E$595:$E$599)&gt;0)</formula>
    </cfRule>
  </conditionalFormatting>
  <conditionalFormatting sqref="E595:E596">
    <cfRule type="expression" dxfId="1392" priority="237">
      <formula>OR(AND($E$595="Met",$E$597="No attached garage"),AND($E$595="No attached garage",$E$597="Met"))</formula>
    </cfRule>
    <cfRule type="expression" dxfId="1391" priority="238" stopIfTrue="1">
      <formula>OR(AND($E$600=10,$E$595="Met"),AND($E$595="No attached garage",$E$599=4))</formula>
    </cfRule>
    <cfRule type="expression" dxfId="1390" priority="552">
      <formula>OR(choice901.3_1_a="",choice901.3_1_a="Not Met")</formula>
    </cfRule>
  </conditionalFormatting>
  <conditionalFormatting sqref="E597:E598">
    <cfRule type="expression" dxfId="1389" priority="236">
      <formula>OR(AND($E$595="Met",$E$597="No attached garage"),AND($E$595="No attached garage",$E$597="Met"))</formula>
    </cfRule>
    <cfRule type="expression" dxfId="1388" priority="472" stopIfTrue="1">
      <formula>OR(AND($E$597="Met",$E$600=10),AND($E$597="No attached garage",$E$599=4))</formula>
    </cfRule>
    <cfRule type="expression" dxfId="1387" priority="551" stopIfTrue="1">
      <formula>OR(choice901.3_1_b="",choice901.3_1_b="Not Met")</formula>
    </cfRule>
  </conditionalFormatting>
  <conditionalFormatting sqref="E599">
    <cfRule type="expression" dxfId="1386" priority="550" stopIfTrue="1">
      <formula>AND($E$599&gt;0,$E$600&gt;0)</formula>
    </cfRule>
  </conditionalFormatting>
  <conditionalFormatting sqref="E672">
    <cfRule type="expression" dxfId="1385" priority="541" stopIfTrue="1">
      <formula>AND($E$672&gt;0,SUM($E$673:$E$675)&gt;0)</formula>
    </cfRule>
  </conditionalFormatting>
  <conditionalFormatting sqref="E673">
    <cfRule type="expression" dxfId="1384" priority="540" stopIfTrue="1">
      <formula>AND($E$673&gt;0,SUM($E$672,$E$674:$E$675)&gt;0)</formula>
    </cfRule>
  </conditionalFormatting>
  <conditionalFormatting sqref="E674">
    <cfRule type="expression" dxfId="1383" priority="539" stopIfTrue="1">
      <formula>AND($E$674&gt;0,SUM($E$672:$E$673,$E$675)&gt;0)</formula>
    </cfRule>
  </conditionalFormatting>
  <conditionalFormatting sqref="E675">
    <cfRule type="expression" dxfId="1382" priority="538" stopIfTrue="1">
      <formula>AND($E$675&gt;0,SUM($E$672:$E$674)&gt;0)</formula>
    </cfRule>
  </conditionalFormatting>
  <conditionalFormatting sqref="E680">
    <cfRule type="expression" dxfId="1381" priority="537" stopIfTrue="1">
      <formula>OR(AND($E$680&gt;0,AND($E$679&lt;&gt;"Met - Zone 1 passive system",E679&lt;&gt;"Met - Zone 1 active system")),AND($E$680&gt;0,OR($E$681&gt;0,$E$683&gt;0)))</formula>
    </cfRule>
  </conditionalFormatting>
  <conditionalFormatting sqref="E681">
    <cfRule type="expression" dxfId="1380" priority="536" stopIfTrue="1">
      <formula>OR(AND($E$680&gt;0,AND($E$679&lt;&gt;"Met - Zone 1 passive system",E679&lt;&gt;"Met - Zone 1 active system")),AND($E$680&gt;0,OR($E$681&gt;0,$E$683&gt;0)))</formula>
    </cfRule>
  </conditionalFormatting>
  <conditionalFormatting sqref="E685:E686">
    <cfRule type="expression" dxfId="1379" priority="535" stopIfTrue="1">
      <formula>AND($E$685&gt;0,$E$686&gt;0)</formula>
    </cfRule>
  </conditionalFormatting>
  <conditionalFormatting sqref="Y1">
    <cfRule type="expression" dxfId="1378" priority="531" stopIfTrue="1">
      <formula>OR(finalLevelReached="Emerald", finalLevelReached="Gold", finalLevelReached="Silver", finalLevelReached="Bronze")</formula>
    </cfRule>
  </conditionalFormatting>
  <conditionalFormatting sqref="F662">
    <cfRule type="expression" dxfId="1377" priority="530" stopIfTrue="1">
      <formula>$E$662&gt;0</formula>
    </cfRule>
  </conditionalFormatting>
  <conditionalFormatting sqref="F325">
    <cfRule type="expression" dxfId="1376" priority="527" stopIfTrue="1">
      <formula>$E$325&gt;0</formula>
    </cfRule>
  </conditionalFormatting>
  <conditionalFormatting sqref="E203">
    <cfRule type="expression" dxfId="1375" priority="511" stopIfTrue="1">
      <formula>OR($E$203=0, $E$203="Not Met")</formula>
    </cfRule>
  </conditionalFormatting>
  <conditionalFormatting sqref="E302">
    <cfRule type="expression" dxfId="1374" priority="507" stopIfTrue="1">
      <formula>OR($E$302="Not Met", $E$302=0)</formula>
    </cfRule>
  </conditionalFormatting>
  <conditionalFormatting sqref="E305">
    <cfRule type="expression" dxfId="1373" priority="506" stopIfTrue="1">
      <formula>OR($E$305="Not Met", $E$305=0)</formula>
    </cfRule>
  </conditionalFormatting>
  <conditionalFormatting sqref="E306">
    <cfRule type="expression" dxfId="1372" priority="505" stopIfTrue="1">
      <formula>OR($E$306="Not Met", $E$306=0)</formula>
    </cfRule>
  </conditionalFormatting>
  <conditionalFormatting sqref="E308">
    <cfRule type="expression" dxfId="1371" priority="504" stopIfTrue="1">
      <formula>OR($E$308="Not Met", $E$308=0)</formula>
    </cfRule>
  </conditionalFormatting>
  <conditionalFormatting sqref="E309">
    <cfRule type="expression" dxfId="1370" priority="503" stopIfTrue="1">
      <formula>OR($E$309="Not Met", $E$309=0)</formula>
    </cfRule>
  </conditionalFormatting>
  <conditionalFormatting sqref="E336:E338">
    <cfRule type="expression" dxfId="1369" priority="489" stopIfTrue="1">
      <formula>AND($E$338&gt;0, OR(energypath="Alternative Bronze", energypath="Performance Path"))</formula>
    </cfRule>
  </conditionalFormatting>
  <conditionalFormatting sqref="E659">
    <cfRule type="expression" dxfId="1368" priority="468" stopIfTrue="1">
      <formula>OR(claim902.1.1_2="", $E$659="Not Met")</formula>
    </cfRule>
  </conditionalFormatting>
  <conditionalFormatting sqref="E679">
    <cfRule type="expression" dxfId="1367" priority="467" stopIfTrue="1">
      <formula>OR($E$679="Not Met", $E$679=0)</formula>
    </cfRule>
  </conditionalFormatting>
  <conditionalFormatting sqref="E691">
    <cfRule type="expression" dxfId="1366" priority="466" stopIfTrue="1">
      <formula>OR($E$691="Met", $E$691="N/A")</formula>
    </cfRule>
  </conditionalFormatting>
  <conditionalFormatting sqref="E593">
    <cfRule type="expression" dxfId="1365" priority="461" stopIfTrue="1">
      <formula>AND($E$593=7, SUM($E$584,$E$586,$E$588,$E$590,$E$592)&gt;0)</formula>
    </cfRule>
  </conditionalFormatting>
  <conditionalFormatting sqref="E683">
    <cfRule type="expression" dxfId="1364" priority="455" stopIfTrue="1">
      <formula>OR(AND($E$683&gt;0,$E$679="Met"),AND($E$683&gt;0, OR($E$680&gt;0, $E$681&gt;0)))</formula>
    </cfRule>
  </conditionalFormatting>
  <conditionalFormatting sqref="E706">
    <cfRule type="expression" dxfId="1363" priority="3" stopIfTrue="1">
      <formula>AND($E$706&lt;&gt;"Met",$E$706&lt;&gt;"NA")</formula>
    </cfRule>
    <cfRule type="expression" dxfId="1362" priority="418" stopIfTrue="1">
      <formula>AND($E$706="Met", startSingleorMulti&lt;&gt;"Single-Family")</formula>
    </cfRule>
    <cfRule type="expression" dxfId="1361" priority="453" stopIfTrue="1">
      <formula>OR($E$706="Met", $E$706="N/A")</formula>
    </cfRule>
  </conditionalFormatting>
  <conditionalFormatting sqref="E707">
    <cfRule type="expression" dxfId="1360" priority="2">
      <formula>AND($E$707&lt;&gt;"Met",$E$707&lt;&gt;"NA")</formula>
    </cfRule>
    <cfRule type="expression" dxfId="1359" priority="417" stopIfTrue="1">
      <formula>AND($E$707="Met", startSingleorMulti&lt;&gt;"Single-Family")</formula>
    </cfRule>
    <cfRule type="expression" dxfId="1358" priority="452" stopIfTrue="1">
      <formula>OR($E$707="Met", $E$707="N/A")</formula>
    </cfRule>
  </conditionalFormatting>
  <conditionalFormatting sqref="E708">
    <cfRule type="expression" dxfId="1357" priority="1">
      <formula>AND($E$708&lt;&gt;"Met",$E$708&lt;&gt;"NA")</formula>
    </cfRule>
    <cfRule type="expression" dxfId="1356" priority="416" stopIfTrue="1">
      <formula>AND($E$706="Met", startSingleorMulti&lt;&gt;"Single-Family")</formula>
    </cfRule>
    <cfRule type="expression" dxfId="1355" priority="451" stopIfTrue="1">
      <formula>OR($E$708="Met", $E$708="N/A")</formula>
    </cfRule>
  </conditionalFormatting>
  <conditionalFormatting sqref="E732">
    <cfRule type="expression" dxfId="1354" priority="397" stopIfTrue="1">
      <formula>AND($E$732="Met", startSingleorMulti&lt;&gt;"Multi-Unit")</formula>
    </cfRule>
    <cfRule type="expression" dxfId="1353" priority="450" stopIfTrue="1">
      <formula>OR($E$732="Met", $E$732="N/A")</formula>
    </cfRule>
  </conditionalFormatting>
  <conditionalFormatting sqref="E733">
    <cfRule type="expression" dxfId="1352" priority="396" stopIfTrue="1">
      <formula>AND($E$733="Met", startSingleorMulti&lt;&gt;"Multi-Unit")</formula>
    </cfRule>
    <cfRule type="expression" dxfId="1351" priority="449" stopIfTrue="1">
      <formula>OR($E$733="Met", $E$733="N/A")</formula>
    </cfRule>
  </conditionalFormatting>
  <conditionalFormatting sqref="E734">
    <cfRule type="expression" dxfId="1350" priority="395" stopIfTrue="1">
      <formula>AND($E$734="Met", startSingleorMulti&lt;&gt;"Multi-Unit")</formula>
    </cfRule>
    <cfRule type="expression" dxfId="1349" priority="448" stopIfTrue="1">
      <formula>OR($E$734="Met", $E$734="N/A")</formula>
    </cfRule>
  </conditionalFormatting>
  <conditionalFormatting sqref="E752">
    <cfRule type="expression" dxfId="1348" priority="378" stopIfTrue="1">
      <formula>AND($E$752="Met",startSingleorMulti&lt;&gt;"Multi-Unit")</formula>
    </cfRule>
    <cfRule type="expression" dxfId="1347" priority="447" stopIfTrue="1">
      <formula>OR($E$752="Met", $E$752="N/A")</formula>
    </cfRule>
  </conditionalFormatting>
  <conditionalFormatting sqref="E741">
    <cfRule type="expression" dxfId="1346" priority="389" stopIfTrue="1">
      <formula>AND($E$741="Met", startSingleorMulti&lt;&gt;"Multi-Unit")</formula>
    </cfRule>
    <cfRule type="expression" dxfId="1345" priority="446" stopIfTrue="1">
      <formula>OR($E$741="Met", $E$741="N/A")</formula>
    </cfRule>
  </conditionalFormatting>
  <conditionalFormatting sqref="E742">
    <cfRule type="expression" dxfId="1344" priority="388" stopIfTrue="1">
      <formula>AND($E$742="Met", startSingleorMulti&lt;&gt;"Multi-Unit")</formula>
    </cfRule>
    <cfRule type="expression" dxfId="1343" priority="445" stopIfTrue="1">
      <formula>OR($E$742="Met", $E$742="N/A")</formula>
    </cfRule>
  </conditionalFormatting>
  <conditionalFormatting sqref="E743">
    <cfRule type="expression" dxfId="1342" priority="387" stopIfTrue="1">
      <formula>AND($E$743="Met", startSingleorMulti&lt;&gt;"Multi-Unit")</formula>
    </cfRule>
    <cfRule type="expression" dxfId="1341" priority="444" stopIfTrue="1">
      <formula>OR($E$743="Met", $E$743="N/A")</formula>
    </cfRule>
  </conditionalFormatting>
  <conditionalFormatting sqref="E511">
    <cfRule type="expression" dxfId="1340" priority="443" stopIfTrue="1">
      <formula>AND($E$511&lt;&gt;0,$E$508="",$E$509="",$E$510="")</formula>
    </cfRule>
  </conditionalFormatting>
  <conditionalFormatting sqref="E676">
    <cfRule type="expression" dxfId="1339" priority="442" stopIfTrue="1">
      <formula>AND($E$676&gt;0, SUM($E$672:$E$675)=0)</formula>
    </cfRule>
  </conditionalFormatting>
  <conditionalFormatting sqref="C9">
    <cfRule type="expression" dxfId="1338" priority="440" stopIfTrue="1">
      <formula>$C$9&lt;&gt;" "</formula>
    </cfRule>
  </conditionalFormatting>
  <conditionalFormatting sqref="E356">
    <cfRule type="expression" dxfId="1337" priority="438" stopIfTrue="1">
      <formula>AND($E$356&gt;0, OR(energypath="Alternative Bronze", energypath="Performance Path"))</formula>
    </cfRule>
  </conditionalFormatting>
  <conditionalFormatting sqref="E339:E341">
    <cfRule type="expression" dxfId="1336" priority="437" stopIfTrue="1">
      <formula>AND($E$341&gt;0, OR(energypath="Alternative Bronze", energypath="Performance Path"))</formula>
    </cfRule>
  </conditionalFormatting>
  <conditionalFormatting sqref="E382">
    <cfRule type="expression" dxfId="1335" priority="17">
      <formula>AND($E$382&gt;0,$E$382&lt;&gt;$D$382)</formula>
    </cfRule>
    <cfRule type="expression" dxfId="1334" priority="19">
      <formula>AND($E$382&gt;0,$E$383&gt;0,SUM($E$386:$E$388)&gt;0)</formula>
    </cfRule>
    <cfRule type="expression" dxfId="1333" priority="436" stopIfTrue="1">
      <formula>AND($E$382&gt;0, OR(energypath="Alternative Bronze", energypath="Performance Path"))</formula>
    </cfRule>
  </conditionalFormatting>
  <conditionalFormatting sqref="E390:E392">
    <cfRule type="expression" dxfId="1332" priority="435" stopIfTrue="1">
      <formula>AND($E$390&gt;0, OR(energypath="Alternative Bronze", energypath="Performance Path"))</formula>
    </cfRule>
  </conditionalFormatting>
  <conditionalFormatting sqref="E394">
    <cfRule type="expression" dxfId="1331" priority="434" stopIfTrue="1">
      <formula>OR(AND($E$394=2,startSingleorMulti="Single-Family"), AND($E$394=2, OR(energypath="Alternative Bronze", energypath="Performance Path")))</formula>
    </cfRule>
  </conditionalFormatting>
  <conditionalFormatting sqref="E395">
    <cfRule type="expression" dxfId="1330" priority="366" stopIfTrue="1">
      <formula>AND($E$395=1,startHVAC1&lt;&gt;"Boiler",startHVAC2&lt;&gt;"Boiler",startHVAC3&lt;&gt;"Boiler")</formula>
    </cfRule>
    <cfRule type="expression" dxfId="1329" priority="433" stopIfTrue="1">
      <formula>AND($E$395&gt;0, OR(energypath="Alternative Bronze", energypath="Performance Path"))</formula>
    </cfRule>
  </conditionalFormatting>
  <conditionalFormatting sqref="E407:E408">
    <cfRule type="expression" dxfId="1328" priority="426" stopIfTrue="1">
      <formula>AND($E$407&gt;0, OR(energypath="Alternative Bronze", energypath="Performance Path"))</formula>
    </cfRule>
  </conditionalFormatting>
  <conditionalFormatting sqref="E412">
    <cfRule type="expression" dxfId="1327" priority="425" stopIfTrue="1">
      <formula>AND($E$412&gt;0, OR(energypath="Alternative Bronze", energypath="Performance Path"))</formula>
    </cfRule>
  </conditionalFormatting>
  <conditionalFormatting sqref="E414">
    <cfRule type="expression" dxfId="1326" priority="424" stopIfTrue="1">
      <formula>AND($E$415&gt;0, OR(energypath="Alternative Bronze", energypath="Performance Path"))</formula>
    </cfRule>
  </conditionalFormatting>
  <conditionalFormatting sqref="E416">
    <cfRule type="expression" dxfId="1325" priority="51">
      <formula>AND($E$416&lt;&gt;0,$E$416&lt;&gt;$D$416)</formula>
    </cfRule>
    <cfRule type="expression" dxfId="1324" priority="423" stopIfTrue="1">
      <formula>AND($E$416&gt;0, OR(energypath="Alternative Bronze", energypath="Performance Path"))</formula>
    </cfRule>
  </conditionalFormatting>
  <conditionalFormatting sqref="E417">
    <cfRule type="expression" dxfId="1323" priority="422" stopIfTrue="1">
      <formula>AND($E$417&gt;0,OR(energypath="Alternative Bronze", energypath="Performance Path"))</formula>
    </cfRule>
  </conditionalFormatting>
  <conditionalFormatting sqref="E652">
    <cfRule type="expression" dxfId="1322" priority="421" stopIfTrue="1">
      <formula>AND($E$652=1, OR(startMultiUnits&lt;2, startSingleorMulti&lt;&gt;"Multi-Unit"))</formula>
    </cfRule>
  </conditionalFormatting>
  <conditionalFormatting sqref="E735">
    <cfRule type="expression" dxfId="1321" priority="420" stopIfTrue="1">
      <formula>AND($E$735="Met", startSingleorMulti&lt;&gt;"Multi-Unit")</formula>
    </cfRule>
  </conditionalFormatting>
  <conditionalFormatting sqref="E705">
    <cfRule type="expression" dxfId="1320" priority="419" stopIfTrue="1">
      <formula>AND($E$705&gt;0, startSingleorMulti&lt;&gt;"Single-Family")</formula>
    </cfRule>
  </conditionalFormatting>
  <conditionalFormatting sqref="E709">
    <cfRule type="expression" dxfId="1319" priority="415" stopIfTrue="1">
      <formula>AND($E$709="Met", startSingleorMulti&lt;&gt;"Single-Family")</formula>
    </cfRule>
  </conditionalFormatting>
  <conditionalFormatting sqref="E710">
    <cfRule type="expression" dxfId="1318" priority="414" stopIfTrue="1">
      <formula>AND($E$710="Met", startSingleorMulti&lt;&gt;"Single-Family")</formula>
    </cfRule>
  </conditionalFormatting>
  <conditionalFormatting sqref="E711">
    <cfRule type="expression" dxfId="1317" priority="413" stopIfTrue="1">
      <formula>AND($E$711="Met", startSingleorMulti&lt;&gt;"Single-Family")</formula>
    </cfRule>
  </conditionalFormatting>
  <conditionalFormatting sqref="E712">
    <cfRule type="expression" dxfId="1316" priority="412" stopIfTrue="1">
      <formula>AND($E$712="Met", startSingleorMulti&lt;&gt;"Single-Family")</formula>
    </cfRule>
  </conditionalFormatting>
  <conditionalFormatting sqref="E713">
    <cfRule type="expression" dxfId="1315" priority="411" stopIfTrue="1">
      <formula>AND($E$713="Met", startSingleorMulti&lt;&gt;"Single-Family")</formula>
    </cfRule>
  </conditionalFormatting>
  <conditionalFormatting sqref="E714">
    <cfRule type="expression" dxfId="1314" priority="410" stopIfTrue="1">
      <formula>AND($E$714="Met", startSingleorMulti&lt;&gt;"Single-Family")</formula>
    </cfRule>
  </conditionalFormatting>
  <conditionalFormatting sqref="E715">
    <cfRule type="expression" dxfId="1313" priority="409" stopIfTrue="1">
      <formula>AND($E$715="Met", startSingleorMulti&lt;&gt;"Single-Family")</formula>
    </cfRule>
  </conditionalFormatting>
  <conditionalFormatting sqref="E716">
    <cfRule type="expression" dxfId="1312" priority="408" stopIfTrue="1">
      <formula>AND($E$716="Met", startSingleorMulti&lt;&gt;"Single-Family")</formula>
    </cfRule>
  </conditionalFormatting>
  <conditionalFormatting sqref="E717">
    <cfRule type="expression" dxfId="1311" priority="407" stopIfTrue="1">
      <formula>AND($E$717="Met", startSingleorMulti&lt;&gt;"Single-Family")</formula>
    </cfRule>
  </conditionalFormatting>
  <conditionalFormatting sqref="E718">
    <cfRule type="expression" dxfId="1310" priority="406" stopIfTrue="1">
      <formula>AND($E$718="Met", startSingleorMulti&lt;&gt;"Single-Family")</formula>
    </cfRule>
  </conditionalFormatting>
  <conditionalFormatting sqref="E719">
    <cfRule type="expression" dxfId="1309" priority="405" stopIfTrue="1">
      <formula>AND($E$719="Met", startSingleorMulti&lt;&gt;"Single-Family")</formula>
    </cfRule>
  </conditionalFormatting>
  <conditionalFormatting sqref="E720">
    <cfRule type="expression" dxfId="1308" priority="404" stopIfTrue="1">
      <formula>AND($E$720="Met", startSingleorMulti&lt;&gt;"Single-Family")</formula>
    </cfRule>
  </conditionalFormatting>
  <conditionalFormatting sqref="E721">
    <cfRule type="expression" dxfId="1307" priority="403" stopIfTrue="1">
      <formula>AND($E$721="Met", startSingleorMulti&lt;&gt;"Single-Family")</formula>
    </cfRule>
  </conditionalFormatting>
  <conditionalFormatting sqref="E722">
    <cfRule type="expression" dxfId="1306" priority="402" stopIfTrue="1">
      <formula>AND($E$722="Met", startSingleorMulti&lt;&gt;"Single-Family")</formula>
    </cfRule>
  </conditionalFormatting>
  <conditionalFormatting sqref="E723">
    <cfRule type="expression" dxfId="1305" priority="401" stopIfTrue="1">
      <formula>AND($E$723="Met", startSingleorMulti&lt;&gt;"Single-Family")</formula>
    </cfRule>
  </conditionalFormatting>
  <conditionalFormatting sqref="E724">
    <cfRule type="expression" dxfId="1304" priority="400" stopIfTrue="1">
      <formula>AND($E$724="Met", startSingleorMulti&lt;&gt;"Single-Family")</formula>
    </cfRule>
  </conditionalFormatting>
  <conditionalFormatting sqref="E725">
    <cfRule type="expression" dxfId="1303" priority="399" stopIfTrue="1">
      <formula>AND($E$725="Met", startSingleorMulti&lt;&gt;"Single-Family")</formula>
    </cfRule>
  </conditionalFormatting>
  <conditionalFormatting sqref="E731">
    <cfRule type="expression" dxfId="1302" priority="398" stopIfTrue="1">
      <formula>AND($E$731&gt;0, startSingleorMulti&lt;&gt;"Multi-Unit")</formula>
    </cfRule>
  </conditionalFormatting>
  <conditionalFormatting sqref="E736">
    <cfRule type="expression" dxfId="1301" priority="394" stopIfTrue="1">
      <formula>AND($E$736="Met", startSingleorMulti&lt;&gt;"Multi-Unit")</formula>
    </cfRule>
  </conditionalFormatting>
  <conditionalFormatting sqref="E737">
    <cfRule type="expression" dxfId="1300" priority="393" stopIfTrue="1">
      <formula>AND($E$737="Met", startSingleorMulti&lt;&gt;"Multi-Unit")</formula>
    </cfRule>
  </conditionalFormatting>
  <conditionalFormatting sqref="E738">
    <cfRule type="expression" dxfId="1299" priority="392" stopIfTrue="1">
      <formula>AND($E$738="Met", startSingleorMulti&lt;&gt;"Multi-Unit")</formula>
    </cfRule>
  </conditionalFormatting>
  <conditionalFormatting sqref="E739">
    <cfRule type="expression" dxfId="1298" priority="391" stopIfTrue="1">
      <formula>AND($E$739="Met", startSingleorMulti&lt;&gt;"Multi-Unit")</formula>
    </cfRule>
  </conditionalFormatting>
  <conditionalFormatting sqref="E740">
    <cfRule type="expression" dxfId="1297" priority="390" stopIfTrue="1">
      <formula>AND($E$740&gt;0, startSingleorMulti&lt;&gt;"Multi-Unit")</formula>
    </cfRule>
  </conditionalFormatting>
  <conditionalFormatting sqref="E744">
    <cfRule type="expression" dxfId="1296" priority="386" stopIfTrue="1">
      <formula>AND($E$744="Met", startSingleorMulti&lt;&gt;"Multi-Unit")</formula>
    </cfRule>
  </conditionalFormatting>
  <conditionalFormatting sqref="E745">
    <cfRule type="expression" dxfId="1295" priority="385" stopIfTrue="1">
      <formula>AND($E$745="Met", startSingleorMulti&lt;&gt;"Multi-Unit")</formula>
    </cfRule>
  </conditionalFormatting>
  <conditionalFormatting sqref="E746">
    <cfRule type="expression" dxfId="1294" priority="384" stopIfTrue="1">
      <formula>AND($E$746="Met", startSingleorMulti&lt;&gt;"Multi-Unit")</formula>
    </cfRule>
  </conditionalFormatting>
  <conditionalFormatting sqref="E747">
    <cfRule type="expression" dxfId="1293" priority="383" stopIfTrue="1">
      <formula>AND($E$747="Met", startSingleorMulti&lt;&gt;"Multi-Unit")</formula>
    </cfRule>
  </conditionalFormatting>
  <conditionalFormatting sqref="E748">
    <cfRule type="expression" dxfId="1292" priority="382" stopIfTrue="1">
      <formula>AND($E$748="Met", startSingleorMulti&lt;&gt;"Multi-Unit")</formula>
    </cfRule>
  </conditionalFormatting>
  <conditionalFormatting sqref="E749">
    <cfRule type="expression" dxfId="1291" priority="381" stopIfTrue="1">
      <formula>AND($E$749="Met", startSingleorMulti&lt;&gt;"Multi-Unit")</formula>
    </cfRule>
  </conditionalFormatting>
  <conditionalFormatting sqref="E750">
    <cfRule type="expression" dxfId="1290" priority="380" stopIfTrue="1">
      <formula>AND($E$750="Met", startSingleorMulti&lt;&gt;"Multi-Unit")</formula>
    </cfRule>
  </conditionalFormatting>
  <conditionalFormatting sqref="E751">
    <cfRule type="expression" dxfId="1289" priority="379" stopIfTrue="1">
      <formula>AND($E$751&gt;0, startSingleorMulti&lt;&gt;"Multi-Unit")</formula>
    </cfRule>
  </conditionalFormatting>
  <conditionalFormatting sqref="E753">
    <cfRule type="expression" dxfId="1288" priority="377" stopIfTrue="1">
      <formula>AND($E$753="Met",startSingleorMulti&lt;&gt;"Multi-Unit")</formula>
    </cfRule>
  </conditionalFormatting>
  <conditionalFormatting sqref="E754">
    <cfRule type="expression" dxfId="1287" priority="376" stopIfTrue="1">
      <formula>AND($E$754="Met",startSingleorMulti&lt;&gt;"Multi-Unit")</formula>
    </cfRule>
  </conditionalFormatting>
  <conditionalFormatting sqref="E755">
    <cfRule type="expression" dxfId="1286" priority="375" stopIfTrue="1">
      <formula>AND($E$755="Met",startSingleorMulti&lt;&gt;"Multi-Unit")</formula>
    </cfRule>
  </conditionalFormatting>
  <conditionalFormatting sqref="E756">
    <cfRule type="expression" dxfId="1285" priority="374" stopIfTrue="1">
      <formula>AND($E$756="Met",startSingleorMulti&lt;&gt;"Multi-Unit")</formula>
    </cfRule>
  </conditionalFormatting>
  <conditionalFormatting sqref="E757">
    <cfRule type="expression" dxfId="1284" priority="373" stopIfTrue="1">
      <formula>AND($E$757="Met",startSingleorMulti&lt;&gt;"Multi-Unit")</formula>
    </cfRule>
  </conditionalFormatting>
  <conditionalFormatting sqref="E758">
    <cfRule type="expression" dxfId="1283" priority="372" stopIfTrue="1">
      <formula>AND($E$758="Met",startSingleorMulti&lt;&gt;"Multi-Unit")</formula>
    </cfRule>
  </conditionalFormatting>
  <conditionalFormatting sqref="E759">
    <cfRule type="expression" dxfId="1282" priority="371" stopIfTrue="1">
      <formula>AND($E$759="Met",startSingleorMulti&lt;&gt;"Multi-Unit")</formula>
    </cfRule>
  </conditionalFormatting>
  <conditionalFormatting sqref="E760">
    <cfRule type="expression" dxfId="1281" priority="370" stopIfTrue="1">
      <formula>AND($E$760="Met",startSingleorMulti&lt;&gt;"Multi-Unit")</formula>
    </cfRule>
  </conditionalFormatting>
  <conditionalFormatting sqref="F324">
    <cfRule type="expression" dxfId="1280" priority="354" stopIfTrue="1">
      <formula>$F$324&lt;&gt;0</formula>
    </cfRule>
  </conditionalFormatting>
  <conditionalFormatting sqref="F661">
    <cfRule type="expression" dxfId="1279" priority="350" stopIfTrue="1">
      <formula>$F$661&lt;&gt;0</formula>
    </cfRule>
  </conditionalFormatting>
  <conditionalFormatting sqref="F568">
    <cfRule type="expression" dxfId="1278" priority="336" stopIfTrue="1">
      <formula>$F$568&lt;&gt;0</formula>
    </cfRule>
  </conditionalFormatting>
  <conditionalFormatting sqref="E177">
    <cfRule type="expression" dxfId="1277" priority="189">
      <formula>OR($E$177=0,$E$177="Not Met")</formula>
    </cfRule>
    <cfRule type="expression" dxfId="1276" priority="332" stopIfTrue="1">
      <formula>AND($E$187&gt;0,SUM($E$188:$E$189)&gt;0)</formula>
    </cfRule>
  </conditionalFormatting>
  <conditionalFormatting sqref="E59">
    <cfRule type="expression" dxfId="1275" priority="320">
      <formula>AND($E$59&gt;0,$E$59&lt;&gt;$D$59)</formula>
    </cfRule>
  </conditionalFormatting>
  <conditionalFormatting sqref="E60">
    <cfRule type="expression" dxfId="1274" priority="319">
      <formula>AND($E$60&gt;0,$E$60&lt;&gt;$D$60)</formula>
    </cfRule>
  </conditionalFormatting>
  <conditionalFormatting sqref="E66">
    <cfRule type="expression" dxfId="1273" priority="316">
      <formula>AND($E$66&gt;0,$E$66&lt;&gt;$D$66)</formula>
    </cfRule>
  </conditionalFormatting>
  <conditionalFormatting sqref="E67">
    <cfRule type="expression" dxfId="1272" priority="315">
      <formula>AND($E$67&gt;0,$E$67&lt;&gt;$D$67)</formula>
    </cfRule>
  </conditionalFormatting>
  <conditionalFormatting sqref="E68">
    <cfRule type="expression" dxfId="1271" priority="314">
      <formula>AND($E$68&gt;0,$E$68&lt;&gt;$D$68)</formula>
    </cfRule>
  </conditionalFormatting>
  <conditionalFormatting sqref="E98">
    <cfRule type="expression" dxfId="1270" priority="312">
      <formula>AND(startSingleorMulti&lt;&gt;"Multi-Unit",$E$98&lt;&gt;0)</formula>
    </cfRule>
    <cfRule type="expression" dxfId="1269" priority="313">
      <formula>startSingleorMulti&lt;&gt;"Multi-Unit"</formula>
    </cfRule>
  </conditionalFormatting>
  <conditionalFormatting sqref="E482">
    <cfRule type="expression" dxfId="1268" priority="297">
      <formula>AND($E$482=17,$E$486=9)</formula>
    </cfRule>
  </conditionalFormatting>
  <conditionalFormatting sqref="E481">
    <cfRule type="expression" dxfId="1267" priority="296">
      <formula>AND($E$481=11,$E$486=9)</formula>
    </cfRule>
  </conditionalFormatting>
  <conditionalFormatting sqref="E483">
    <cfRule type="expression" dxfId="1266" priority="295">
      <formula>AND($E$483=29,$E$486=9)</formula>
    </cfRule>
  </conditionalFormatting>
  <conditionalFormatting sqref="E484">
    <cfRule type="expression" dxfId="1265" priority="294">
      <formula>AND($E$484=35,$E$486=9)</formula>
    </cfRule>
  </conditionalFormatting>
  <conditionalFormatting sqref="E485">
    <cfRule type="expression" dxfId="1264" priority="293">
      <formula>AND($E$485=39,$E$486=9)</formula>
    </cfRule>
  </conditionalFormatting>
  <conditionalFormatting sqref="E487">
    <cfRule type="expression" dxfId="1263" priority="292">
      <formula>AND($E$487=4,SUM($E481:$E$486)=0)</formula>
    </cfRule>
  </conditionalFormatting>
  <conditionalFormatting sqref="E499">
    <cfRule type="expression" dxfId="1262" priority="289">
      <formula>AND($E$499&lt;&gt;"",AND($E$494="",$E$495="",$E$496="",$E$497=""))</formula>
    </cfRule>
  </conditionalFormatting>
  <conditionalFormatting sqref="E500">
    <cfRule type="expression" dxfId="1261" priority="288">
      <formula>AND($E$500&lt;&gt;"",AND($E$494="",$E$495="",$E$496="",$E$497=""))</formula>
    </cfRule>
  </conditionalFormatting>
  <conditionalFormatting sqref="E494:E497">
    <cfRule type="expression" dxfId="1260" priority="287">
      <formula>AND(OR($E$499&lt;&gt;"",$E$500&lt;&gt;""),AND($E$494="",$E$495="",$E$496="",$E$497=""))</formula>
    </cfRule>
  </conditionalFormatting>
  <conditionalFormatting sqref="E508:E510">
    <cfRule type="expression" dxfId="1259" priority="286">
      <formula>AND($E$511&lt;&gt;0,$E$508="",$E$509="",$E$510="")</formula>
    </cfRule>
  </conditionalFormatting>
  <conditionalFormatting sqref="E517">
    <cfRule type="expression" dxfId="1258" priority="285">
      <formula>$E$517=0</formula>
    </cfRule>
  </conditionalFormatting>
  <conditionalFormatting sqref="E521">
    <cfRule type="expression" dxfId="1257" priority="281">
      <formula>OR(AND($E$522&gt;0,$E$521&lt;&gt;""),AND($E$521=6,SUM($E$524:$E$528)&gt;0))</formula>
    </cfRule>
  </conditionalFormatting>
  <conditionalFormatting sqref="E528">
    <cfRule type="expression" dxfId="1256" priority="280">
      <formula>AND($E$528=6,$E$522&lt;&gt;11)</formula>
    </cfRule>
  </conditionalFormatting>
  <conditionalFormatting sqref="E527">
    <cfRule type="expression" dxfId="1255" priority="277">
      <formula>AND($E$527=1,$E$522&lt;&gt;11)</formula>
    </cfRule>
  </conditionalFormatting>
  <conditionalFormatting sqref="E526">
    <cfRule type="expression" dxfId="1254" priority="276">
      <formula>AND($E$526=3,$E$522&lt;&gt;11)</formula>
    </cfRule>
  </conditionalFormatting>
  <conditionalFormatting sqref="E525">
    <cfRule type="expression" dxfId="1253" priority="275">
      <formula>AND($E$525=2,$E$522&lt;&gt;11)</formula>
    </cfRule>
  </conditionalFormatting>
  <conditionalFormatting sqref="E524">
    <cfRule type="expression" dxfId="1252" priority="274">
      <formula>AND($E$524=1,$E$522&lt;&gt;11)</formula>
    </cfRule>
  </conditionalFormatting>
  <conditionalFormatting sqref="E563">
    <cfRule type="expression" dxfId="1251" priority="268">
      <formula>AND($E$563=20,SUM($E$553:$E$557)&gt;0)</formula>
    </cfRule>
  </conditionalFormatting>
  <conditionalFormatting sqref="E553">
    <cfRule type="expression" dxfId="1250" priority="267">
      <formula>AND($E$553=5,$E$563=20)</formula>
    </cfRule>
  </conditionalFormatting>
  <conditionalFormatting sqref="E554">
    <cfRule type="expression" dxfId="1249" priority="266">
      <formula>AND($E$554=10,$E$563=20)</formula>
    </cfRule>
  </conditionalFormatting>
  <conditionalFormatting sqref="E555">
    <cfRule type="expression" dxfId="1248" priority="265">
      <formula>AND($E$555=15,$E$563=20)</formula>
    </cfRule>
  </conditionalFormatting>
  <conditionalFormatting sqref="E556">
    <cfRule type="expression" dxfId="1247" priority="264">
      <formula>AND($E$556=20,$E$563=20)</formula>
    </cfRule>
  </conditionalFormatting>
  <conditionalFormatting sqref="E557">
    <cfRule type="expression" dxfId="1246" priority="263">
      <formula>AND($E$557=10,$E$563=20)</formula>
    </cfRule>
  </conditionalFormatting>
  <conditionalFormatting sqref="E486">
    <cfRule type="expression" dxfId="1245" priority="262">
      <formula>AND($E$486=9,SUM($E$481:$E$485)&gt;0)</formula>
    </cfRule>
  </conditionalFormatting>
  <conditionalFormatting sqref="E726">
    <cfRule type="expression" dxfId="1244" priority="261" stopIfTrue="1">
      <formula>AND($E$725="Met", startSingleorMulti&lt;&gt;"Single-Family")</formula>
    </cfRule>
  </conditionalFormatting>
  <conditionalFormatting sqref="E80">
    <cfRule type="expression" dxfId="1243" priority="259">
      <formula>AND($E$80=4,SUM($E$45:$E$47)=0)</formula>
    </cfRule>
  </conditionalFormatting>
  <conditionalFormatting sqref="E45:E47">
    <cfRule type="expression" dxfId="1242" priority="258">
      <formula>AND(SUM($E$45:$E$47)&lt;1,$E$80=4)</formula>
    </cfRule>
  </conditionalFormatting>
  <conditionalFormatting sqref="E73:E75">
    <cfRule type="expression" dxfId="1241" priority="257">
      <formula>AND($E$72=3,SUM($E$73:$E$75)&lt;3)</formula>
    </cfRule>
  </conditionalFormatting>
  <conditionalFormatting sqref="E72 E74:E75">
    <cfRule type="expression" dxfId="1240" priority="256">
      <formula>AND($E$73=3,SUM($E$72,$E$74:$E$75)&lt;3)</formula>
    </cfRule>
  </conditionalFormatting>
  <conditionalFormatting sqref="E72:E73 E75">
    <cfRule type="expression" dxfId="1239" priority="255">
      <formula>AND($E$74=3,SUM($E$72:$E$73,$E$75)&lt;3)</formula>
    </cfRule>
  </conditionalFormatting>
  <conditionalFormatting sqref="E72:E74">
    <cfRule type="expression" dxfId="1238" priority="254">
      <formula>AND($E$75=3,SUM($E$72:$E$74)&lt;3)</formula>
    </cfRule>
  </conditionalFormatting>
  <conditionalFormatting sqref="E576">
    <cfRule type="expression" dxfId="1237" priority="251">
      <formula>AND($E$576="No gas fireplace or heating equipment",$E$577=7)</formula>
    </cfRule>
    <cfRule type="expression" dxfId="1236" priority="253">
      <formula>OR($E$576=0,$E$576="Not Met")</formula>
    </cfRule>
  </conditionalFormatting>
  <conditionalFormatting sqref="E577">
    <cfRule type="expression" dxfId="1235" priority="252">
      <formula>AND($E$577=7,$E$576="No gas fireplace or heating equipment")</formula>
    </cfRule>
  </conditionalFormatting>
  <conditionalFormatting sqref="E578:E580">
    <cfRule type="expression" dxfId="1234" priority="250">
      <formula>AND($E$577=7,$E$576="No gas fireplace or heating equipment")</formula>
    </cfRule>
  </conditionalFormatting>
  <conditionalFormatting sqref="E583:E584">
    <cfRule type="expression" dxfId="1233" priority="243">
      <formula>AND($E$584=4,$E$593=7)</formula>
    </cfRule>
    <cfRule type="expression" dxfId="1232" priority="248">
      <formula>OR(choice901.2.1_1="",choice901.2.1_1="Not Met")</formula>
    </cfRule>
  </conditionalFormatting>
  <conditionalFormatting sqref="E585:E586">
    <cfRule type="expression" dxfId="1231" priority="242">
      <formula>AND($E$586=6,$E$593=7)</formula>
    </cfRule>
    <cfRule type="expression" dxfId="1230" priority="247">
      <formula>OR(choice901.2.1_2="",choice901.2.1_2="Not Met")</formula>
    </cfRule>
  </conditionalFormatting>
  <conditionalFormatting sqref="E587:E588">
    <cfRule type="expression" dxfId="1229" priority="241">
      <formula>AND($E$588=6,$E$593=7)</formula>
    </cfRule>
    <cfRule type="expression" dxfId="1228" priority="246">
      <formula>OR(choice901.2.1_3="",choice901.2.1_3="Not Met")</formula>
    </cfRule>
  </conditionalFormatting>
  <conditionalFormatting sqref="E589:E590">
    <cfRule type="expression" dxfId="1227" priority="240">
      <formula>AND($E$590=6,$E$593=7)</formula>
    </cfRule>
    <cfRule type="expression" dxfId="1226" priority="245">
      <formula>OR(choice901.2.1_4="",choice901.2.1_4="Not Met")</formula>
    </cfRule>
  </conditionalFormatting>
  <conditionalFormatting sqref="E591:E592">
    <cfRule type="expression" dxfId="1225" priority="239">
      <formula>AND($E$592=6,$E$593=7)</formula>
    </cfRule>
    <cfRule type="expression" dxfId="1224" priority="244">
      <formula>OR(choice901.2.1_5="",choice901.2.1_5="Not Met")</formula>
    </cfRule>
  </conditionalFormatting>
  <conditionalFormatting sqref="E604">
    <cfRule type="expression" dxfId="1223" priority="234">
      <formula>AND($E$604=2,SUM($E$609,$E$614,$E$619,$E$624)&gt;0)</formula>
    </cfRule>
  </conditionalFormatting>
  <conditionalFormatting sqref="E609">
    <cfRule type="expression" dxfId="1222" priority="233">
      <formula>AND($E$609=2,SUM($E$604,$E$614,$E$619,$E$624)&gt;0)</formula>
    </cfRule>
  </conditionalFormatting>
  <conditionalFormatting sqref="E614">
    <cfRule type="expression" dxfId="1221" priority="232">
      <formula>AND($E$614=3,SUM($E$604,$E$609,$E$619,$E$624)&gt;0)</formula>
    </cfRule>
  </conditionalFormatting>
  <conditionalFormatting sqref="E619">
    <cfRule type="expression" dxfId="1220" priority="231">
      <formula>AND($E$619=4,OR($E$604,$E$609,$E$614,$E$624)&gt;0)</formula>
    </cfRule>
  </conditionalFormatting>
  <conditionalFormatting sqref="E624">
    <cfRule type="expression" dxfId="1219" priority="230">
      <formula>AND($E$624=4,SUM($E$604,$E$609,$E$614,$E$619)&gt;0)</formula>
    </cfRule>
  </conditionalFormatting>
  <conditionalFormatting sqref="E605">
    <cfRule type="expression" dxfId="1218" priority="229">
      <formula>AND($E$605=2,SUM($E$610,$E$615,$E$620,$E$625)&gt;0)</formula>
    </cfRule>
  </conditionalFormatting>
  <conditionalFormatting sqref="E610">
    <cfRule type="expression" dxfId="1217" priority="228">
      <formula>AND($E$610=2,SUM($E$605,$E$615,$E$620,$E$625)&gt;0)</formula>
    </cfRule>
  </conditionalFormatting>
  <conditionalFormatting sqref="E615">
    <cfRule type="expression" dxfId="1216" priority="227">
      <formula>AND($E$615=3,SUM($E$605,$E$610,$E$620,$E$625)&gt;0)</formula>
    </cfRule>
  </conditionalFormatting>
  <conditionalFormatting sqref="E620">
    <cfRule type="expression" dxfId="1215" priority="226">
      <formula>AND($E$620=4,SUM($E$605,$E$610,$E$615,$E$625)&gt;0)</formula>
    </cfRule>
  </conditionalFormatting>
  <conditionalFormatting sqref="E625">
    <cfRule type="expression" dxfId="1214" priority="225">
      <formula>AND($E$625=4,SUM($E$605,$E$610,$E$615,$E$620)&gt;0)</formula>
    </cfRule>
  </conditionalFormatting>
  <conditionalFormatting sqref="E606">
    <cfRule type="expression" dxfId="1213" priority="224">
      <formula>AND($E$606=2,SUM($E$611,$E$616,$E$621,$E$626)&gt;0)</formula>
    </cfRule>
  </conditionalFormatting>
  <conditionalFormatting sqref="E611">
    <cfRule type="expression" dxfId="1212" priority="222">
      <formula>AND($E$611=2,SUM($E$606,$E$616,$E$621,$E$626)&gt;0)</formula>
    </cfRule>
  </conditionalFormatting>
  <conditionalFormatting sqref="E616">
    <cfRule type="expression" dxfId="1211" priority="221">
      <formula>AND($E$616=3,SUM($E$606,$E$611,$E$621,$E$626)&gt;0)</formula>
    </cfRule>
  </conditionalFormatting>
  <conditionalFormatting sqref="E621">
    <cfRule type="expression" dxfId="1210" priority="220">
      <formula>AND($E$621=4,SUM($E$606,$E$611,$E$616,$E$626)&gt;0)</formula>
    </cfRule>
  </conditionalFormatting>
  <conditionalFormatting sqref="E626">
    <cfRule type="expression" dxfId="1209" priority="219">
      <formula>AND($E$626=4,SUM($E$606,$E$611,$E$616,$E$621)&gt;0)</formula>
    </cfRule>
  </conditionalFormatting>
  <conditionalFormatting sqref="E607">
    <cfRule type="expression" dxfId="1208" priority="218">
      <formula>AND($E$607=2,SUM($E$612,$E$617,$E$622,$E$627)&gt;0)</formula>
    </cfRule>
  </conditionalFormatting>
  <conditionalFormatting sqref="E612">
    <cfRule type="expression" dxfId="1207" priority="217">
      <formula>AND($E$612=2,SUM($E$607,$E$617,$E$622,$E$627)&gt;0)</formula>
    </cfRule>
  </conditionalFormatting>
  <conditionalFormatting sqref="E617">
    <cfRule type="expression" dxfId="1206" priority="216">
      <formula>AND($E$617=3,SUM($E$607,$E$612,$E$622,$E$627)&gt;0)</formula>
    </cfRule>
  </conditionalFormatting>
  <conditionalFormatting sqref="E622">
    <cfRule type="expression" dxfId="1205" priority="215">
      <formula>AND($E$622=4,SUM($E$607,$E$612,$E$617,$E$627)&gt;0)</formula>
    </cfRule>
  </conditionalFormatting>
  <conditionalFormatting sqref="E627">
    <cfRule type="expression" dxfId="1204" priority="214">
      <formula>AND($E$627=4,SUM($E$607,$E$612,$E$617,$E$622)&gt;0)</formula>
    </cfRule>
  </conditionalFormatting>
  <conditionalFormatting sqref="E632">
    <cfRule type="expression" dxfId="1203" priority="213">
      <formula>OR($E$632=0,$E$632="Not Met")</formula>
    </cfRule>
  </conditionalFormatting>
  <conditionalFormatting sqref="E640">
    <cfRule type="expression" dxfId="1202" priority="1189" stopIfTrue="1">
      <formula>AND($E$640=8,$E$638=5)</formula>
    </cfRule>
  </conditionalFormatting>
  <conditionalFormatting sqref="E638">
    <cfRule type="expression" dxfId="1201" priority="211">
      <formula>AND($E$638=5,$E$640=8)</formula>
    </cfRule>
  </conditionalFormatting>
  <conditionalFormatting sqref="E549">
    <cfRule type="expression" dxfId="1200" priority="210">
      <formula>AND($E$549=25,SUM($E$541:$E$544)=0)</formula>
    </cfRule>
  </conditionalFormatting>
  <conditionalFormatting sqref="E548">
    <cfRule type="expression" dxfId="1199" priority="209">
      <formula>AND($E$548=15,SUM($E$541:$E$544)=0)</formula>
    </cfRule>
  </conditionalFormatting>
  <conditionalFormatting sqref="E547">
    <cfRule type="expression" dxfId="1198" priority="208">
      <formula>AND($E$547=10,SUM($E$541:$E$544)=0)</formula>
    </cfRule>
  </conditionalFormatting>
  <conditionalFormatting sqref="E546">
    <cfRule type="expression" dxfId="1197" priority="207">
      <formula>AND($E$546=5,SUM($E$541:$E$544)=0)</formula>
    </cfRule>
  </conditionalFormatting>
  <conditionalFormatting sqref="E539">
    <cfRule type="expression" dxfId="1196" priority="206">
      <formula>AND($E$539=5,SUM($E$546:$E$549)&gt;0)</formula>
    </cfRule>
  </conditionalFormatting>
  <conditionalFormatting sqref="E537">
    <cfRule type="expression" dxfId="1195" priority="204">
      <formula>AND($E$537=15,OR($E$531&lt;&gt;0,$E$532&lt;&gt;0,$E$534&lt;&gt;0,$E$536=8,#REF!=8))</formula>
    </cfRule>
    <cfRule type="expression" dxfId="1194" priority="205">
      <formula>AND($E$537=15,SUM($E$59:$E$60,$E$62:$E$66)=0)</formula>
    </cfRule>
  </conditionalFormatting>
  <conditionalFormatting sqref="E657">
    <cfRule type="expression" dxfId="1193" priority="203" stopIfTrue="1">
      <formula>OR($E$657=0,$E$657="Not Met")</formula>
    </cfRule>
  </conditionalFormatting>
  <conditionalFormatting sqref="E671">
    <cfRule type="expression" dxfId="1192" priority="199">
      <formula>AND(choice902.2.1="N/A - air infiltration rate greater than 5 ACH50",OR(AND(ch7blowerdoor&lt;&gt;"",ch7blowerdoor&lt;5),AND(ch7ACH50&lt;&gt;"",ch7ACH50&lt;5)))</formula>
    </cfRule>
    <cfRule type="expression" dxfId="1191" priority="200">
      <formula>OR($E$671=0,$E$671="Not Met")</formula>
    </cfRule>
  </conditionalFormatting>
  <conditionalFormatting sqref="E688">
    <cfRule type="expression" dxfId="1190" priority="198">
      <formula>OR($E$688=0,$E$688="Not Met")</formula>
    </cfRule>
  </conditionalFormatting>
  <conditionalFormatting sqref="E692">
    <cfRule type="expression" dxfId="1189" priority="196" stopIfTrue="1">
      <formula>OR($E$691="Met", $E$691="N/A")</formula>
    </cfRule>
  </conditionalFormatting>
  <conditionalFormatting sqref="E150">
    <cfRule type="expression" dxfId="1188" priority="7">
      <formula>AND($B$150&lt;&gt;"x",$E$150="No Slabs")</formula>
    </cfRule>
    <cfRule type="expression" dxfId="1187" priority="195">
      <formula>OR($E$150=0,$E$150="Not Met")</formula>
    </cfRule>
  </conditionalFormatting>
  <conditionalFormatting sqref="E154">
    <cfRule type="expression" dxfId="1186" priority="6">
      <formula>AND($A$154="x",$E$154="No habitable or usable space below grade")</formula>
    </cfRule>
    <cfRule type="expression" dxfId="1185" priority="194">
      <formula>OR($E$154=0,$E$154="Not Met")</formula>
    </cfRule>
  </conditionalFormatting>
  <conditionalFormatting sqref="E159">
    <cfRule type="expression" dxfId="1184" priority="5">
      <formula>AND($B$159&lt;&gt;"x",$E$159="No crawlspace")</formula>
    </cfRule>
    <cfRule type="expression" dxfId="1183" priority="193">
      <formula>OR($E$159=0,$E$159="Not Met")</formula>
    </cfRule>
  </conditionalFormatting>
  <conditionalFormatting sqref="E162">
    <cfRule type="expression" dxfId="1182" priority="4">
      <formula>AND($B$162="x",$E$162="Met")</formula>
    </cfRule>
    <cfRule type="expression" dxfId="1181" priority="192">
      <formula>OR($E$162=0,$E$162="Not Met")</formula>
    </cfRule>
  </conditionalFormatting>
  <conditionalFormatting sqref="E171">
    <cfRule type="expression" dxfId="1180" priority="191">
      <formula>OR($E$171=0,$E$171="Not Met")</formula>
    </cfRule>
  </conditionalFormatting>
  <conditionalFormatting sqref="E175">
    <cfRule type="expression" dxfId="1179" priority="190">
      <formula>OR($E$175=0,$E$175="Not Met")</formula>
    </cfRule>
  </conditionalFormatting>
  <conditionalFormatting sqref="E190">
    <cfRule type="expression" dxfId="1178" priority="188">
      <formula>OR($E$190=0,$E$190="Not Met")</formula>
    </cfRule>
  </conditionalFormatting>
  <conditionalFormatting sqref="E192">
    <cfRule type="expression" dxfId="1177" priority="187">
      <formula>OR($E$190=0,$E$190="Not Met")</formula>
    </cfRule>
  </conditionalFormatting>
  <conditionalFormatting sqref="E197">
    <cfRule type="expression" dxfId="1176" priority="186">
      <formula>OR($E$197=0,$E$197="Not Met")</formula>
    </cfRule>
  </conditionalFormatting>
  <conditionalFormatting sqref="E196">
    <cfRule type="expression" dxfId="1175" priority="185">
      <formula>OR($E$196=0,$E$196="Not Met")</formula>
    </cfRule>
  </conditionalFormatting>
  <conditionalFormatting sqref="E299">
    <cfRule type="expression" dxfId="1174" priority="1205">
      <formula>$E$299=0</formula>
    </cfRule>
  </conditionalFormatting>
  <conditionalFormatting sqref="E310">
    <cfRule type="expression" dxfId="1173" priority="182" stopIfTrue="1">
      <formula>OR($E$309="Not Met", $E$309=0)</formula>
    </cfRule>
  </conditionalFormatting>
  <conditionalFormatting sqref="E312">
    <cfRule type="expression" dxfId="1172" priority="181" stopIfTrue="1">
      <formula>OR($E$309="Not Met", $E$309=0)</formula>
    </cfRule>
  </conditionalFormatting>
  <conditionalFormatting sqref="E313">
    <cfRule type="expression" dxfId="1171" priority="180" stopIfTrue="1">
      <formula>OR($E$309="Not Met", $E$309=0)</formula>
    </cfRule>
  </conditionalFormatting>
  <conditionalFormatting sqref="E314:E316">
    <cfRule type="expression" dxfId="1170" priority="176">
      <formula>AND($E$314=0,$E$315=0,$E$316=0)</formula>
    </cfRule>
  </conditionalFormatting>
  <conditionalFormatting sqref="E314">
    <cfRule type="expression" dxfId="1169" priority="175">
      <formula>$E$314="Not Met"</formula>
    </cfRule>
  </conditionalFormatting>
  <conditionalFormatting sqref="E315">
    <cfRule type="expression" dxfId="1168" priority="173">
      <formula>AND($E$314&lt;&gt;"Met",$E$315&gt;0)</formula>
    </cfRule>
    <cfRule type="expression" dxfId="1167" priority="174">
      <formula>AND($E$314="Not Met",$E$315=0)</formula>
    </cfRule>
  </conditionalFormatting>
  <conditionalFormatting sqref="E317">
    <cfRule type="expression" dxfId="1166" priority="172">
      <formula>OR($E$317="Not Met",$E$317=0)</formula>
    </cfRule>
  </conditionalFormatting>
  <conditionalFormatting sqref="E318">
    <cfRule type="expression" dxfId="1165" priority="171">
      <formula>OR($E$318="Not Met",$E$318=0)</formula>
    </cfRule>
  </conditionalFormatting>
  <conditionalFormatting sqref="E319">
    <cfRule type="expression" dxfId="1164" priority="170">
      <formula>OR($E$319="Not Met",$E$319=0)</formula>
    </cfRule>
  </conditionalFormatting>
  <conditionalFormatting sqref="E320">
    <cfRule type="expression" dxfId="1163" priority="169">
      <formula>OR($E$320="Not Met",$E$320=0)</formula>
    </cfRule>
  </conditionalFormatting>
  <conditionalFormatting sqref="E323">
    <cfRule type="expression" dxfId="1162" priority="168">
      <formula>OR($E$323="Not Met",$E$323=0)</formula>
    </cfRule>
  </conditionalFormatting>
  <conditionalFormatting sqref="E333">
    <cfRule type="expression" dxfId="1161" priority="160" stopIfTrue="1">
      <formula>AND($E$333&gt;0,OR(energypath="Alternative Bronze",energypath="Performance Path"))</formula>
    </cfRule>
  </conditionalFormatting>
  <conditionalFormatting sqref="E334">
    <cfRule type="expression" dxfId="1160" priority="158" stopIfTrue="1">
      <formula>AND($E$334&gt;0,OR(energypath="Alternative Bronze",energypath="Performance Path"))</formula>
    </cfRule>
  </conditionalFormatting>
  <conditionalFormatting sqref="E342">
    <cfRule type="expression" dxfId="1159" priority="28">
      <formula>AND($E$342&gt;0,$E$342&lt;&gt;$D$342)</formula>
    </cfRule>
    <cfRule type="expression" dxfId="1158" priority="156" stopIfTrue="1">
      <formula>AND($E$342&gt;0, OR(energypath="Alternative Bronze", energypath="Performance Path"))</formula>
    </cfRule>
  </conditionalFormatting>
  <conditionalFormatting sqref="E343">
    <cfRule type="expression" dxfId="1157" priority="153" stopIfTrue="1">
      <formula>OR(AND(OR(czone=7,czone=8),E343&gt;0), AND(czone=6,OR(E343=4,E343=6)),AND(OR(czone=1, czone=2, czone=3),OR(E343=3,E343=5)))</formula>
    </cfRule>
    <cfRule type="expression" dxfId="1156" priority="154" stopIfTrue="1">
      <formula>AND($E$339&gt;0, OR(energypath="Alternative Bronze", energypath="Performance Path"))</formula>
    </cfRule>
  </conditionalFormatting>
  <conditionalFormatting sqref="E344 E346">
    <cfRule type="expression" dxfId="1155" priority="152" stopIfTrue="1">
      <formula>AND($E$346&gt;0, OR(energypath="Alternative Bronze", energypath="Performance Path"))</formula>
    </cfRule>
  </conditionalFormatting>
  <conditionalFormatting sqref="E348:E349">
    <cfRule type="expression" dxfId="1154" priority="144" stopIfTrue="1">
      <formula>AND($E$348&gt;0, OR(energypath="Alternative Bronze", energypath="Performance Path"))</formula>
    </cfRule>
  </conditionalFormatting>
  <conditionalFormatting sqref="E345">
    <cfRule type="expression" dxfId="1153" priority="148" stopIfTrue="1">
      <formula>AND($E$345&gt;0, OR(energypath="Alternative Bronze", energypath="Performance Path"))</formula>
    </cfRule>
  </conditionalFormatting>
  <conditionalFormatting sqref="E347">
    <cfRule type="expression" dxfId="1152" priority="146" stopIfTrue="1">
      <formula>AND($E$347&gt;0, OR(energypath="Alternative Bronze", energypath="Performance Path"))</formula>
    </cfRule>
  </conditionalFormatting>
  <conditionalFormatting sqref="E350">
    <cfRule type="expression" dxfId="1151" priority="141">
      <formula>OR($E$350="Not Met",$E$350=0)</formula>
    </cfRule>
  </conditionalFormatting>
  <conditionalFormatting sqref="E351">
    <cfRule type="expression" dxfId="1150" priority="139" stopIfTrue="1">
      <formula>OR(AND(OR(czone=7,czone=8),E351&gt;0), AND(czone=6,OR(E351=4,E351=6)),AND(OR(czone=1, czone=2, czone=3),OR(E351=3,E351=5)))</formula>
    </cfRule>
    <cfRule type="expression" dxfId="1149" priority="140" stopIfTrue="1">
      <formula>AND($E$339&gt;0, OR(energypath="Alternative Bronze", energypath="Performance Path"))</formula>
    </cfRule>
  </conditionalFormatting>
  <conditionalFormatting sqref="E352 E354">
    <cfRule type="expression" dxfId="1148" priority="138" stopIfTrue="1">
      <formula>AND($E$354&gt;0, OR(energypath="Alternative Bronze", energypath="Performance Path"))</formula>
    </cfRule>
  </conditionalFormatting>
  <conditionalFormatting sqref="E353">
    <cfRule type="expression" dxfId="1147" priority="134" stopIfTrue="1">
      <formula>AND($E$353&gt;0, OR(energypath="Alternative Bronze", energypath="Performance Path"))</formula>
    </cfRule>
  </conditionalFormatting>
  <conditionalFormatting sqref="E359">
    <cfRule type="expression" dxfId="1146" priority="128" stopIfTrue="1">
      <formula>AND($E$359&gt;0, OR(energypath="Alternative Bronze", energypath="Performance Path"))</formula>
    </cfRule>
  </conditionalFormatting>
  <conditionalFormatting sqref="E357">
    <cfRule type="expression" dxfId="1145" priority="132" stopIfTrue="1">
      <formula>AND($E$357&gt;0, OR(energypath="Alternative Bronze", energypath="Performance Path"))</formula>
    </cfRule>
  </conditionalFormatting>
  <conditionalFormatting sqref="E358">
    <cfRule type="expression" dxfId="1144" priority="130" stopIfTrue="1">
      <formula>AND($E$358&gt;0, OR(energypath="Alternative Bronze", energypath="Performance Path"))</formula>
    </cfRule>
  </conditionalFormatting>
  <conditionalFormatting sqref="E362">
    <cfRule type="expression" dxfId="1143" priority="118" stopIfTrue="1">
      <formula>AND($E$362&gt;0, OR(energypath="Alternative Bronze", energypath="Performance Path"))</formula>
    </cfRule>
  </conditionalFormatting>
  <conditionalFormatting sqref="E360">
    <cfRule type="expression" dxfId="1142" priority="125" stopIfTrue="1">
      <formula>OR(AND(OR(czone=7,czone=8),E360&gt;0), AND(czone=6,OR(E360=4,E360=6)),AND(OR(czone=1, czone=2, czone=3),OR(E360=3,E360=5)))</formula>
    </cfRule>
    <cfRule type="expression" dxfId="1141" priority="126" stopIfTrue="1">
      <formula>AND($E$339&gt;0, OR(energypath="Alternative Bronze", energypath="Performance Path"))</formula>
    </cfRule>
  </conditionalFormatting>
  <conditionalFormatting sqref="E361">
    <cfRule type="expression" dxfId="1140" priority="124" stopIfTrue="1">
      <formula>AND($E$361&gt;0, OR(energypath="Alternative Bronze", energypath="Performance Path"))</formula>
    </cfRule>
  </conditionalFormatting>
  <conditionalFormatting sqref="E364">
    <cfRule type="expression" dxfId="1139" priority="116" stopIfTrue="1">
      <formula>AND($E$364&gt;0, OR(energypath="Alternative Bronze", energypath="Performance Path"))</formula>
    </cfRule>
  </conditionalFormatting>
  <conditionalFormatting sqref="E373 E376">
    <cfRule type="expression" dxfId="1138" priority="95" stopIfTrue="1">
      <formula>AND($E$376&gt;0, OR(energypath="Alternative Bronze", energypath="Performance Path"))</formula>
    </cfRule>
  </conditionalFormatting>
  <conditionalFormatting sqref="E368">
    <cfRule type="expression" dxfId="1137" priority="102" stopIfTrue="1">
      <formula>AND($E$368&gt;0, OR(energypath="Alternative Bronze", energypath="Performance Path"))</formula>
    </cfRule>
  </conditionalFormatting>
  <conditionalFormatting sqref="E374">
    <cfRule type="expression" dxfId="1136" priority="93" stopIfTrue="1">
      <formula>AND($E$374&gt;0, OR(energypath="Alternative Bronze", energypath="Performance Path"))</formula>
    </cfRule>
  </conditionalFormatting>
  <conditionalFormatting sqref="E375">
    <cfRule type="expression" dxfId="1135" priority="91" stopIfTrue="1">
      <formula>AND($E$375&gt;0, OR(energypath="Alternative Bronze", energypath="Performance Path"))</formula>
    </cfRule>
  </conditionalFormatting>
  <conditionalFormatting sqref="E365">
    <cfRule type="expression" dxfId="1134" priority="113" stopIfTrue="1">
      <formula>OR(AND(OR(czone=7,czone=8),E365&gt;0), AND(czone=6,OR(E365=4,E365=6)),AND(OR(czone=1, czone=2, czone=3),OR(E365=3,E365=5)))</formula>
    </cfRule>
    <cfRule type="expression" dxfId="1133" priority="114" stopIfTrue="1">
      <formula>AND($E$339&gt;0, OR(energypath="Alternative Bronze", energypath="Performance Path"))</formula>
    </cfRule>
  </conditionalFormatting>
  <conditionalFormatting sqref="E366 E369">
    <cfRule type="expression" dxfId="1132" priority="112" stopIfTrue="1">
      <formula>AND($E$369&gt;0, OR(energypath="Alternative Bronze", energypath="Performance Path"))</formula>
    </cfRule>
  </conditionalFormatting>
  <conditionalFormatting sqref="E370">
    <cfRule type="expression" dxfId="1131" priority="100" stopIfTrue="1">
      <formula>AND($E$370&gt;0, OR(energypath="Alternative Bronze", energypath="Performance Path"))</formula>
    </cfRule>
  </conditionalFormatting>
  <conditionalFormatting sqref="E377">
    <cfRule type="expression" dxfId="1130" priority="89" stopIfTrue="1">
      <formula>AND($E$377&gt;0, OR(energypath="Alternative Bronze", energypath="Performance Path"))</formula>
    </cfRule>
  </conditionalFormatting>
  <conditionalFormatting sqref="E367">
    <cfRule type="expression" dxfId="1129" priority="104" stopIfTrue="1">
      <formula>AND($E$367&gt;0, OR(energypath="Alternative Bronze", energypath="Performance Path"))</formula>
    </cfRule>
  </conditionalFormatting>
  <conditionalFormatting sqref="E371">
    <cfRule type="expression" dxfId="1128" priority="27">
      <formula>AND($E$371&gt;0,$E$371&lt;&gt;$D$371)</formula>
    </cfRule>
    <cfRule type="expression" dxfId="1127" priority="98" stopIfTrue="1">
      <formula>AND($E$371&gt;0, OR(energypath="Alternative Bronze", energypath="Performance Path"))</formula>
    </cfRule>
  </conditionalFormatting>
  <conditionalFormatting sqref="E372">
    <cfRule type="expression" dxfId="1126" priority="96" stopIfTrue="1">
      <formula>OR(AND(OR(czone=7,czone=8),E372&gt;0), AND(czone=6,OR(E372=4,E372=6)),AND(OR(czone=1, czone=2, czone=3),OR(E372=3,E372=5)))</formula>
    </cfRule>
    <cfRule type="expression" dxfId="1125" priority="97" stopIfTrue="1">
      <formula>AND($E$339&gt;0, OR(energypath="Alternative Bronze", energypath="Performance Path"))</formula>
    </cfRule>
  </conditionalFormatting>
  <conditionalFormatting sqref="E378">
    <cfRule type="expression" dxfId="1124" priority="87" stopIfTrue="1">
      <formula>AND($E$378&gt;0, OR(energypath="Alternative Bronze", energypath="Performance Path"))</formula>
    </cfRule>
  </conditionalFormatting>
  <conditionalFormatting sqref="E379">
    <cfRule type="expression" dxfId="1123" priority="26">
      <formula>AND($E$379&gt;0,$E$379&lt;&gt;$D$379)</formula>
    </cfRule>
    <cfRule type="expression" dxfId="1122" priority="86" stopIfTrue="1">
      <formula>AND($E$379&gt;0, OR(energypath="Alternative Bronze", energypath="Performance Path"))</formula>
    </cfRule>
  </conditionalFormatting>
  <conditionalFormatting sqref="E384">
    <cfRule type="expression" dxfId="1121" priority="15">
      <formula>AND($E$384&gt;0,$E$384&lt;&gt;$D$384)</formula>
    </cfRule>
    <cfRule type="expression" dxfId="1120" priority="84" stopIfTrue="1">
      <formula>AND($E$384&gt;0, OR(energypath="Alternative Bronze", energypath="Performance Path"))</formula>
    </cfRule>
  </conditionalFormatting>
  <conditionalFormatting sqref="E383">
    <cfRule type="expression" dxfId="1119" priority="16">
      <formula>AND($E$383&gt;0,$E$383&lt;&gt;$D$383)</formula>
    </cfRule>
    <cfRule type="expression" dxfId="1118" priority="20">
      <formula>AND($E$382&gt;0,$E$383&gt;0,SUM($E$386:$E$388)&gt;0)</formula>
    </cfRule>
    <cfRule type="expression" dxfId="1117" priority="82" stopIfTrue="1">
      <formula>AND($E$383&gt;0, OR(energypath="Alternative Bronze", energypath="Performance Path"))</formula>
    </cfRule>
  </conditionalFormatting>
  <conditionalFormatting sqref="E385">
    <cfRule type="expression" dxfId="1116" priority="79" stopIfTrue="1">
      <formula>OR(AND(E385=8,czone&gt;3), AND(E385=10,czone&gt;5), AND(E385=5,OR(czone&lt;4, czone&gt;5)), AND(OR(E385=6,E385=12),czone&lt;6))</formula>
    </cfRule>
    <cfRule type="expression" dxfId="1115" priority="80" stopIfTrue="1">
      <formula>AND($E$382&gt;0, OR(energypath="Alternative Bronze", energypath="Performance Path"))</formula>
    </cfRule>
  </conditionalFormatting>
  <conditionalFormatting sqref="E386">
    <cfRule type="expression" dxfId="1114" priority="14">
      <formula>AND($E$386&gt;0,$E$386&lt;&gt;$D$386)</formula>
    </cfRule>
    <cfRule type="expression" dxfId="1113" priority="21">
      <formula>AND($E$386&gt;0,$E$383&gt;0,$E$382&gt;0)</formula>
    </cfRule>
    <cfRule type="expression" dxfId="1112" priority="24">
      <formula>AND($E$384&gt;0,$E$386&gt;0)</formula>
    </cfRule>
    <cfRule type="expression" dxfId="1111" priority="78" stopIfTrue="1">
      <formula>AND($E$386&gt;0, OR(energypath="Alternative Bronze", energypath="Performance Path"))</formula>
    </cfRule>
  </conditionalFormatting>
  <conditionalFormatting sqref="E387">
    <cfRule type="expression" dxfId="1110" priority="13">
      <formula>AND($E$387&gt;0,$E$387&lt;&gt;$D$387)</formula>
    </cfRule>
    <cfRule type="expression" dxfId="1109" priority="22">
      <formula>AND($E$387&gt;0,$E$383&gt;0,$E$382&gt;0)</formula>
    </cfRule>
    <cfRule type="expression" dxfId="1108" priority="72" stopIfTrue="1">
      <formula>AND($E$387&gt;0, OR(energypath="Alternative Bronze", energypath="Performance Path"))</formula>
    </cfRule>
  </conditionalFormatting>
  <conditionalFormatting sqref="E388">
    <cfRule type="expression" dxfId="1107" priority="12">
      <formula>AND($E$388&gt;0,$E$388&lt;&gt;$D$388)</formula>
    </cfRule>
    <cfRule type="expression" dxfId="1106" priority="23">
      <formula>AND($E$388&gt;0,$E$383&gt;0,$E$382&gt;0)</formula>
    </cfRule>
    <cfRule type="expression" dxfId="1105" priority="25">
      <formula>AND($E$384&gt;0,$E$388&gt;0)</formula>
    </cfRule>
    <cfRule type="expression" dxfId="1104" priority="70" stopIfTrue="1">
      <formula>AND($E$388&gt;0, OR(energypath="Alternative Bronze", energypath="Performance Path"))</formula>
    </cfRule>
  </conditionalFormatting>
  <conditionalFormatting sqref="E397">
    <cfRule type="expression" dxfId="1103" priority="66" stopIfTrue="1">
      <formula>AND($E$397&gt;0,$E$390&gt;0)</formula>
    </cfRule>
    <cfRule type="expression" dxfId="1102" priority="68" stopIfTrue="1">
      <formula>AND($E$397&gt;0, OR(energypath="Alternative Bronze", energypath="Performance Path"))</formula>
    </cfRule>
  </conditionalFormatting>
  <conditionalFormatting sqref="E398">
    <cfRule type="expression" dxfId="1101" priority="61" stopIfTrue="1">
      <formula>AND($E$398&gt;0,$E$390&gt;0)</formula>
    </cfRule>
    <cfRule type="expression" dxfId="1100" priority="62" stopIfTrue="1">
      <formula>AND($E$398&gt;0, OR(energypath="Alternative Bronze", energypath="Performance Path"))</formula>
    </cfRule>
  </conditionalFormatting>
  <conditionalFormatting sqref="E399">
    <cfRule type="expression" dxfId="1099" priority="59" stopIfTrue="1">
      <formula>AND($E$399&gt;0,$E$390&gt;0)</formula>
    </cfRule>
    <cfRule type="expression" dxfId="1098" priority="60" stopIfTrue="1">
      <formula>AND($E$399&gt;0, OR(energypath="Alternative Bronze", energypath="Performance Path"))</formula>
    </cfRule>
  </conditionalFormatting>
  <conditionalFormatting sqref="E400">
    <cfRule type="expression" dxfId="1097" priority="57" stopIfTrue="1">
      <formula>AND($E$400&gt;0,$E$390&gt;0)</formula>
    </cfRule>
    <cfRule type="expression" dxfId="1096" priority="58" stopIfTrue="1">
      <formula>AND($E$400&gt;0, OR(energypath="Alternative Bronze", energypath="Performance Path"))</formula>
    </cfRule>
  </conditionalFormatting>
  <conditionalFormatting sqref="E401">
    <cfRule type="expression" dxfId="1095" priority="55" stopIfTrue="1">
      <formula>AND($E$401&gt;0,$E$390&gt;0)</formula>
    </cfRule>
    <cfRule type="expression" dxfId="1094" priority="56" stopIfTrue="1">
      <formula>AND($E$401&gt;0, OR(energypath="Alternative Bronze", energypath="Performance Path"))</formula>
    </cfRule>
  </conditionalFormatting>
  <conditionalFormatting sqref="E390">
    <cfRule type="expression" dxfId="1093" priority="54">
      <formula>AND($E$390&gt;0,SUM($E$397:$E$401)&gt;0)</formula>
    </cfRule>
  </conditionalFormatting>
  <conditionalFormatting sqref="E404">
    <cfRule type="expression" dxfId="1092" priority="1206" stopIfTrue="1">
      <formula>AND($E$404&gt;0, OR(energypath="Alternative Bronze", energypath="Performance Path"))</formula>
    </cfRule>
  </conditionalFormatting>
  <conditionalFormatting sqref="E406">
    <cfRule type="expression" dxfId="1091" priority="1208" stopIfTrue="1">
      <formula>AND($E$406&gt;0, OR(energypath="Alternative Bronze", energypath="Performance Path"))</formula>
    </cfRule>
  </conditionalFormatting>
  <conditionalFormatting sqref="E405">
    <cfRule type="expression" dxfId="1090" priority="53" stopIfTrue="1">
      <formula>AND($E$405&gt;0, OR(energypath="Alternative Bronze", energypath="Performance Path"))</formula>
    </cfRule>
  </conditionalFormatting>
  <conditionalFormatting sqref="E411">
    <cfRule type="expression" dxfId="1089" priority="38">
      <formula>AND($E$411&gt;0,$E$411&lt;&gt;$D$411)</formula>
    </cfRule>
    <cfRule type="expression" dxfId="1088" priority="52">
      <formula>AND($E$411&gt;0, OR(energypath="Alternative Bronze", energypath="Performance Path"))</formula>
    </cfRule>
  </conditionalFormatting>
  <conditionalFormatting sqref="E420">
    <cfRule type="expression" dxfId="1087" priority="36">
      <formula>AND($E$420=1,$E$416&gt;0)</formula>
    </cfRule>
    <cfRule type="expression" dxfId="1086" priority="46">
      <formula>AND($E$420&gt;0, OR(energypath="Alternative Bronze", energypath="Performance Path"))</formula>
    </cfRule>
  </conditionalFormatting>
  <conditionalFormatting sqref="E419:E424">
    <cfRule type="expression" dxfId="1085" priority="31">
      <formula>AND(SUM($E$419:$E$424)&gt;0,OR(SUM($E$419:$E$424)&gt;4,SUM($E$419:$E$424)&lt;3))</formula>
    </cfRule>
  </conditionalFormatting>
  <conditionalFormatting sqref="E425">
    <cfRule type="expression" dxfId="1084" priority="43">
      <formula>AND($E$425&gt;0,$E$425&lt;&gt;$D$425)</formula>
    </cfRule>
    <cfRule type="expression" dxfId="1083" priority="44" stopIfTrue="1">
      <formula>AND($E$425&gt;0, OR(energypath="Alternative Bronze", energypath="Performance Path"))</formula>
    </cfRule>
  </conditionalFormatting>
  <conditionalFormatting sqref="E332">
    <cfRule type="expression" dxfId="1082" priority="42">
      <formula>AND($E$332&gt;0,OR(energypath="Alternative Bronze",energypath="Performance Path"))</formula>
    </cfRule>
  </conditionalFormatting>
  <conditionalFormatting sqref="E335">
    <cfRule type="expression" dxfId="1081" priority="41">
      <formula>AND($E$335&gt;0,OR(energypath="Alternative Bronze",energypath="Performance Path"))</formula>
    </cfRule>
  </conditionalFormatting>
  <conditionalFormatting sqref="E363">
    <cfRule type="expression" dxfId="1080" priority="40">
      <formula>AND($E$361&gt;0, OR(energypath="Alternative Bronze", energypath="Performance Path"))</formula>
    </cfRule>
  </conditionalFormatting>
  <conditionalFormatting sqref="E393">
    <cfRule type="expression" dxfId="1079" priority="11">
      <formula>AND($E$393&gt;0,$E$393&lt;&gt;$D$393)</formula>
    </cfRule>
    <cfRule type="expression" dxfId="1078" priority="39">
      <formula>AND($E$393&gt;0, OR(energypath="Alternative Bronze", energypath="Performance Path"))</formula>
    </cfRule>
  </conditionalFormatting>
  <conditionalFormatting sqref="E413">
    <cfRule type="expression" dxfId="1077" priority="37">
      <formula>AND($E$413&gt;0, OR(energypath="Alternative Bronze", energypath="Performance Path"))</formula>
    </cfRule>
  </conditionalFormatting>
  <conditionalFormatting sqref="E419">
    <cfRule type="expression" dxfId="1076" priority="45">
      <formula>AND($E$419&gt;0, OR(energypath="Alternative Bronze", energypath="Performance Path"))</formula>
    </cfRule>
  </conditionalFormatting>
  <conditionalFormatting sqref="E421">
    <cfRule type="expression" dxfId="1075" priority="35">
      <formula>AND($E$421&gt;0, OR(energypath="Alternative Bronze", energypath="Performance Path"))</formula>
    </cfRule>
  </conditionalFormatting>
  <conditionalFormatting sqref="E422">
    <cfRule type="expression" dxfId="1074" priority="34">
      <formula>AND($E$422&gt;0, OR(energypath="Alternative Bronze", energypath="Performance Path"))</formula>
    </cfRule>
  </conditionalFormatting>
  <conditionalFormatting sqref="E423">
    <cfRule type="expression" dxfId="1073" priority="32">
      <formula>AND($E$423&gt;0, OR(energypath="Alternative Bronze", energypath="Performance Path"))</formula>
    </cfRule>
  </conditionalFormatting>
  <conditionalFormatting sqref="E424">
    <cfRule type="expression" dxfId="1072" priority="33">
      <formula>AND($E$424&gt;0, OR(energypath="Alternative Bronze", energypath="Performance Path"))</formula>
    </cfRule>
  </conditionalFormatting>
  <conditionalFormatting sqref="E337">
    <cfRule type="expression" dxfId="1071" priority="30">
      <formula>AND($E$337=7,SUM($E$332:$E$335)&gt;0)</formula>
    </cfRule>
  </conditionalFormatting>
  <conditionalFormatting sqref="E338">
    <cfRule type="expression" dxfId="1070" priority="29">
      <formula>AND($E$338=4,SUM($E$332:$E$335)&gt;0)</formula>
    </cfRule>
  </conditionalFormatting>
  <conditionalFormatting sqref="E677 E382:E383">
    <cfRule type="expression" dxfId="1069" priority="18">
      <formula>AND($E$677&gt;0,$E$382&gt;0,$E$383&gt;0)</formula>
    </cfRule>
  </conditionalFormatting>
  <conditionalFormatting sqref="E522">
    <cfRule type="expression" dxfId="1068" priority="10">
      <formula>AND($E$522&lt;&gt;11,SUM($E$524:$E$528)&gt;0)</formula>
    </cfRule>
  </conditionalFormatting>
  <conditionalFormatting sqref="D58:E58">
    <cfRule type="expression" dxfId="1067" priority="9">
      <formula>AND($D$58="No landscape plan type selected.", SUM($E$59:$E$67)&gt;0)</formula>
    </cfRule>
  </conditionalFormatting>
  <conditionalFormatting sqref="E536">
    <cfRule type="expression" dxfId="1066" priority="7242" stopIfTrue="1">
      <formula>AND($E$536&gt;0,SUM($E$537:$E$537)&gt;0)</formula>
    </cfRule>
  </conditionalFormatting>
  <conditionalFormatting sqref="E531">
    <cfRule type="expression" dxfId="1065" priority="7243">
      <formula>OR(AND($E$531&lt;&gt;4,$E$534=10),AND($E$537=15,$E$531=4))</formula>
    </cfRule>
  </conditionalFormatting>
  <conditionalFormatting sqref="E530">
    <cfRule type="expression" dxfId="1064" priority="7244">
      <formula>AND($E$530&gt;0,$E$537&gt;0)</formula>
    </cfRule>
  </conditionalFormatting>
  <conditionalFormatting sqref="E534">
    <cfRule type="expression" dxfId="1063" priority="7245">
      <formula>OR(AND($E$534=10,$E$531&lt;&gt;4),AND($E$534=10,$E$537=15))</formula>
    </cfRule>
  </conditionalFormatting>
  <conditionalFormatting sqref="E532">
    <cfRule type="expression" dxfId="1062" priority="7246">
      <formula>AND($E$537=15,$E$532=4)</formula>
    </cfRule>
  </conditionalFormatting>
  <pageMargins left="0.7" right="0.7" top="0.75" bottom="0.75" header="0.3" footer="0.3"/>
  <pageSetup scale="44" fitToHeight="0" orientation="portrait" r:id="rId1"/>
  <headerFooter>
    <oddFooter xml:space="preserve">&amp;C&amp;8© 2013 Home Innovation Research Labs.  Practices of ICC700-2012 © 2013 National Association of Home Builders- used by permission.   Home Innovation authorizes use by those persons participating in the Home Innovation’s Green Building Certification.&amp;R
</oddFooter>
  </headerFooter>
  <ignoredErrors>
    <ignoredError sqref="E101" formula="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pageSetUpPr fitToPage="1"/>
  </sheetPr>
  <dimension ref="A1:K185"/>
  <sheetViews>
    <sheetView showGridLines="0" zoomScaleNormal="100" workbookViewId="0">
      <pane ySplit="2" topLeftCell="A3" activePane="bottomLeft" state="frozen"/>
      <selection activeCell="A3" sqref="A1:K3"/>
      <selection pane="bottomLeft" activeCell="A130" sqref="A130:I130"/>
    </sheetView>
  </sheetViews>
  <sheetFormatPr baseColWidth="10" defaultColWidth="9.1640625" defaultRowHeight="13"/>
  <cols>
    <col min="1" max="3" width="18.6640625" style="83" customWidth="1"/>
    <col min="4" max="4" width="27" style="83" customWidth="1"/>
    <col min="5" max="5" width="11.1640625" style="83" customWidth="1"/>
    <col min="6" max="9" width="18.6640625" style="83" customWidth="1"/>
    <col min="10" max="10" width="9.1640625" style="448"/>
    <col min="11" max="16384" width="9.1640625" style="83"/>
  </cols>
  <sheetData>
    <row r="1" spans="1:11" ht="45" customHeight="1">
      <c r="A1" s="4752"/>
      <c r="B1" s="4752"/>
      <c r="C1" s="4752"/>
      <c r="D1" s="2306">
        <v>2012</v>
      </c>
      <c r="E1" s="2302"/>
      <c r="F1" s="2302"/>
      <c r="G1" s="2302"/>
      <c r="H1" s="2302"/>
      <c r="I1" s="2302"/>
    </row>
    <row r="2" spans="1:11" s="432" customFormat="1" ht="76.5" customHeight="1" thickBot="1">
      <c r="A2" s="4753" t="s">
        <v>2865</v>
      </c>
      <c r="B2" s="4753"/>
      <c r="C2" s="4753"/>
      <c r="D2" s="2300" t="str">
        <f>CONCATENATE("Revised ",TEXT(startRevisionDate,"mmmm dd, yyyy"))</f>
        <v>Revised August 21, 2020</v>
      </c>
      <c r="E2" s="4754" t="str">
        <f>CONCATENATE(copyright," All rights reserved.  This document is protected by U.S. copyright law. Requirements from ICC700-2012 National Green Building Standard™ © 2013 National Association of Home Builders of the U.S. - used by permission."," Home Innovation authorizes use of this document only by those individuals/organizations participating in Home Innovation's Green Building Certification and solely for purpose of seeking project certification from the Home Innovation Research Labs.")</f>
        <v>© 2020 Home Innovation Research Labs, Inc. All rights reserved.  This document is protected by U.S. copyright law. Requirements from ICC700-2012 National Green Building Standard™ © 2013 National Association of Home Builders of the U.S. - used by permission. Home Innovation authorizes use of this document only by those individuals/organizations participating in Home Innovation's Green Building Certification and solely for purpose of seeking project certification from the Home Innovation Research Labs.</v>
      </c>
      <c r="F2" s="4754"/>
      <c r="G2" s="4754"/>
      <c r="H2" s="4754"/>
      <c r="I2" s="4754"/>
      <c r="J2" s="431"/>
    </row>
    <row r="3" spans="1:11" ht="19" thickBot="1">
      <c r="A3" s="4745" t="s">
        <v>747</v>
      </c>
      <c r="B3" s="4745"/>
      <c r="C3" s="4745"/>
      <c r="D3" s="4745"/>
      <c r="E3" s="4745"/>
      <c r="F3" s="4745"/>
      <c r="G3" s="4745"/>
      <c r="H3" s="4745"/>
      <c r="I3" s="4745"/>
      <c r="J3" s="449"/>
      <c r="K3"/>
    </row>
    <row r="4" spans="1:11" ht="17.25" customHeight="1">
      <c r="A4" s="450"/>
      <c r="B4" s="451"/>
      <c r="C4" s="451"/>
      <c r="D4" s="451"/>
      <c r="E4" s="451"/>
      <c r="F4" s="451"/>
      <c r="G4" s="451"/>
      <c r="H4" s="451"/>
      <c r="I4" s="452"/>
    </row>
    <row r="5" spans="1:11" ht="14">
      <c r="A5" s="450"/>
      <c r="B5" s="453" t="s">
        <v>748</v>
      </c>
      <c r="C5" s="453" t="s">
        <v>2522</v>
      </c>
      <c r="D5" s="451"/>
      <c r="E5" s="451"/>
      <c r="F5" s="451"/>
      <c r="I5" s="452"/>
      <c r="J5" s="83"/>
    </row>
    <row r="6" spans="1:11">
      <c r="A6" s="450"/>
      <c r="B6" s="451"/>
      <c r="C6" s="451"/>
      <c r="D6" s="451"/>
      <c r="E6" s="451"/>
      <c r="F6" s="451"/>
      <c r="G6" s="451"/>
      <c r="H6" s="451"/>
      <c r="I6" s="452"/>
    </row>
    <row r="7" spans="1:11">
      <c r="A7" s="450"/>
      <c r="B7" s="451"/>
      <c r="C7" s="451"/>
      <c r="D7" s="451"/>
      <c r="E7" s="451"/>
      <c r="F7" s="451"/>
      <c r="G7" s="451"/>
      <c r="H7" s="451"/>
      <c r="I7" s="452"/>
    </row>
    <row r="8" spans="1:11">
      <c r="A8" s="450"/>
      <c r="B8" s="451"/>
      <c r="C8" s="451"/>
      <c r="D8" s="451"/>
      <c r="E8" s="451"/>
      <c r="F8" s="451"/>
      <c r="G8" s="451"/>
      <c r="H8" s="451"/>
      <c r="I8" s="452"/>
    </row>
    <row r="9" spans="1:11">
      <c r="A9" s="450"/>
      <c r="B9" s="451"/>
      <c r="C9" s="451"/>
      <c r="D9" s="451"/>
      <c r="E9" s="451"/>
      <c r="F9" s="451"/>
      <c r="G9" s="451"/>
      <c r="H9" s="451"/>
      <c r="I9" s="452"/>
    </row>
    <row r="10" spans="1:11">
      <c r="A10" s="450"/>
      <c r="B10" s="451"/>
      <c r="C10" s="451"/>
      <c r="D10" s="451"/>
      <c r="E10" s="451"/>
      <c r="F10" s="451"/>
      <c r="G10" s="451"/>
      <c r="H10" s="451"/>
      <c r="I10" s="452"/>
    </row>
    <row r="11" spans="1:11">
      <c r="A11" s="450"/>
      <c r="B11" s="451"/>
      <c r="C11" s="451"/>
      <c r="D11" s="451"/>
      <c r="E11" s="451"/>
      <c r="F11" s="451"/>
      <c r="G11" s="451"/>
      <c r="H11" s="451"/>
      <c r="I11" s="452"/>
    </row>
    <row r="12" spans="1:11">
      <c r="A12" s="450"/>
      <c r="B12" s="451"/>
      <c r="C12" s="451"/>
      <c r="D12" s="451"/>
      <c r="E12" s="451"/>
      <c r="F12" s="451"/>
      <c r="G12" s="451"/>
      <c r="H12" s="451"/>
      <c r="I12" s="452"/>
    </row>
    <row r="13" spans="1:11">
      <c r="A13" s="450"/>
      <c r="B13" s="451"/>
      <c r="C13" s="451"/>
      <c r="D13" s="451"/>
      <c r="E13" s="451"/>
      <c r="F13" s="451"/>
      <c r="G13" s="451"/>
      <c r="H13" s="451"/>
      <c r="I13" s="452"/>
    </row>
    <row r="14" spans="1:11">
      <c r="A14" s="450"/>
      <c r="B14" s="451"/>
      <c r="C14" s="451"/>
      <c r="D14" s="451"/>
      <c r="E14" s="451"/>
      <c r="F14" s="451"/>
      <c r="G14" s="451"/>
      <c r="H14" s="451"/>
      <c r="I14" s="452"/>
    </row>
    <row r="15" spans="1:11">
      <c r="A15" s="450"/>
      <c r="B15" s="451"/>
      <c r="C15" s="451"/>
      <c r="D15" s="451"/>
      <c r="E15" s="451"/>
      <c r="F15" s="451"/>
      <c r="G15" s="451"/>
      <c r="H15" s="451"/>
      <c r="I15" s="452"/>
    </row>
    <row r="16" spans="1:11">
      <c r="A16" s="450"/>
      <c r="B16" s="451"/>
      <c r="C16" s="451"/>
      <c r="D16" s="451"/>
      <c r="E16" s="451"/>
      <c r="F16" s="451"/>
      <c r="G16" s="451"/>
      <c r="H16" s="451"/>
      <c r="I16" s="452"/>
    </row>
    <row r="17" spans="1:9">
      <c r="A17" s="450"/>
      <c r="B17" s="451"/>
      <c r="C17" s="451"/>
      <c r="D17" s="451"/>
      <c r="E17" s="451"/>
      <c r="F17" s="451"/>
      <c r="G17" s="451"/>
      <c r="H17" s="451"/>
      <c r="I17" s="452"/>
    </row>
    <row r="18" spans="1:9">
      <c r="A18" s="450"/>
      <c r="B18" s="451"/>
      <c r="C18" s="451"/>
      <c r="D18" s="451"/>
      <c r="E18" s="451"/>
      <c r="F18" s="451"/>
      <c r="G18" s="451"/>
      <c r="H18" s="451"/>
      <c r="I18" s="452"/>
    </row>
    <row r="19" spans="1:9">
      <c r="A19" s="450"/>
      <c r="B19" s="451"/>
      <c r="C19" s="451"/>
      <c r="D19" s="451"/>
      <c r="E19" s="451"/>
      <c r="F19" s="451"/>
      <c r="G19" s="451"/>
      <c r="H19" s="451"/>
      <c r="I19" s="452"/>
    </row>
    <row r="20" spans="1:9">
      <c r="A20" s="450"/>
      <c r="B20" s="451"/>
      <c r="C20" s="451"/>
      <c r="D20" s="451"/>
      <c r="E20" s="451"/>
      <c r="F20" s="451"/>
      <c r="G20" s="451"/>
      <c r="H20" s="451"/>
      <c r="I20" s="452"/>
    </row>
    <row r="21" spans="1:9">
      <c r="A21" s="450"/>
      <c r="B21" s="451"/>
      <c r="C21" s="451"/>
      <c r="D21" s="451"/>
      <c r="E21" s="451"/>
      <c r="F21" s="451"/>
      <c r="G21" s="451"/>
      <c r="H21" s="451"/>
      <c r="I21" s="452"/>
    </row>
    <row r="22" spans="1:9">
      <c r="A22" s="450"/>
      <c r="B22" s="451"/>
      <c r="C22" s="451"/>
      <c r="D22" s="451"/>
      <c r="E22" s="451"/>
      <c r="F22" s="451"/>
      <c r="G22" s="451"/>
      <c r="H22" s="451"/>
      <c r="I22" s="452"/>
    </row>
    <row r="23" spans="1:9">
      <c r="A23" s="450"/>
      <c r="B23" s="451"/>
      <c r="C23" s="451"/>
      <c r="D23" s="451"/>
      <c r="E23" s="451"/>
      <c r="F23" s="451"/>
      <c r="G23" s="451"/>
      <c r="H23" s="451"/>
      <c r="I23" s="452"/>
    </row>
    <row r="24" spans="1:9">
      <c r="A24" s="450"/>
      <c r="B24" s="451"/>
      <c r="C24" s="451"/>
      <c r="D24" s="451"/>
      <c r="E24" s="451"/>
      <c r="F24" s="451"/>
      <c r="G24" s="451"/>
      <c r="H24" s="451"/>
      <c r="I24" s="452"/>
    </row>
    <row r="25" spans="1:9">
      <c r="A25" s="450"/>
      <c r="B25" s="451"/>
      <c r="C25" s="451"/>
      <c r="D25" s="451"/>
      <c r="E25" s="451"/>
      <c r="F25" s="451"/>
      <c r="G25" s="451"/>
      <c r="H25" s="451"/>
      <c r="I25" s="452"/>
    </row>
    <row r="26" spans="1:9">
      <c r="A26" s="450"/>
      <c r="B26" s="451"/>
      <c r="C26" s="451"/>
      <c r="D26" s="451"/>
      <c r="E26" s="451"/>
      <c r="F26" s="451"/>
      <c r="G26" s="451"/>
      <c r="H26" s="451"/>
      <c r="I26" s="452"/>
    </row>
    <row r="27" spans="1:9">
      <c r="A27" s="450"/>
      <c r="B27" s="451"/>
      <c r="C27" s="451"/>
      <c r="D27" s="451"/>
      <c r="E27" s="451"/>
      <c r="F27" s="451"/>
      <c r="G27" s="451"/>
      <c r="H27" s="451"/>
      <c r="I27" s="452"/>
    </row>
    <row r="28" spans="1:9">
      <c r="A28" s="450"/>
      <c r="B28" s="451"/>
      <c r="C28" s="451"/>
      <c r="D28" s="451"/>
      <c r="E28" s="451"/>
      <c r="F28" s="451"/>
      <c r="G28" s="451"/>
      <c r="H28" s="451"/>
      <c r="I28" s="452"/>
    </row>
    <row r="29" spans="1:9">
      <c r="A29" s="450"/>
      <c r="B29" s="451"/>
      <c r="C29" s="451"/>
      <c r="D29" s="451"/>
      <c r="E29" s="451"/>
      <c r="F29" s="451"/>
      <c r="G29" s="451"/>
      <c r="H29" s="451"/>
      <c r="I29" s="452"/>
    </row>
    <row r="30" spans="1:9">
      <c r="A30" s="450"/>
      <c r="B30" s="451"/>
      <c r="C30" s="451"/>
      <c r="D30" s="451"/>
      <c r="E30" s="451"/>
      <c r="F30" s="451"/>
      <c r="G30" s="451"/>
      <c r="H30" s="451"/>
      <c r="I30" s="452"/>
    </row>
    <row r="31" spans="1:9">
      <c r="A31" s="450"/>
      <c r="B31" s="451"/>
      <c r="C31" s="451"/>
      <c r="D31" s="451"/>
      <c r="E31" s="451"/>
      <c r="F31" s="451"/>
      <c r="G31" s="451"/>
      <c r="H31" s="451"/>
      <c r="I31" s="452"/>
    </row>
    <row r="32" spans="1:9">
      <c r="A32" s="450"/>
      <c r="B32" s="451"/>
      <c r="C32" s="451"/>
      <c r="D32" s="451"/>
      <c r="E32" s="451"/>
      <c r="F32" s="451"/>
      <c r="G32" s="451"/>
      <c r="H32" s="451"/>
      <c r="I32" s="452"/>
    </row>
    <row r="33" spans="1:9">
      <c r="A33" s="450"/>
      <c r="B33" s="451"/>
      <c r="C33" s="451"/>
      <c r="D33" s="451"/>
      <c r="E33" s="451"/>
      <c r="F33" s="451"/>
      <c r="G33" s="451"/>
      <c r="H33" s="451"/>
      <c r="I33" s="452"/>
    </row>
    <row r="34" spans="1:9">
      <c r="A34" s="450"/>
      <c r="B34" s="451"/>
      <c r="C34" s="451"/>
      <c r="D34" s="451"/>
      <c r="E34" s="451"/>
      <c r="F34" s="451"/>
      <c r="G34" s="451"/>
      <c r="H34" s="451"/>
      <c r="I34" s="452"/>
    </row>
    <row r="35" spans="1:9">
      <c r="A35" s="450"/>
      <c r="B35" s="451"/>
      <c r="C35" s="451"/>
      <c r="D35" s="451"/>
      <c r="E35" s="451"/>
      <c r="F35" s="451"/>
      <c r="G35" s="451"/>
      <c r="H35" s="451"/>
      <c r="I35" s="452"/>
    </row>
    <row r="36" spans="1:9">
      <c r="A36" s="450"/>
      <c r="B36" s="451"/>
      <c r="C36" s="451"/>
      <c r="D36" s="451"/>
      <c r="E36" s="451"/>
      <c r="F36" s="451"/>
      <c r="G36" s="451"/>
      <c r="H36" s="451"/>
      <c r="I36" s="452"/>
    </row>
    <row r="37" spans="1:9">
      <c r="A37" s="450"/>
      <c r="B37" s="451"/>
      <c r="C37" s="451"/>
      <c r="D37" s="451"/>
      <c r="E37" s="451"/>
      <c r="F37" s="451"/>
      <c r="G37" s="451"/>
      <c r="H37" s="451"/>
      <c r="I37" s="452"/>
    </row>
    <row r="38" spans="1:9">
      <c r="A38" s="450"/>
      <c r="B38" s="451"/>
      <c r="C38" s="451"/>
      <c r="D38" s="451"/>
      <c r="E38" s="451"/>
      <c r="F38" s="451"/>
      <c r="G38" s="451"/>
      <c r="H38" s="451"/>
      <c r="I38" s="452"/>
    </row>
    <row r="39" spans="1:9">
      <c r="A39" s="450"/>
      <c r="B39" s="451"/>
      <c r="C39" s="451"/>
      <c r="D39" s="451"/>
      <c r="E39" s="451"/>
      <c r="F39" s="451"/>
      <c r="G39" s="451"/>
      <c r="H39" s="451"/>
      <c r="I39" s="452"/>
    </row>
    <row r="40" spans="1:9">
      <c r="A40" s="450"/>
      <c r="B40" s="451"/>
      <c r="C40" s="451"/>
      <c r="D40" s="451"/>
      <c r="E40" s="451"/>
      <c r="F40" s="451"/>
      <c r="G40" s="451"/>
      <c r="H40" s="451"/>
      <c r="I40" s="452"/>
    </row>
    <row r="41" spans="1:9">
      <c r="A41" s="450"/>
      <c r="B41" s="451"/>
      <c r="C41" s="451"/>
      <c r="D41" s="451"/>
      <c r="E41" s="451"/>
      <c r="F41" s="451"/>
      <c r="G41" s="451"/>
      <c r="H41" s="451"/>
      <c r="I41" s="452"/>
    </row>
    <row r="42" spans="1:9" ht="25.5" customHeight="1">
      <c r="A42" s="450"/>
      <c r="B42" s="451"/>
      <c r="C42" s="451"/>
      <c r="D42" s="451"/>
      <c r="E42" s="451"/>
      <c r="F42" s="451"/>
      <c r="G42" s="451"/>
      <c r="H42" s="451"/>
      <c r="I42" s="452"/>
    </row>
    <row r="43" spans="1:9" ht="14" thickBot="1">
      <c r="A43" s="4763" t="s">
        <v>749</v>
      </c>
      <c r="B43" s="4764"/>
      <c r="C43" s="4764"/>
      <c r="D43" s="4764"/>
      <c r="E43" s="4764"/>
      <c r="F43" s="4764"/>
      <c r="G43" s="4764"/>
      <c r="H43" s="4764"/>
      <c r="I43" s="4765"/>
    </row>
    <row r="44" spans="1:9">
      <c r="A44" s="4751"/>
      <c r="B44" s="4751"/>
      <c r="C44" s="4751"/>
      <c r="D44" s="4751"/>
      <c r="E44" s="4751"/>
      <c r="F44" s="4751"/>
      <c r="G44" s="4751"/>
      <c r="H44" s="4751"/>
      <c r="I44" s="4751"/>
    </row>
    <row r="45" spans="1:9" ht="14" thickBot="1">
      <c r="A45" s="4751"/>
      <c r="B45" s="4751"/>
      <c r="C45" s="4751"/>
      <c r="D45" s="4751"/>
      <c r="E45" s="4751"/>
      <c r="F45" s="4751"/>
      <c r="G45" s="4751"/>
      <c r="H45" s="4751"/>
      <c r="I45" s="4751"/>
    </row>
    <row r="46" spans="1:9" ht="19" thickBot="1">
      <c r="A46" s="4745" t="s">
        <v>750</v>
      </c>
      <c r="B46" s="4745"/>
      <c r="C46" s="4745"/>
      <c r="D46" s="4745"/>
      <c r="E46" s="4745"/>
      <c r="F46" s="4745"/>
      <c r="G46" s="4745"/>
      <c r="H46" s="4745"/>
      <c r="I46" s="4745"/>
    </row>
    <row r="47" spans="1:9">
      <c r="A47" s="454"/>
      <c r="B47" s="455"/>
      <c r="C47" s="455"/>
      <c r="D47" s="455"/>
      <c r="E47" s="455"/>
      <c r="F47" s="455"/>
      <c r="G47" s="455"/>
      <c r="H47" s="455"/>
      <c r="I47" s="456"/>
    </row>
    <row r="48" spans="1:9" ht="14">
      <c r="A48" s="454"/>
      <c r="B48" s="453" t="s">
        <v>2520</v>
      </c>
      <c r="C48" s="455"/>
      <c r="D48" s="455"/>
      <c r="E48" s="455"/>
      <c r="F48" s="455"/>
      <c r="G48" s="455"/>
      <c r="H48" s="455"/>
      <c r="I48" s="456"/>
    </row>
    <row r="49" spans="1:9">
      <c r="A49" s="454"/>
      <c r="B49" s="455"/>
      <c r="C49" s="455"/>
      <c r="D49" s="455"/>
      <c r="E49" s="455"/>
      <c r="F49" s="455"/>
      <c r="G49" s="455"/>
      <c r="H49" s="455"/>
      <c r="I49" s="456"/>
    </row>
    <row r="50" spans="1:9">
      <c r="A50" s="4746" t="s">
        <v>751</v>
      </c>
      <c r="B50" s="4747"/>
      <c r="C50" s="4747"/>
      <c r="D50" s="4747"/>
      <c r="E50" s="4747"/>
      <c r="F50" s="455"/>
      <c r="G50" s="455"/>
      <c r="H50" s="455"/>
      <c r="I50" s="456"/>
    </row>
    <row r="51" spans="1:9">
      <c r="A51" s="457">
        <v>1</v>
      </c>
      <c r="B51" s="458" t="s">
        <v>752</v>
      </c>
      <c r="C51" s="459"/>
      <c r="D51" s="455"/>
      <c r="E51" s="455"/>
      <c r="F51" s="455"/>
      <c r="G51" s="455"/>
      <c r="H51" s="455"/>
      <c r="I51" s="456"/>
    </row>
    <row r="52" spans="1:9">
      <c r="A52" s="457">
        <v>2</v>
      </c>
      <c r="B52" s="458" t="s">
        <v>753</v>
      </c>
      <c r="C52" s="459"/>
      <c r="D52" s="455"/>
      <c r="E52" s="455"/>
      <c r="F52" s="455"/>
      <c r="G52" s="455"/>
      <c r="H52" s="455"/>
      <c r="I52" s="456"/>
    </row>
    <row r="53" spans="1:9">
      <c r="A53" s="457">
        <v>3</v>
      </c>
      <c r="B53" s="458" t="s">
        <v>754</v>
      </c>
      <c r="C53" s="459"/>
      <c r="D53" s="455"/>
      <c r="E53" s="455"/>
      <c r="F53" s="455"/>
      <c r="G53" s="455"/>
      <c r="H53" s="455"/>
      <c r="I53" s="456"/>
    </row>
    <row r="54" spans="1:9">
      <c r="A54" s="457">
        <v>4</v>
      </c>
      <c r="B54" s="458" t="s">
        <v>755</v>
      </c>
      <c r="C54" s="459"/>
      <c r="D54" s="455"/>
      <c r="E54" s="455"/>
      <c r="F54" s="455"/>
      <c r="G54" s="455"/>
      <c r="H54" s="455"/>
      <c r="I54" s="456"/>
    </row>
    <row r="55" spans="1:9">
      <c r="A55" s="457">
        <v>5</v>
      </c>
      <c r="B55" s="458" t="s">
        <v>756</v>
      </c>
      <c r="C55" s="459"/>
      <c r="D55" s="455"/>
      <c r="E55" s="455"/>
      <c r="F55" s="455"/>
      <c r="G55" s="455"/>
      <c r="H55" s="455"/>
      <c r="I55" s="456"/>
    </row>
    <row r="56" spans="1:9">
      <c r="A56" s="454"/>
      <c r="B56" s="455"/>
      <c r="C56" s="455"/>
      <c r="D56" s="455"/>
      <c r="E56" s="455"/>
      <c r="F56" s="455"/>
      <c r="G56" s="455"/>
      <c r="H56" s="455"/>
      <c r="I56" s="456"/>
    </row>
    <row r="57" spans="1:9">
      <c r="A57" s="454"/>
      <c r="B57" s="455"/>
      <c r="C57" s="455"/>
      <c r="D57" s="455"/>
      <c r="E57" s="455"/>
      <c r="F57" s="455"/>
      <c r="G57" s="455"/>
      <c r="H57" s="455"/>
      <c r="I57" s="456"/>
    </row>
    <row r="58" spans="1:9">
      <c r="A58" s="454"/>
      <c r="B58" s="455"/>
      <c r="C58" s="455"/>
      <c r="D58" s="455"/>
      <c r="E58" s="455"/>
      <c r="F58" s="455"/>
      <c r="G58" s="455"/>
      <c r="H58" s="455"/>
      <c r="I58" s="456"/>
    </row>
    <row r="59" spans="1:9">
      <c r="A59" s="454"/>
      <c r="B59" s="455"/>
      <c r="C59" s="455"/>
      <c r="D59" s="455"/>
      <c r="E59" s="455"/>
      <c r="F59" s="455"/>
      <c r="G59" s="455"/>
      <c r="H59" s="455"/>
      <c r="I59" s="456"/>
    </row>
    <row r="60" spans="1:9">
      <c r="A60" s="454"/>
      <c r="B60" s="455"/>
      <c r="C60" s="455"/>
      <c r="D60" s="455"/>
      <c r="E60" s="455"/>
      <c r="F60" s="455"/>
      <c r="G60" s="455"/>
      <c r="H60" s="455"/>
      <c r="I60" s="456"/>
    </row>
    <row r="61" spans="1:9">
      <c r="A61" s="454"/>
      <c r="B61" s="455"/>
      <c r="C61" s="455"/>
      <c r="D61" s="455"/>
      <c r="E61" s="455"/>
      <c r="F61" s="455"/>
      <c r="G61" s="455"/>
      <c r="H61" s="455"/>
      <c r="I61" s="456"/>
    </row>
    <row r="62" spans="1:9">
      <c r="A62" s="454"/>
      <c r="B62" s="455"/>
      <c r="C62" s="455"/>
      <c r="D62" s="455"/>
      <c r="E62" s="455"/>
      <c r="F62" s="455"/>
      <c r="G62" s="455"/>
      <c r="H62" s="455"/>
      <c r="I62" s="456"/>
    </row>
    <row r="63" spans="1:9">
      <c r="A63" s="454"/>
      <c r="B63" s="455"/>
      <c r="C63" s="455"/>
      <c r="D63" s="455"/>
      <c r="E63" s="455"/>
      <c r="F63" s="455"/>
      <c r="G63" s="455"/>
      <c r="H63" s="455"/>
      <c r="I63" s="456"/>
    </row>
    <row r="64" spans="1:9">
      <c r="A64" s="454"/>
      <c r="B64" s="455"/>
      <c r="C64" s="455"/>
      <c r="D64" s="455"/>
      <c r="E64" s="455"/>
      <c r="F64" s="455"/>
      <c r="G64" s="455"/>
      <c r="H64" s="455"/>
      <c r="I64" s="456"/>
    </row>
    <row r="65" spans="1:9">
      <c r="A65" s="454"/>
      <c r="B65" s="455"/>
      <c r="C65" s="455"/>
      <c r="D65" s="455"/>
      <c r="E65" s="455"/>
      <c r="F65" s="455"/>
      <c r="G65" s="455"/>
      <c r="H65" s="455"/>
      <c r="I65" s="456"/>
    </row>
    <row r="66" spans="1:9">
      <c r="A66" s="454"/>
      <c r="B66" s="455"/>
      <c r="C66" s="455"/>
      <c r="D66" s="455"/>
      <c r="E66" s="455"/>
      <c r="F66" s="455"/>
      <c r="G66" s="455"/>
      <c r="H66" s="455"/>
      <c r="I66" s="456"/>
    </row>
    <row r="67" spans="1:9">
      <c r="A67" s="454"/>
      <c r="B67" s="455"/>
      <c r="C67" s="455"/>
      <c r="D67" s="455"/>
      <c r="E67" s="455"/>
      <c r="F67" s="455"/>
      <c r="G67" s="455"/>
      <c r="H67" s="455"/>
      <c r="I67" s="456"/>
    </row>
    <row r="68" spans="1:9">
      <c r="A68" s="454"/>
      <c r="B68" s="455"/>
      <c r="C68" s="455"/>
      <c r="D68" s="455"/>
      <c r="E68" s="455"/>
      <c r="F68" s="455"/>
      <c r="G68" s="455"/>
      <c r="H68" s="455"/>
      <c r="I68" s="456"/>
    </row>
    <row r="69" spans="1:9">
      <c r="A69" s="454"/>
      <c r="B69" s="455"/>
      <c r="C69" s="455"/>
      <c r="D69" s="455"/>
      <c r="E69" s="455"/>
      <c r="F69" s="455"/>
      <c r="G69" s="455"/>
      <c r="H69" s="455"/>
      <c r="I69" s="456"/>
    </row>
    <row r="70" spans="1:9">
      <c r="A70" s="454"/>
      <c r="B70" s="455"/>
      <c r="C70" s="455"/>
      <c r="D70" s="455"/>
      <c r="E70" s="455"/>
      <c r="F70" s="455"/>
      <c r="G70" s="455"/>
      <c r="H70" s="455"/>
      <c r="I70" s="456"/>
    </row>
    <row r="71" spans="1:9">
      <c r="A71" s="454"/>
      <c r="B71" s="455"/>
      <c r="C71" s="455"/>
      <c r="D71" s="455"/>
      <c r="E71" s="455"/>
      <c r="F71" s="455"/>
      <c r="G71" s="455"/>
      <c r="H71" s="455"/>
      <c r="I71" s="456"/>
    </row>
    <row r="72" spans="1:9">
      <c r="A72" s="454"/>
      <c r="B72" s="455"/>
      <c r="C72" s="455"/>
      <c r="D72" s="455"/>
      <c r="E72" s="455"/>
      <c r="F72" s="455"/>
      <c r="G72" s="455"/>
      <c r="H72" s="455"/>
      <c r="I72" s="456"/>
    </row>
    <row r="73" spans="1:9">
      <c r="A73" s="454"/>
      <c r="B73" s="455"/>
      <c r="C73" s="455"/>
      <c r="D73" s="455"/>
      <c r="E73" s="455"/>
      <c r="F73" s="455"/>
      <c r="G73" s="455"/>
      <c r="H73" s="455"/>
      <c r="I73" s="456"/>
    </row>
    <row r="74" spans="1:9">
      <c r="A74" s="454"/>
      <c r="B74" s="455"/>
      <c r="C74" s="455"/>
      <c r="D74" s="455"/>
      <c r="E74" s="455"/>
      <c r="F74" s="455"/>
      <c r="G74" s="455"/>
      <c r="H74" s="455"/>
      <c r="I74" s="456"/>
    </row>
    <row r="75" spans="1:9">
      <c r="A75" s="454"/>
      <c r="B75" s="455"/>
      <c r="C75" s="455"/>
      <c r="D75" s="455"/>
      <c r="E75" s="455"/>
      <c r="F75" s="455"/>
      <c r="G75" s="455"/>
      <c r="H75" s="455"/>
      <c r="I75" s="456"/>
    </row>
    <row r="76" spans="1:9">
      <c r="A76" s="454"/>
      <c r="B76" s="455"/>
      <c r="C76" s="455"/>
      <c r="D76" s="455"/>
      <c r="E76" s="455"/>
      <c r="F76" s="455"/>
      <c r="G76" s="455"/>
      <c r="H76" s="455"/>
      <c r="I76" s="456"/>
    </row>
    <row r="77" spans="1:9">
      <c r="A77" s="454"/>
      <c r="B77" s="455"/>
      <c r="C77" s="455"/>
      <c r="D77" s="455"/>
      <c r="E77" s="455"/>
      <c r="F77" s="455"/>
      <c r="G77" s="455"/>
      <c r="H77" s="455"/>
      <c r="I77" s="456"/>
    </row>
    <row r="78" spans="1:9">
      <c r="A78" s="454"/>
      <c r="B78" s="455"/>
      <c r="C78" s="455"/>
      <c r="D78" s="455"/>
      <c r="E78" s="455"/>
      <c r="F78" s="455"/>
      <c r="G78" s="455"/>
      <c r="H78" s="455"/>
      <c r="I78" s="456"/>
    </row>
    <row r="79" spans="1:9">
      <c r="A79" s="454"/>
      <c r="B79" s="455"/>
      <c r="C79" s="455"/>
      <c r="D79" s="455"/>
      <c r="E79" s="455"/>
      <c r="F79" s="455"/>
      <c r="G79" s="455"/>
      <c r="H79" s="455"/>
      <c r="I79" s="456"/>
    </row>
    <row r="80" spans="1:9">
      <c r="A80" s="454"/>
      <c r="B80" s="455"/>
      <c r="C80" s="455"/>
      <c r="D80" s="455"/>
      <c r="E80" s="455"/>
      <c r="F80" s="455"/>
      <c r="G80" s="455"/>
      <c r="H80" s="455"/>
      <c r="I80" s="456"/>
    </row>
    <row r="81" spans="1:9">
      <c r="A81" s="454"/>
      <c r="B81" s="455"/>
      <c r="C81" s="455"/>
      <c r="D81" s="455"/>
      <c r="E81" s="455"/>
      <c r="F81" s="455"/>
      <c r="G81" s="455"/>
      <c r="H81" s="455"/>
      <c r="I81" s="456"/>
    </row>
    <row r="82" spans="1:9">
      <c r="A82" s="454"/>
      <c r="B82" s="455"/>
      <c r="C82" s="455"/>
      <c r="D82" s="455"/>
      <c r="E82" s="455"/>
      <c r="F82" s="455"/>
      <c r="G82" s="455"/>
      <c r="H82" s="455"/>
      <c r="I82" s="456"/>
    </row>
    <row r="83" spans="1:9">
      <c r="A83" s="454"/>
      <c r="B83" s="455"/>
      <c r="C83" s="455"/>
      <c r="D83" s="455"/>
      <c r="E83" s="455"/>
      <c r="F83" s="455"/>
      <c r="G83" s="455"/>
      <c r="H83" s="455"/>
      <c r="I83" s="456"/>
    </row>
    <row r="84" spans="1:9">
      <c r="A84" s="454"/>
      <c r="B84" s="455"/>
      <c r="C84" s="455"/>
      <c r="D84" s="455"/>
      <c r="E84" s="455"/>
      <c r="F84" s="455"/>
      <c r="G84" s="455"/>
      <c r="H84" s="455"/>
      <c r="I84" s="456"/>
    </row>
    <row r="85" spans="1:9">
      <c r="A85" s="454"/>
      <c r="B85" s="455"/>
      <c r="C85" s="455"/>
      <c r="D85" s="455"/>
      <c r="E85" s="455"/>
      <c r="F85" s="455"/>
      <c r="G85" s="455"/>
      <c r="H85" s="455"/>
      <c r="I85" s="456"/>
    </row>
    <row r="86" spans="1:9">
      <c r="A86" s="454"/>
      <c r="B86" s="455"/>
      <c r="C86" s="455"/>
      <c r="D86" s="455"/>
      <c r="E86" s="455"/>
      <c r="F86" s="455"/>
      <c r="G86" s="455"/>
      <c r="H86" s="455"/>
      <c r="I86" s="456"/>
    </row>
    <row r="87" spans="1:9">
      <c r="A87" s="454"/>
      <c r="B87" s="455"/>
      <c r="C87" s="455"/>
      <c r="D87" s="455"/>
      <c r="E87" s="455"/>
      <c r="F87" s="455"/>
      <c r="G87" s="455"/>
      <c r="H87" s="455"/>
      <c r="I87" s="456"/>
    </row>
    <row r="88" spans="1:9">
      <c r="A88" s="454"/>
      <c r="B88" s="455"/>
      <c r="C88" s="455"/>
      <c r="D88" s="455"/>
      <c r="E88" s="455"/>
      <c r="F88" s="455"/>
      <c r="G88" s="455"/>
      <c r="H88" s="455"/>
      <c r="I88" s="456"/>
    </row>
    <row r="89" spans="1:9" ht="14" thickBot="1">
      <c r="A89" s="4748" t="s">
        <v>757</v>
      </c>
      <c r="B89" s="4749"/>
      <c r="C89" s="4749"/>
      <c r="D89" s="4749"/>
      <c r="E89" s="4749"/>
      <c r="F89" s="4749"/>
      <c r="G89" s="4749"/>
      <c r="H89" s="4749"/>
      <c r="I89" s="4750"/>
    </row>
    <row r="90" spans="1:9">
      <c r="A90" s="4751"/>
      <c r="B90" s="4751"/>
      <c r="C90" s="4751"/>
      <c r="D90" s="4751"/>
      <c r="E90" s="4751"/>
      <c r="F90" s="4751"/>
      <c r="G90" s="4751"/>
      <c r="H90" s="4751"/>
      <c r="I90" s="4751"/>
    </row>
    <row r="91" spans="1:9" ht="14" thickBot="1">
      <c r="A91" s="4751"/>
      <c r="B91" s="4751"/>
      <c r="C91" s="4751"/>
      <c r="D91" s="4751"/>
      <c r="E91" s="4751"/>
      <c r="F91" s="4751"/>
      <c r="G91" s="4751"/>
      <c r="H91" s="4751"/>
      <c r="I91" s="4751"/>
    </row>
    <row r="92" spans="1:9" ht="19" thickBot="1">
      <c r="A92" s="4745" t="s">
        <v>758</v>
      </c>
      <c r="B92" s="4745"/>
      <c r="C92" s="4745"/>
      <c r="D92" s="4745"/>
      <c r="E92" s="4745"/>
      <c r="F92" s="4745"/>
      <c r="G92" s="4745"/>
      <c r="H92" s="4745"/>
      <c r="I92" s="4745"/>
    </row>
    <row r="93" spans="1:9">
      <c r="A93" s="450"/>
      <c r="B93" s="451"/>
      <c r="C93" s="451"/>
      <c r="D93" s="451"/>
      <c r="E93" s="451"/>
      <c r="F93" s="451"/>
      <c r="G93" s="451"/>
      <c r="H93" s="451"/>
      <c r="I93" s="452"/>
    </row>
    <row r="94" spans="1:9" ht="15">
      <c r="A94" s="460"/>
      <c r="B94" s="1729" t="s">
        <v>2518</v>
      </c>
      <c r="C94" s="1730" t="s">
        <v>2519</v>
      </c>
      <c r="D94" s="451"/>
      <c r="E94" s="451"/>
      <c r="F94" s="451"/>
      <c r="G94" s="451"/>
      <c r="H94" s="451"/>
      <c r="I94" s="452"/>
    </row>
    <row r="95" spans="1:9">
      <c r="A95" s="450"/>
      <c r="B95" s="451"/>
      <c r="C95" s="451"/>
      <c r="D95" s="451"/>
      <c r="E95" s="451"/>
      <c r="F95" s="451"/>
      <c r="G95" s="451"/>
      <c r="H95" s="451"/>
      <c r="I95" s="452"/>
    </row>
    <row r="96" spans="1:9">
      <c r="A96" s="450"/>
      <c r="B96" s="451"/>
      <c r="C96" s="451"/>
      <c r="D96" s="451"/>
      <c r="E96" s="451"/>
      <c r="F96" s="451"/>
      <c r="G96" s="451"/>
      <c r="H96" s="451"/>
      <c r="I96" s="452"/>
    </row>
    <row r="97" spans="1:9">
      <c r="A97" s="450"/>
      <c r="B97" s="451"/>
      <c r="C97" s="451"/>
      <c r="D97" s="451"/>
      <c r="E97" s="451"/>
      <c r="F97" s="451"/>
      <c r="G97" s="451"/>
      <c r="H97" s="451"/>
      <c r="I97" s="452"/>
    </row>
    <row r="98" spans="1:9">
      <c r="A98" s="450"/>
      <c r="B98" s="451"/>
      <c r="C98" s="451"/>
      <c r="D98" s="451"/>
      <c r="E98" s="451"/>
      <c r="F98" s="451"/>
      <c r="G98" s="451"/>
      <c r="H98" s="451"/>
      <c r="I98" s="452"/>
    </row>
    <row r="99" spans="1:9">
      <c r="A99" s="450"/>
      <c r="B99" s="451"/>
      <c r="C99" s="451"/>
      <c r="D99" s="451"/>
      <c r="E99" s="451"/>
      <c r="F99" s="451"/>
      <c r="G99" s="451"/>
      <c r="H99" s="451"/>
      <c r="I99" s="452"/>
    </row>
    <row r="100" spans="1:9">
      <c r="A100" s="450"/>
      <c r="B100" s="451"/>
      <c r="C100" s="451"/>
      <c r="D100" s="451"/>
      <c r="E100" s="451"/>
      <c r="F100" s="451"/>
      <c r="G100" s="451"/>
      <c r="H100" s="451"/>
      <c r="I100" s="452"/>
    </row>
    <row r="101" spans="1:9">
      <c r="A101" s="450"/>
      <c r="B101" s="451"/>
      <c r="C101" s="451"/>
      <c r="D101" s="451"/>
      <c r="E101" s="451"/>
      <c r="F101" s="451"/>
      <c r="G101" s="451"/>
      <c r="H101" s="451"/>
      <c r="I101" s="452"/>
    </row>
    <row r="102" spans="1:9">
      <c r="A102" s="450"/>
      <c r="B102" s="451"/>
      <c r="C102" s="451"/>
      <c r="D102" s="451"/>
      <c r="E102" s="451"/>
      <c r="F102" s="451"/>
      <c r="G102" s="451"/>
      <c r="H102" s="451"/>
      <c r="I102" s="452"/>
    </row>
    <row r="103" spans="1:9">
      <c r="A103" s="450"/>
      <c r="B103" s="461"/>
      <c r="C103" s="451"/>
      <c r="D103" s="451"/>
      <c r="E103" s="451"/>
      <c r="F103" s="451"/>
      <c r="G103" s="451"/>
      <c r="H103" s="451"/>
      <c r="I103" s="452"/>
    </row>
    <row r="104" spans="1:9">
      <c r="A104" s="450"/>
      <c r="B104" s="451"/>
      <c r="C104" s="451"/>
      <c r="D104" s="451"/>
      <c r="E104" s="451"/>
      <c r="F104" s="451"/>
      <c r="G104" s="451"/>
      <c r="H104" s="451"/>
      <c r="I104" s="452"/>
    </row>
    <row r="105" spans="1:9">
      <c r="A105" s="450"/>
      <c r="B105" s="451"/>
      <c r="C105" s="451"/>
      <c r="D105" s="451"/>
      <c r="E105" s="451"/>
      <c r="F105" s="451"/>
      <c r="G105" s="451"/>
      <c r="H105" s="451"/>
      <c r="I105" s="452"/>
    </row>
    <row r="106" spans="1:9">
      <c r="A106" s="450"/>
      <c r="B106" s="451"/>
      <c r="C106" s="451"/>
      <c r="D106" s="451"/>
      <c r="E106" s="451"/>
      <c r="F106" s="451"/>
      <c r="G106" s="451"/>
      <c r="H106" s="451"/>
      <c r="I106" s="452"/>
    </row>
    <row r="107" spans="1:9">
      <c r="A107" s="450"/>
      <c r="B107" s="451"/>
      <c r="C107" s="451"/>
      <c r="D107" s="451"/>
      <c r="E107" s="451"/>
      <c r="F107" s="451"/>
      <c r="G107" s="451"/>
      <c r="H107" s="451"/>
      <c r="I107" s="452"/>
    </row>
    <row r="108" spans="1:9">
      <c r="A108" s="450"/>
      <c r="B108" s="451"/>
      <c r="C108" s="451"/>
      <c r="D108" s="451"/>
      <c r="E108" s="451"/>
      <c r="F108" s="451"/>
      <c r="G108" s="451"/>
      <c r="H108" s="451"/>
      <c r="I108" s="452"/>
    </row>
    <row r="109" spans="1:9">
      <c r="A109" s="450"/>
      <c r="B109" s="451"/>
      <c r="C109" s="451"/>
      <c r="D109" s="451"/>
      <c r="E109" s="451"/>
      <c r="F109" s="451"/>
      <c r="G109" s="451"/>
      <c r="H109" s="451"/>
      <c r="I109" s="452"/>
    </row>
    <row r="110" spans="1:9">
      <c r="A110" s="450"/>
      <c r="B110" s="451"/>
      <c r="C110" s="451"/>
      <c r="D110" s="451"/>
      <c r="E110" s="451"/>
      <c r="F110" s="451"/>
      <c r="G110" s="451"/>
      <c r="H110" s="451"/>
      <c r="I110" s="452"/>
    </row>
    <row r="111" spans="1:9">
      <c r="A111" s="450"/>
      <c r="B111" s="451"/>
      <c r="C111" s="451"/>
      <c r="D111" s="451"/>
      <c r="E111" s="451"/>
      <c r="F111" s="451"/>
      <c r="G111" s="451"/>
      <c r="H111" s="451"/>
      <c r="I111" s="452"/>
    </row>
    <row r="112" spans="1:9">
      <c r="A112" s="450"/>
      <c r="B112" s="451"/>
      <c r="C112" s="451"/>
      <c r="D112" s="451"/>
      <c r="E112" s="451"/>
      <c r="F112" s="451"/>
      <c r="G112" s="451"/>
      <c r="H112" s="451"/>
      <c r="I112" s="452"/>
    </row>
    <row r="113" spans="1:9">
      <c r="A113" s="450"/>
      <c r="B113" s="451"/>
      <c r="C113" s="451"/>
      <c r="D113" s="451"/>
      <c r="E113" s="451"/>
      <c r="F113" s="451"/>
      <c r="G113" s="451"/>
      <c r="H113" s="451"/>
      <c r="I113" s="452"/>
    </row>
    <row r="114" spans="1:9">
      <c r="A114" s="450"/>
      <c r="B114" s="451"/>
      <c r="C114" s="451"/>
      <c r="D114" s="451"/>
      <c r="E114" s="451"/>
      <c r="F114" s="451"/>
      <c r="G114" s="451"/>
      <c r="H114" s="451"/>
      <c r="I114" s="452"/>
    </row>
    <row r="115" spans="1:9">
      <c r="A115" s="450"/>
      <c r="B115" s="451"/>
      <c r="C115" s="451"/>
      <c r="D115" s="451"/>
      <c r="E115" s="451"/>
      <c r="F115" s="451"/>
      <c r="G115" s="451"/>
      <c r="H115" s="451"/>
      <c r="I115" s="452"/>
    </row>
    <row r="116" spans="1:9">
      <c r="A116" s="450"/>
      <c r="B116" s="451"/>
      <c r="C116" s="451"/>
      <c r="D116" s="451"/>
      <c r="E116" s="451"/>
      <c r="F116" s="451"/>
      <c r="G116" s="451"/>
      <c r="H116" s="451"/>
      <c r="I116" s="452"/>
    </row>
    <row r="117" spans="1:9">
      <c r="A117" s="450"/>
      <c r="B117" s="451"/>
      <c r="C117" s="451"/>
      <c r="D117" s="451"/>
      <c r="E117" s="451"/>
      <c r="F117" s="451"/>
      <c r="G117" s="451"/>
      <c r="H117" s="451"/>
      <c r="I117" s="452"/>
    </row>
    <row r="118" spans="1:9">
      <c r="A118" s="450"/>
      <c r="B118" s="451"/>
      <c r="C118" s="451"/>
      <c r="D118" s="451"/>
      <c r="E118" s="451"/>
      <c r="F118" s="451"/>
      <c r="G118" s="451"/>
      <c r="H118" s="451"/>
      <c r="I118" s="452"/>
    </row>
    <row r="119" spans="1:9">
      <c r="A119" s="450"/>
      <c r="B119" s="451"/>
      <c r="C119" s="451"/>
      <c r="D119" s="451"/>
      <c r="E119" s="451"/>
      <c r="F119" s="451"/>
      <c r="G119" s="451"/>
      <c r="H119" s="451"/>
      <c r="I119" s="452"/>
    </row>
    <row r="120" spans="1:9">
      <c r="A120" s="450"/>
      <c r="B120" s="451"/>
      <c r="C120" s="451"/>
      <c r="D120" s="451"/>
      <c r="E120" s="451"/>
      <c r="F120" s="451"/>
      <c r="G120" s="451"/>
      <c r="H120" s="451"/>
      <c r="I120" s="452"/>
    </row>
    <row r="121" spans="1:9">
      <c r="A121" s="450"/>
      <c r="B121" s="451"/>
      <c r="C121" s="451"/>
      <c r="D121" s="451"/>
      <c r="E121" s="451"/>
      <c r="F121" s="451"/>
      <c r="G121" s="451"/>
      <c r="H121" s="451"/>
      <c r="I121" s="452"/>
    </row>
    <row r="122" spans="1:9">
      <c r="A122" s="450"/>
      <c r="B122" s="451"/>
      <c r="C122" s="451"/>
      <c r="D122" s="451"/>
      <c r="E122" s="451"/>
      <c r="F122" s="451"/>
      <c r="G122" s="451"/>
      <c r="H122" s="451"/>
      <c r="I122" s="452"/>
    </row>
    <row r="123" spans="1:9">
      <c r="A123" s="450"/>
      <c r="B123" s="451"/>
      <c r="C123" s="451"/>
      <c r="D123" s="451"/>
      <c r="E123" s="451"/>
      <c r="F123" s="451"/>
      <c r="G123" s="451"/>
      <c r="H123" s="451"/>
      <c r="I123" s="452"/>
    </row>
    <row r="124" spans="1:9">
      <c r="A124" s="450"/>
      <c r="B124" s="451"/>
      <c r="C124" s="451"/>
      <c r="D124" s="451"/>
      <c r="E124" s="451"/>
      <c r="F124" s="451"/>
      <c r="G124" s="451"/>
      <c r="H124" s="451"/>
      <c r="I124" s="452"/>
    </row>
    <row r="125" spans="1:9">
      <c r="A125" s="450"/>
      <c r="B125" s="451"/>
      <c r="C125" s="451"/>
      <c r="D125" s="451"/>
      <c r="E125" s="451"/>
      <c r="F125" s="451"/>
      <c r="G125" s="451"/>
      <c r="H125" s="451"/>
      <c r="I125" s="452"/>
    </row>
    <row r="126" spans="1:9">
      <c r="A126" s="450"/>
      <c r="B126" s="451"/>
      <c r="C126" s="451"/>
      <c r="D126" s="451"/>
      <c r="E126" s="451"/>
      <c r="F126" s="451"/>
      <c r="G126" s="451"/>
      <c r="H126" s="451"/>
      <c r="I126" s="452"/>
    </row>
    <row r="127" spans="1:9" ht="14" thickBot="1">
      <c r="A127" s="4756" t="s">
        <v>759</v>
      </c>
      <c r="B127" s="4757"/>
      <c r="C127" s="4757"/>
      <c r="D127" s="4757"/>
      <c r="E127" s="4757"/>
      <c r="F127" s="4757"/>
      <c r="G127" s="4757"/>
      <c r="H127" s="4757"/>
      <c r="I127" s="4758"/>
    </row>
    <row r="128" spans="1:9">
      <c r="A128" s="4759"/>
      <c r="B128" s="4759"/>
      <c r="C128" s="4759"/>
      <c r="D128" s="4759"/>
      <c r="E128" s="4759"/>
      <c r="F128" s="4759"/>
      <c r="G128" s="4759"/>
      <c r="H128" s="4759"/>
      <c r="I128" s="4759"/>
    </row>
    <row r="129" spans="1:9" ht="14" thickBot="1">
      <c r="A129" s="4751"/>
      <c r="B129" s="4751"/>
      <c r="C129" s="4751"/>
      <c r="D129" s="4751"/>
      <c r="E129" s="4751"/>
      <c r="F129" s="4751"/>
      <c r="G129" s="4751"/>
      <c r="H129" s="4751"/>
      <c r="I129" s="4751"/>
    </row>
    <row r="130" spans="1:9" ht="19" thickBot="1">
      <c r="A130" s="4745" t="s">
        <v>2523</v>
      </c>
      <c r="B130" s="4745"/>
      <c r="C130" s="4745"/>
      <c r="D130" s="4745"/>
      <c r="E130" s="4745"/>
      <c r="F130" s="4745"/>
      <c r="G130" s="4745"/>
      <c r="H130" s="4745"/>
      <c r="I130" s="4745"/>
    </row>
    <row r="131" spans="1:9" ht="15.75" customHeight="1">
      <c r="A131" s="450"/>
      <c r="B131" s="451"/>
      <c r="C131" s="451"/>
      <c r="D131" s="451"/>
      <c r="E131" s="451"/>
      <c r="F131" s="451"/>
      <c r="G131" s="451"/>
      <c r="H131" s="451"/>
      <c r="I131" s="1734" t="s">
        <v>2524</v>
      </c>
    </row>
    <row r="132" spans="1:9" ht="15">
      <c r="A132" s="460"/>
      <c r="C132" s="111"/>
      <c r="D132" s="451"/>
      <c r="E132" s="451"/>
      <c r="F132" s="451"/>
      <c r="G132" s="451"/>
      <c r="H132" s="451"/>
      <c r="I132" s="1735"/>
    </row>
    <row r="133" spans="1:9">
      <c r="A133" s="450"/>
      <c r="B133" s="451"/>
      <c r="C133" s="451"/>
      <c r="D133" s="451"/>
      <c r="E133" s="451"/>
      <c r="F133" s="451"/>
      <c r="G133" s="451"/>
      <c r="H133" s="451"/>
      <c r="I133" s="452"/>
    </row>
    <row r="134" spans="1:9">
      <c r="A134" s="450"/>
      <c r="B134" s="451"/>
      <c r="C134" s="451"/>
      <c r="D134" s="451"/>
      <c r="E134" s="451"/>
      <c r="F134" s="451"/>
      <c r="G134" s="451"/>
      <c r="H134" s="451"/>
      <c r="I134" s="452"/>
    </row>
    <row r="135" spans="1:9">
      <c r="A135" s="450"/>
      <c r="B135" s="451"/>
      <c r="C135" s="451"/>
      <c r="D135" s="451"/>
      <c r="E135" s="451"/>
      <c r="F135" s="451"/>
      <c r="G135" s="451"/>
      <c r="H135" s="451"/>
      <c r="I135" s="452"/>
    </row>
    <row r="136" spans="1:9">
      <c r="A136" s="450"/>
      <c r="B136" s="451"/>
      <c r="C136" s="451"/>
      <c r="D136" s="451"/>
      <c r="E136" s="451"/>
      <c r="F136" s="451"/>
      <c r="G136" s="451"/>
      <c r="H136" s="451"/>
      <c r="I136" s="452"/>
    </row>
    <row r="137" spans="1:9" ht="15">
      <c r="A137" s="450"/>
      <c r="B137" s="111"/>
      <c r="C137" s="451"/>
      <c r="D137" s="451"/>
      <c r="E137" s="451"/>
      <c r="F137" s="451"/>
      <c r="G137" s="451"/>
      <c r="H137" s="451"/>
      <c r="I137" s="452"/>
    </row>
    <row r="138" spans="1:9">
      <c r="A138" s="450"/>
      <c r="B138" s="451"/>
      <c r="C138" s="451"/>
      <c r="D138" s="451"/>
      <c r="E138" s="451"/>
      <c r="F138" s="451"/>
      <c r="G138" s="451"/>
      <c r="H138" s="451"/>
      <c r="I138" s="452"/>
    </row>
    <row r="139" spans="1:9">
      <c r="A139" s="450"/>
      <c r="B139" s="451"/>
      <c r="C139" s="451"/>
      <c r="D139" s="451"/>
      <c r="E139" s="451"/>
      <c r="F139" s="451"/>
      <c r="G139" s="451"/>
      <c r="H139" s="451"/>
      <c r="I139" s="452"/>
    </row>
    <row r="140" spans="1:9">
      <c r="A140" s="450"/>
      <c r="B140" s="451"/>
      <c r="C140" s="451"/>
      <c r="D140" s="451"/>
      <c r="E140" s="451"/>
      <c r="F140" s="451"/>
      <c r="G140" s="451"/>
      <c r="H140" s="451"/>
      <c r="I140" s="452"/>
    </row>
    <row r="141" spans="1:9">
      <c r="A141" s="450"/>
      <c r="B141" s="461"/>
      <c r="C141" s="451"/>
      <c r="D141" s="451"/>
      <c r="E141" s="451"/>
      <c r="F141" s="451"/>
      <c r="G141" s="451"/>
      <c r="H141" s="451"/>
      <c r="I141" s="452"/>
    </row>
    <row r="142" spans="1:9">
      <c r="A142" s="450"/>
      <c r="B142" s="451"/>
      <c r="C142" s="451"/>
      <c r="D142" s="451"/>
      <c r="E142" s="451"/>
      <c r="F142" s="451"/>
      <c r="G142" s="451"/>
      <c r="H142" s="451"/>
      <c r="I142" s="452"/>
    </row>
    <row r="143" spans="1:9">
      <c r="A143" s="450"/>
      <c r="B143" s="451"/>
      <c r="C143" s="451"/>
      <c r="D143" s="451"/>
      <c r="E143" s="451"/>
      <c r="F143" s="451"/>
      <c r="G143" s="451"/>
      <c r="H143" s="451"/>
      <c r="I143" s="452"/>
    </row>
    <row r="144" spans="1:9">
      <c r="A144" s="450"/>
      <c r="B144" s="451"/>
      <c r="C144" s="451"/>
      <c r="D144" s="451"/>
      <c r="E144" s="451"/>
      <c r="F144" s="451"/>
      <c r="G144" s="451"/>
      <c r="H144" s="451"/>
      <c r="I144" s="452"/>
    </row>
    <row r="145" spans="1:9">
      <c r="A145" s="450"/>
      <c r="B145" s="451"/>
      <c r="C145" s="451"/>
      <c r="D145" s="451"/>
      <c r="E145" s="451"/>
      <c r="F145" s="451"/>
      <c r="G145" s="451"/>
      <c r="H145" s="451"/>
      <c r="I145" s="452"/>
    </row>
    <row r="146" spans="1:9">
      <c r="A146" s="450"/>
      <c r="B146" s="451"/>
      <c r="C146" s="451"/>
      <c r="D146" s="451"/>
      <c r="E146" s="451"/>
      <c r="F146" s="451"/>
      <c r="G146" s="451"/>
      <c r="H146" s="451"/>
      <c r="I146" s="452"/>
    </row>
    <row r="147" spans="1:9">
      <c r="A147" s="450"/>
      <c r="B147" s="451"/>
      <c r="C147" s="451"/>
      <c r="D147" s="451"/>
      <c r="E147" s="451"/>
      <c r="F147" s="451"/>
      <c r="G147" s="451"/>
      <c r="H147" s="451"/>
      <c r="I147" s="452"/>
    </row>
    <row r="148" spans="1:9">
      <c r="A148" s="450"/>
      <c r="B148" s="451"/>
      <c r="C148" s="451"/>
      <c r="D148" s="451"/>
      <c r="E148" s="451"/>
      <c r="F148" s="451"/>
      <c r="G148" s="451"/>
      <c r="H148" s="451"/>
      <c r="I148" s="452"/>
    </row>
    <row r="149" spans="1:9">
      <c r="A149" s="450"/>
      <c r="B149" s="451"/>
      <c r="C149" s="451"/>
      <c r="D149" s="451"/>
      <c r="E149" s="451"/>
      <c r="F149" s="451"/>
      <c r="G149" s="451"/>
      <c r="H149" s="451"/>
      <c r="I149" s="452"/>
    </row>
    <row r="150" spans="1:9">
      <c r="A150" s="450"/>
      <c r="B150" s="451"/>
      <c r="C150" s="451"/>
      <c r="D150" s="451"/>
      <c r="E150" s="451"/>
      <c r="F150" s="451"/>
      <c r="G150" s="451"/>
      <c r="H150" s="451"/>
      <c r="I150" s="452"/>
    </row>
    <row r="151" spans="1:9">
      <c r="A151" s="450"/>
      <c r="B151" s="451"/>
      <c r="C151" s="451"/>
      <c r="D151" s="451"/>
      <c r="E151" s="451"/>
      <c r="F151" s="451"/>
      <c r="G151" s="451"/>
      <c r="H151" s="451"/>
      <c r="I151" s="452"/>
    </row>
    <row r="152" spans="1:9">
      <c r="A152" s="450"/>
      <c r="B152" s="451"/>
      <c r="C152" s="451"/>
      <c r="D152" s="451"/>
      <c r="E152" s="451"/>
      <c r="F152" s="451"/>
      <c r="G152" s="451"/>
      <c r="H152" s="451"/>
      <c r="I152" s="452"/>
    </row>
    <row r="153" spans="1:9">
      <c r="A153" s="450"/>
      <c r="B153" s="451"/>
      <c r="C153" s="451"/>
      <c r="D153" s="451"/>
      <c r="E153" s="451"/>
      <c r="F153" s="451"/>
      <c r="G153" s="451"/>
      <c r="H153" s="451"/>
      <c r="I153" s="452"/>
    </row>
    <row r="154" spans="1:9">
      <c r="A154" s="450"/>
      <c r="B154" s="451"/>
      <c r="C154" s="451"/>
      <c r="D154" s="451"/>
      <c r="E154" s="451"/>
      <c r="F154" s="451"/>
      <c r="G154" s="451"/>
      <c r="H154" s="451"/>
      <c r="I154" s="452"/>
    </row>
    <row r="155" spans="1:9">
      <c r="A155" s="450"/>
      <c r="B155" s="451"/>
      <c r="C155" s="451"/>
      <c r="D155" s="451"/>
      <c r="E155" s="451"/>
      <c r="F155" s="451"/>
      <c r="G155" s="451"/>
      <c r="H155" s="451"/>
      <c r="I155" s="452"/>
    </row>
    <row r="156" spans="1:9">
      <c r="A156" s="450"/>
      <c r="B156" s="451"/>
      <c r="C156" s="451"/>
      <c r="D156" s="451"/>
      <c r="E156" s="451"/>
      <c r="F156" s="451"/>
      <c r="G156" s="451"/>
      <c r="H156" s="451"/>
      <c r="I156" s="452"/>
    </row>
    <row r="157" spans="1:9">
      <c r="A157" s="450"/>
      <c r="B157" s="451"/>
      <c r="C157" s="451"/>
      <c r="D157" s="451"/>
      <c r="E157" s="451"/>
      <c r="F157" s="451"/>
      <c r="G157" s="451"/>
      <c r="H157" s="451"/>
      <c r="I157" s="452"/>
    </row>
    <row r="158" spans="1:9">
      <c r="A158" s="450"/>
      <c r="B158" s="451"/>
      <c r="C158" s="451"/>
      <c r="D158" s="451"/>
      <c r="E158" s="451"/>
      <c r="F158" s="451"/>
      <c r="G158" s="451"/>
      <c r="H158" s="451"/>
      <c r="I158" s="452"/>
    </row>
    <row r="159" spans="1:9">
      <c r="A159" s="450"/>
      <c r="B159" s="451"/>
      <c r="C159" s="451"/>
      <c r="D159" s="451"/>
      <c r="E159" s="451"/>
      <c r="F159" s="451"/>
      <c r="G159" s="451"/>
      <c r="H159" s="451"/>
      <c r="I159" s="452"/>
    </row>
    <row r="160" spans="1:9">
      <c r="A160" s="450"/>
      <c r="B160" s="451"/>
      <c r="C160" s="451"/>
      <c r="D160" s="451"/>
      <c r="E160" s="451"/>
      <c r="F160" s="451"/>
      <c r="G160" s="451"/>
      <c r="H160" s="451"/>
      <c r="I160" s="452"/>
    </row>
    <row r="161" spans="1:9">
      <c r="A161" s="450"/>
      <c r="B161" s="451"/>
      <c r="C161" s="451"/>
      <c r="D161" s="451"/>
      <c r="E161" s="451"/>
      <c r="F161" s="451"/>
      <c r="G161" s="451"/>
      <c r="H161" s="451"/>
      <c r="I161" s="452"/>
    </row>
    <row r="162" spans="1:9">
      <c r="A162" s="450"/>
      <c r="B162" s="451"/>
      <c r="C162" s="451"/>
      <c r="D162" s="451"/>
      <c r="E162" s="451"/>
      <c r="F162" s="451"/>
      <c r="G162" s="451"/>
      <c r="H162" s="451"/>
      <c r="I162" s="452"/>
    </row>
    <row r="163" spans="1:9">
      <c r="A163" s="450"/>
      <c r="B163" s="451"/>
      <c r="C163" s="451"/>
      <c r="D163" s="451"/>
      <c r="E163" s="451"/>
      <c r="F163" s="451"/>
      <c r="G163" s="451"/>
      <c r="H163" s="451"/>
      <c r="I163" s="452"/>
    </row>
    <row r="164" spans="1:9">
      <c r="A164" s="450"/>
      <c r="B164" s="451"/>
      <c r="C164" s="451"/>
      <c r="D164" s="451"/>
      <c r="E164" s="451"/>
      <c r="F164" s="451"/>
      <c r="G164" s="451"/>
      <c r="H164" s="451"/>
      <c r="I164" s="452"/>
    </row>
    <row r="165" spans="1:9">
      <c r="A165" s="450"/>
      <c r="B165" s="451"/>
      <c r="C165" s="451"/>
      <c r="D165" s="451"/>
      <c r="E165" s="451"/>
      <c r="F165" s="451"/>
      <c r="G165" s="451"/>
      <c r="H165" s="451"/>
      <c r="I165" s="452"/>
    </row>
    <row r="166" spans="1:9">
      <c r="A166" s="450"/>
      <c r="B166" s="451"/>
      <c r="C166" s="451"/>
      <c r="D166" s="451"/>
      <c r="E166" s="451"/>
      <c r="F166" s="451"/>
      <c r="G166" s="451"/>
      <c r="H166" s="451"/>
      <c r="I166" s="452"/>
    </row>
    <row r="167" spans="1:9">
      <c r="A167" s="450"/>
      <c r="B167" s="451"/>
      <c r="C167" s="451"/>
      <c r="D167" s="451"/>
      <c r="E167" s="451"/>
      <c r="F167" s="451"/>
      <c r="G167" s="451"/>
      <c r="H167" s="451"/>
      <c r="I167" s="452"/>
    </row>
    <row r="168" spans="1:9">
      <c r="A168" s="450"/>
      <c r="B168" s="451"/>
      <c r="C168" s="451"/>
      <c r="D168" s="451"/>
      <c r="E168" s="451"/>
      <c r="F168" s="451"/>
      <c r="G168" s="451"/>
      <c r="H168" s="451"/>
      <c r="I168" s="452"/>
    </row>
    <row r="169" spans="1:9">
      <c r="A169" s="450"/>
      <c r="B169" s="451"/>
      <c r="C169" s="451"/>
      <c r="D169" s="451"/>
      <c r="E169" s="451"/>
      <c r="F169" s="451"/>
      <c r="G169" s="451"/>
      <c r="H169" s="451"/>
      <c r="I169" s="452"/>
    </row>
    <row r="170" spans="1:9">
      <c r="A170" s="450"/>
      <c r="B170" s="451"/>
      <c r="C170" s="451"/>
      <c r="D170" s="451"/>
      <c r="E170" s="451"/>
      <c r="F170" s="451"/>
      <c r="G170" s="451"/>
      <c r="H170" s="451"/>
      <c r="I170" s="452"/>
    </row>
    <row r="171" spans="1:9">
      <c r="A171" s="450"/>
      <c r="B171" s="451"/>
      <c r="C171" s="451"/>
      <c r="D171" s="451"/>
      <c r="E171" s="451"/>
      <c r="F171" s="451"/>
      <c r="G171" s="451"/>
      <c r="H171" s="451"/>
      <c r="I171" s="452"/>
    </row>
    <row r="172" spans="1:9">
      <c r="A172" s="450"/>
      <c r="B172" s="451"/>
      <c r="C172" s="451"/>
      <c r="D172" s="451"/>
      <c r="E172" s="451"/>
      <c r="F172" s="451"/>
      <c r="G172" s="451"/>
      <c r="H172" s="451"/>
      <c r="I172" s="452"/>
    </row>
    <row r="173" spans="1:9">
      <c r="A173" s="450"/>
      <c r="B173" s="451"/>
      <c r="C173" s="451"/>
      <c r="D173" s="451"/>
      <c r="E173" s="451"/>
      <c r="F173" s="451"/>
      <c r="G173" s="451"/>
      <c r="H173" s="451"/>
      <c r="I173" s="452"/>
    </row>
    <row r="174" spans="1:9">
      <c r="A174" s="450"/>
      <c r="B174" s="451"/>
      <c r="C174" s="451"/>
      <c r="D174" s="451"/>
      <c r="E174" s="451"/>
      <c r="F174" s="451"/>
      <c r="G174" s="451"/>
      <c r="H174" s="451"/>
      <c r="I174" s="452"/>
    </row>
    <row r="175" spans="1:9">
      <c r="A175" s="450"/>
      <c r="B175" s="451"/>
      <c r="C175" s="451"/>
      <c r="D175" s="451"/>
      <c r="E175" s="451"/>
      <c r="F175" s="451"/>
      <c r="G175" s="451"/>
      <c r="H175" s="451"/>
      <c r="I175" s="452"/>
    </row>
    <row r="176" spans="1:9">
      <c r="A176" s="450"/>
      <c r="B176" s="451"/>
      <c r="C176" s="451"/>
      <c r="D176" s="451"/>
      <c r="E176" s="451"/>
      <c r="F176" s="451"/>
      <c r="G176" s="451"/>
      <c r="H176" s="451"/>
      <c r="I176" s="452"/>
    </row>
    <row r="177" spans="1:9">
      <c r="A177" s="450"/>
      <c r="B177" s="451"/>
      <c r="C177" s="451"/>
      <c r="D177" s="451"/>
      <c r="E177" s="451"/>
      <c r="F177" s="451"/>
      <c r="G177" s="451"/>
      <c r="H177" s="451"/>
      <c r="I177" s="452"/>
    </row>
    <row r="178" spans="1:9">
      <c r="A178" s="450"/>
      <c r="B178" s="451"/>
      <c r="C178" s="451"/>
      <c r="D178" s="451"/>
      <c r="E178" s="451"/>
      <c r="F178" s="451"/>
      <c r="G178" s="451"/>
      <c r="H178" s="451"/>
      <c r="I178" s="452"/>
    </row>
    <row r="179" spans="1:9">
      <c r="A179" s="450"/>
      <c r="B179" s="451"/>
      <c r="C179" s="451"/>
      <c r="D179" s="451"/>
      <c r="E179" s="451"/>
      <c r="F179" s="451"/>
      <c r="G179" s="451"/>
      <c r="H179" s="451"/>
      <c r="I179" s="452"/>
    </row>
    <row r="180" spans="1:9">
      <c r="A180" s="450"/>
      <c r="B180" s="451"/>
      <c r="C180" s="451"/>
      <c r="D180" s="451"/>
      <c r="E180" s="451"/>
      <c r="F180" s="451"/>
      <c r="G180" s="451"/>
      <c r="H180" s="451"/>
      <c r="I180" s="452"/>
    </row>
    <row r="181" spans="1:9">
      <c r="A181" s="450"/>
      <c r="B181" s="451"/>
      <c r="C181" s="451"/>
      <c r="D181" s="451"/>
      <c r="E181" s="451"/>
      <c r="F181" s="451"/>
      <c r="G181" s="451"/>
      <c r="H181" s="451"/>
      <c r="I181" s="452"/>
    </row>
    <row r="182" spans="1:9">
      <c r="A182" s="450"/>
      <c r="B182" s="451"/>
      <c r="C182" s="451"/>
      <c r="D182" s="451"/>
      <c r="E182" s="451"/>
      <c r="F182" s="451"/>
      <c r="G182" s="451"/>
      <c r="H182" s="451"/>
      <c r="I182" s="452"/>
    </row>
    <row r="183" spans="1:9" ht="15" thickBot="1">
      <c r="A183" s="4760" t="s">
        <v>760</v>
      </c>
      <c r="B183" s="4761"/>
      <c r="C183" s="4761"/>
      <c r="D183" s="4761"/>
      <c r="E183" s="4761"/>
      <c r="F183" s="4761"/>
      <c r="G183" s="4761"/>
      <c r="H183" s="4761"/>
      <c r="I183" s="4762"/>
    </row>
    <row r="184" spans="1:9">
      <c r="A184" s="4751"/>
      <c r="B184" s="4751"/>
      <c r="C184" s="4751"/>
      <c r="D184" s="4751"/>
      <c r="E184" s="4751"/>
      <c r="F184" s="4751"/>
      <c r="G184" s="4751"/>
      <c r="H184" s="4751"/>
      <c r="I184" s="4751"/>
    </row>
    <row r="185" spans="1:9">
      <c r="A185" s="4755"/>
      <c r="B185" s="4755"/>
      <c r="C185" s="4755"/>
      <c r="D185" s="4755"/>
      <c r="E185" s="4755"/>
      <c r="F185" s="4755"/>
      <c r="G185" s="4755"/>
      <c r="H185" s="4755"/>
      <c r="I185" s="4755"/>
    </row>
  </sheetData>
  <sheetProtection password="CA4F" sheet="1" objects="1" scenarios="1" formatRows="0" selectLockedCells="1"/>
  <mergeCells count="20">
    <mergeCell ref="A91:I91"/>
    <mergeCell ref="A3:I3"/>
    <mergeCell ref="A43:I43"/>
    <mergeCell ref="A44:I44"/>
    <mergeCell ref="A45:I45"/>
    <mergeCell ref="A184:I184"/>
    <mergeCell ref="A185:I185"/>
    <mergeCell ref="A92:I92"/>
    <mergeCell ref="A127:I127"/>
    <mergeCell ref="A128:I128"/>
    <mergeCell ref="A129:I129"/>
    <mergeCell ref="A130:I130"/>
    <mergeCell ref="A183:I183"/>
    <mergeCell ref="A46:I46"/>
    <mergeCell ref="A50:E50"/>
    <mergeCell ref="A89:I89"/>
    <mergeCell ref="A90:I90"/>
    <mergeCell ref="A1:C1"/>
    <mergeCell ref="A2:C2"/>
    <mergeCell ref="E2:I2"/>
  </mergeCells>
  <hyperlinks>
    <hyperlink ref="A43:I43" r:id="rId1" display="Source: 2006 International Residential Code. International Code Council, Inc., Country Club Hills, Illinois. Reproduced with permission. All rights reserved. http://www.iccsafe.org" xr:uid="{00000000-0004-0000-0F00-000000000000}"/>
    <hyperlink ref="B5" location="link703.1.1" display="See 703.1.1" xr:uid="{00000000-0004-0000-0F00-000001000000}"/>
    <hyperlink ref="A89:I89" r:id="rId2" display="Source: www.nationalatlas.gov" xr:uid="{00000000-0004-0000-0F00-000002000000}"/>
    <hyperlink ref="B48" location="link602.1.12" display="See 602.1.12" xr:uid="{00000000-0004-0000-0F00-000003000000}"/>
    <hyperlink ref="A50" r:id="rId3" display="http://www.nationalatlas.gov/" xr:uid="{00000000-0004-0000-0F00-000004000000}"/>
    <hyperlink ref="A127" r:id="rId4" display="http://www.iccsafe.gov/" xr:uid="{00000000-0004-0000-0F00-000005000000}"/>
    <hyperlink ref="B94" location="link602.1.5" display="See Practice 602.1.5" xr:uid="{00000000-0004-0000-0F00-000006000000}"/>
    <hyperlink ref="C94" location="link602.1.6" display="See Practice 602.1.6" xr:uid="{00000000-0004-0000-0F00-000007000000}"/>
    <hyperlink ref="A183" r:id="rId5" display="http://www.iccsafe.gov/" xr:uid="{00000000-0004-0000-0F00-000008000000}"/>
    <hyperlink ref="I131" location="link902.3" display="See Practice 902.3" xr:uid="{00000000-0004-0000-0F00-000009000000}"/>
    <hyperlink ref="C5" location="link903.3" display="See 903.3" xr:uid="{00000000-0004-0000-0F00-00000A000000}"/>
    <hyperlink ref="A183:I183" r:id="rId6" display="See the EPA Map of Radon Zones to find the level of radon potential for your project area." xr:uid="{00000000-0004-0000-0F00-00000B000000}"/>
  </hyperlinks>
  <pageMargins left="0.7" right="0.7" top="0.75" bottom="0.75" header="0.3" footer="0.3"/>
  <pageSetup scale="53" fitToHeight="0" orientation="portrait" r:id="rId7"/>
  <headerFooter>
    <oddFooter xml:space="preserve">&amp;C© 2013 Home Innovation Research Labs.  Practices of ICC700-2012 © 2013 National Association of Home Builders- used by permission.   Home Innovation authorizes use by those persons participating in the Home Innovation’s Green Building Certification.&amp;R
</oddFooter>
  </headerFooter>
  <rowBreaks count="3" manualBreakCount="3">
    <brk id="44" max="8" man="1"/>
    <brk id="91" max="8" man="1"/>
    <brk id="129" max="8" man="1"/>
  </rowBreaks>
  <drawing r:id="rId8"/>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18</vt:i4>
      </vt:variant>
      <vt:variant>
        <vt:lpstr>Named Ranges</vt:lpstr>
      </vt:variant>
      <vt:variant>
        <vt:i4>3975</vt:i4>
      </vt:variant>
    </vt:vector>
  </HeadingPairs>
  <TitlesOfParts>
    <vt:vector size="3993" baseType="lpstr">
      <vt:lpstr>Start Here!</vt:lpstr>
      <vt:lpstr>Ch5</vt:lpstr>
      <vt:lpstr>Ch6</vt:lpstr>
      <vt:lpstr>Ch7</vt:lpstr>
      <vt:lpstr>Ch8</vt:lpstr>
      <vt:lpstr>Ch9</vt:lpstr>
      <vt:lpstr>Ch10</vt:lpstr>
      <vt:lpstr>Designer's Report</vt:lpstr>
      <vt:lpstr>Figures</vt:lpstr>
      <vt:lpstr>Scoring Analysis</vt:lpstr>
      <vt:lpstr>Verification Rpt</vt:lpstr>
      <vt:lpstr>Formulas</vt:lpstr>
      <vt:lpstr>Rough Signature</vt:lpstr>
      <vt:lpstr>Final Signature</vt:lpstr>
      <vt:lpstr>MultifamilyAddendum</vt:lpstr>
      <vt:lpstr>Ch. 7, 8, 9  Appendices</vt:lpstr>
      <vt:lpstr>Appendix A, B, D</vt:lpstr>
      <vt:lpstr>Errata</vt:lpstr>
      <vt:lpstr>additionalPoints</vt:lpstr>
      <vt:lpstr>Address</vt:lpstr>
      <vt:lpstr>af1001.1</vt:lpstr>
      <vt:lpstr>af1001.1_1</vt:lpstr>
      <vt:lpstr>af1001.1_10</vt:lpstr>
      <vt:lpstr>af1001.1_11</vt:lpstr>
      <vt:lpstr>af1001.1_12</vt:lpstr>
      <vt:lpstr>af1001.1_13</vt:lpstr>
      <vt:lpstr>af1001.1_14</vt:lpstr>
      <vt:lpstr>af1001.1_15</vt:lpstr>
      <vt:lpstr>af1001.1_16</vt:lpstr>
      <vt:lpstr>af1001.1_17</vt:lpstr>
      <vt:lpstr>af1001.1_18</vt:lpstr>
      <vt:lpstr>af1001.1_19</vt:lpstr>
      <vt:lpstr>af1001.1_2</vt:lpstr>
      <vt:lpstr>af1001.1_20</vt:lpstr>
      <vt:lpstr>af1001.1_21</vt:lpstr>
      <vt:lpstr>af1001.1_3</vt:lpstr>
      <vt:lpstr>af1001.1_4</vt:lpstr>
      <vt:lpstr>af1001.1_5</vt:lpstr>
      <vt:lpstr>af1001.1_6</vt:lpstr>
      <vt:lpstr>af1001.1_7</vt:lpstr>
      <vt:lpstr>af1001.1_8</vt:lpstr>
      <vt:lpstr>af1001.1_9</vt:lpstr>
      <vt:lpstr>af1002.1</vt:lpstr>
      <vt:lpstr>af1003.1</vt:lpstr>
      <vt:lpstr>af1003.1_1</vt:lpstr>
      <vt:lpstr>af1003.1_2</vt:lpstr>
      <vt:lpstr>af1003.1_3</vt:lpstr>
      <vt:lpstr>af1003.1_4</vt:lpstr>
      <vt:lpstr>af1003.1_5</vt:lpstr>
      <vt:lpstr>af1003.1_6</vt:lpstr>
      <vt:lpstr>af1003.1_7</vt:lpstr>
      <vt:lpstr>af1003.1_8</vt:lpstr>
      <vt:lpstr>af1003.2</vt:lpstr>
      <vt:lpstr>af1003.2_1</vt:lpstr>
      <vt:lpstr>af1003.2_10</vt:lpstr>
      <vt:lpstr>af1003.2_2</vt:lpstr>
      <vt:lpstr>af1003.2_3</vt:lpstr>
      <vt:lpstr>af1003.2_4</vt:lpstr>
      <vt:lpstr>af1003.2_5</vt:lpstr>
      <vt:lpstr>af1003.2_6</vt:lpstr>
      <vt:lpstr>af1003.2_7</vt:lpstr>
      <vt:lpstr>af1003.2_8</vt:lpstr>
      <vt:lpstr>af1003.2_9</vt:lpstr>
      <vt:lpstr>af1003.3</vt:lpstr>
      <vt:lpstr>af1003.3_1</vt:lpstr>
      <vt:lpstr>af1003.3_2</vt:lpstr>
      <vt:lpstr>af1003.3_3</vt:lpstr>
      <vt:lpstr>af1003.3_4</vt:lpstr>
      <vt:lpstr>af1003.3_5</vt:lpstr>
      <vt:lpstr>af1003.3_6</vt:lpstr>
      <vt:lpstr>af1003.3_7</vt:lpstr>
      <vt:lpstr>af1003.3_8</vt:lpstr>
      <vt:lpstr>af1003.3_9</vt:lpstr>
      <vt:lpstr>af501.1_1</vt:lpstr>
      <vt:lpstr>af501.1_2</vt:lpstr>
      <vt:lpstr>af501.1_3</vt:lpstr>
      <vt:lpstr>af501.1_4</vt:lpstr>
      <vt:lpstr>af501.1_5</vt:lpstr>
      <vt:lpstr>af501.2_1</vt:lpstr>
      <vt:lpstr>af501.2_2</vt:lpstr>
      <vt:lpstr>af501.2_3</vt:lpstr>
      <vt:lpstr>af501.2_4</vt:lpstr>
      <vt:lpstr>af502.1</vt:lpstr>
      <vt:lpstr>af503.1_1</vt:lpstr>
      <vt:lpstr>af503.1_2</vt:lpstr>
      <vt:lpstr>af503.1_3</vt:lpstr>
      <vt:lpstr>af503.1_4</vt:lpstr>
      <vt:lpstr>af503.1_5</vt:lpstr>
      <vt:lpstr>af503.1_6</vt:lpstr>
      <vt:lpstr>af503.1_7</vt:lpstr>
      <vt:lpstr>af503.2_1</vt:lpstr>
      <vt:lpstr>af503.2_2</vt:lpstr>
      <vt:lpstr>af503.2_3</vt:lpstr>
      <vt:lpstr>af503.2_4</vt:lpstr>
      <vt:lpstr>af503.2_5</vt:lpstr>
      <vt:lpstr>af503.3_1</vt:lpstr>
      <vt:lpstr>af503.3_2</vt:lpstr>
      <vt:lpstr>af503.3_3</vt:lpstr>
      <vt:lpstr>af503.4_1</vt:lpstr>
      <vt:lpstr>af503.4_2</vt:lpstr>
      <vt:lpstr>af503.4_3</vt:lpstr>
      <vt:lpstr>af503.4_4</vt:lpstr>
      <vt:lpstr>af503.4_5</vt:lpstr>
      <vt:lpstr>af503.4_6</vt:lpstr>
      <vt:lpstr>af503.5_1</vt:lpstr>
      <vt:lpstr>af503.5_2</vt:lpstr>
      <vt:lpstr>af503.5_3</vt:lpstr>
      <vt:lpstr>af503.5_4</vt:lpstr>
      <vt:lpstr>af503.5_5</vt:lpstr>
      <vt:lpstr>af503.5_6</vt:lpstr>
      <vt:lpstr>af503.5_7</vt:lpstr>
      <vt:lpstr>af503.5_8</vt:lpstr>
      <vt:lpstr>af503.6_1</vt:lpstr>
      <vt:lpstr>af503.6_2</vt:lpstr>
      <vt:lpstr>af503.6_3</vt:lpstr>
      <vt:lpstr>af503.6_4</vt:lpstr>
      <vt:lpstr>af503.7_1</vt:lpstr>
      <vt:lpstr>af503.7_2</vt:lpstr>
      <vt:lpstr>af504.1</vt:lpstr>
      <vt:lpstr>af504.2_1</vt:lpstr>
      <vt:lpstr>af504.2_2</vt:lpstr>
      <vt:lpstr>af504.2_3</vt:lpstr>
      <vt:lpstr>af504.3_1</vt:lpstr>
      <vt:lpstr>af504.3_2</vt:lpstr>
      <vt:lpstr>af504.3_3</vt:lpstr>
      <vt:lpstr>af504.3_4</vt:lpstr>
      <vt:lpstr>af504.3_5</vt:lpstr>
      <vt:lpstr>af504.3_6</vt:lpstr>
      <vt:lpstr>af504.3_7</vt:lpstr>
      <vt:lpstr>af504.3_8</vt:lpstr>
      <vt:lpstr>af504.3_9</vt:lpstr>
      <vt:lpstr>af505.1_1</vt:lpstr>
      <vt:lpstr>af505.1_2</vt:lpstr>
      <vt:lpstr>af505.1_3</vt:lpstr>
      <vt:lpstr>af505.2_1</vt:lpstr>
      <vt:lpstr>af505.2_2</vt:lpstr>
      <vt:lpstr>af505.3</vt:lpstr>
      <vt:lpstr>af505.4</vt:lpstr>
      <vt:lpstr>af505.5</vt:lpstr>
      <vt:lpstr>af601.1</vt:lpstr>
      <vt:lpstr>af601.2_1</vt:lpstr>
      <vt:lpstr>af601.2_2</vt:lpstr>
      <vt:lpstr>af601.2_3</vt:lpstr>
      <vt:lpstr>af601.3_1</vt:lpstr>
      <vt:lpstr>af601.3_2</vt:lpstr>
      <vt:lpstr>af601.3_3</vt:lpstr>
      <vt:lpstr>af601.3_4</vt:lpstr>
      <vt:lpstr>af601.3_5</vt:lpstr>
      <vt:lpstr>af601.4</vt:lpstr>
      <vt:lpstr>af601.5_1</vt:lpstr>
      <vt:lpstr>af601.5_2</vt:lpstr>
      <vt:lpstr>af601.5_3</vt:lpstr>
      <vt:lpstr>af601.5_4</vt:lpstr>
      <vt:lpstr>af601.5_5</vt:lpstr>
      <vt:lpstr>af601.6</vt:lpstr>
      <vt:lpstr>af601.7</vt:lpstr>
      <vt:lpstr>af601.8</vt:lpstr>
      <vt:lpstr>af601.9</vt:lpstr>
      <vt:lpstr>af602.1.1.1</vt:lpstr>
      <vt:lpstr>af602.1.1.2</vt:lpstr>
      <vt:lpstr>af602.1.10</vt:lpstr>
      <vt:lpstr>af602.1.11</vt:lpstr>
      <vt:lpstr>af602.1.12</vt:lpstr>
      <vt:lpstr>af602.1.13</vt:lpstr>
      <vt:lpstr>af602.1.14_1</vt:lpstr>
      <vt:lpstr>af602.1.14_2</vt:lpstr>
      <vt:lpstr>af602.1.14_3</vt:lpstr>
      <vt:lpstr>af602.1.2</vt:lpstr>
      <vt:lpstr>af602.1.3.1</vt:lpstr>
      <vt:lpstr>af602.1.3.2</vt:lpstr>
      <vt:lpstr>af602.1.4.1_1</vt:lpstr>
      <vt:lpstr>af602.1.4.1_2</vt:lpstr>
      <vt:lpstr>af602.1.4.2_1</vt:lpstr>
      <vt:lpstr>af602.1.4.2_2</vt:lpstr>
      <vt:lpstr>af602.1.5</vt:lpstr>
      <vt:lpstr>af602.1.6</vt:lpstr>
      <vt:lpstr>af602.1.7.1_1</vt:lpstr>
      <vt:lpstr>af602.1.7.1_2</vt:lpstr>
      <vt:lpstr>af602.1.7.1_3</vt:lpstr>
      <vt:lpstr>af602.1.7.2</vt:lpstr>
      <vt:lpstr>af602.1.8</vt:lpstr>
      <vt:lpstr>af602.1.9_1</vt:lpstr>
      <vt:lpstr>af602.1.9_2</vt:lpstr>
      <vt:lpstr>af602.1.9_3</vt:lpstr>
      <vt:lpstr>af602.1.9_4</vt:lpstr>
      <vt:lpstr>af602.1.9_5</vt:lpstr>
      <vt:lpstr>af602.1.9_6</vt:lpstr>
      <vt:lpstr>af602.1.9_7</vt:lpstr>
      <vt:lpstr>af602.2</vt:lpstr>
      <vt:lpstr>af602.3</vt:lpstr>
      <vt:lpstr>af602.4.1</vt:lpstr>
      <vt:lpstr>af602.4.2</vt:lpstr>
      <vt:lpstr>af602.4.3</vt:lpstr>
      <vt:lpstr>af603.1</vt:lpstr>
      <vt:lpstr>af603.2</vt:lpstr>
      <vt:lpstr>af603.3</vt:lpstr>
      <vt:lpstr>af604.1.1</vt:lpstr>
      <vt:lpstr>af604.1.2</vt:lpstr>
      <vt:lpstr>af605.1</vt:lpstr>
      <vt:lpstr>af605.2</vt:lpstr>
      <vt:lpstr>af605.3</vt:lpstr>
      <vt:lpstr>af606.1</vt:lpstr>
      <vt:lpstr>af606.2_1</vt:lpstr>
      <vt:lpstr>af606.2_2</vt:lpstr>
      <vt:lpstr>af606.3</vt:lpstr>
      <vt:lpstr>af607.1_1</vt:lpstr>
      <vt:lpstr>af607.1_2</vt:lpstr>
      <vt:lpstr>af607.2</vt:lpstr>
      <vt:lpstr>af608.1</vt:lpstr>
      <vt:lpstr>af609.1</vt:lpstr>
      <vt:lpstr>af610.1</vt:lpstr>
      <vt:lpstr>af610.1.1</vt:lpstr>
      <vt:lpstr>af610.1.2</vt:lpstr>
      <vt:lpstr>af610.1.2.1</vt:lpstr>
      <vt:lpstr>af610.1.2.1With4ImpactMeasures</vt:lpstr>
      <vt:lpstr>af610.1.2.1With5ImpactMeasures</vt:lpstr>
      <vt:lpstr>af610.1.2.2.walls</vt:lpstr>
      <vt:lpstr>af610.1.2.2floors</vt:lpstr>
      <vt:lpstr>af610.1.2.2intwalls</vt:lpstr>
      <vt:lpstr>af610.1.2.2roof</vt:lpstr>
      <vt:lpstr>af610.1.2.2walls</vt:lpstr>
      <vt:lpstr>af6101.2.2</vt:lpstr>
      <vt:lpstr>af611.1</vt:lpstr>
      <vt:lpstr>af611.2</vt:lpstr>
      <vt:lpstr>af611.2_1</vt:lpstr>
      <vt:lpstr>af611.2_2</vt:lpstr>
      <vt:lpstr>af611.2_3</vt:lpstr>
      <vt:lpstr>af611.2_4</vt:lpstr>
      <vt:lpstr>af611.2_5</vt:lpstr>
      <vt:lpstr>af611.2_6</vt:lpstr>
      <vt:lpstr>af611.2_7</vt:lpstr>
      <vt:lpstr>af611.3</vt:lpstr>
      <vt:lpstr>af611.3_1</vt:lpstr>
      <vt:lpstr>af611.3_2</vt:lpstr>
      <vt:lpstr>af611.3_3</vt:lpstr>
      <vt:lpstr>af611.3_4</vt:lpstr>
      <vt:lpstr>af701.1</vt:lpstr>
      <vt:lpstr>af701.1.3</vt:lpstr>
      <vt:lpstr>af701.3</vt:lpstr>
      <vt:lpstr>af701.4.1.1</vt:lpstr>
      <vt:lpstr>af701.4.1.2</vt:lpstr>
      <vt:lpstr>af701.4.2.1</vt:lpstr>
      <vt:lpstr>af701.4.2.2</vt:lpstr>
      <vt:lpstr>af701.4.2.3</vt:lpstr>
      <vt:lpstr>af701.4.3.1</vt:lpstr>
      <vt:lpstr>af701.4.3.2</vt:lpstr>
      <vt:lpstr>af701.4.3.2_1</vt:lpstr>
      <vt:lpstr>af701.4.3.2_2</vt:lpstr>
      <vt:lpstr>af701.4.3.2_3</vt:lpstr>
      <vt:lpstr>af701.4.3.2_4</vt:lpstr>
      <vt:lpstr>af701.4.4</vt:lpstr>
      <vt:lpstr>af701.4.5</vt:lpstr>
      <vt:lpstr>af702.2.1</vt:lpstr>
      <vt:lpstr>af702.2.2</vt:lpstr>
      <vt:lpstr>af703.1.3</vt:lpstr>
      <vt:lpstr>af703.1.4</vt:lpstr>
      <vt:lpstr>af703.1.5</vt:lpstr>
      <vt:lpstr>af703.1.6.1</vt:lpstr>
      <vt:lpstr>af703.1.6.2</vt:lpstr>
      <vt:lpstr>af703.2.1</vt:lpstr>
      <vt:lpstr>af703.2.2</vt:lpstr>
      <vt:lpstr>af703.2.3</vt:lpstr>
      <vt:lpstr>af703.2.4</vt:lpstr>
      <vt:lpstr>af703.2.5</vt:lpstr>
      <vt:lpstr>af703.2.6</vt:lpstr>
      <vt:lpstr>af703.2.7</vt:lpstr>
      <vt:lpstr>af703.2.8</vt:lpstr>
      <vt:lpstr>af703.2.9</vt:lpstr>
      <vt:lpstr>af703.3.1</vt:lpstr>
      <vt:lpstr>af703.3.2</vt:lpstr>
      <vt:lpstr>af703.3.4</vt:lpstr>
      <vt:lpstr>af703.4.2</vt:lpstr>
      <vt:lpstr>af703.4.3</vt:lpstr>
      <vt:lpstr>af703.4.4</vt:lpstr>
      <vt:lpstr>af703.4.5</vt:lpstr>
      <vt:lpstr>af703.5.1</vt:lpstr>
      <vt:lpstr>af703.5.2</vt:lpstr>
      <vt:lpstr>af703.5.3Dishwasher</vt:lpstr>
      <vt:lpstr>af703.5.3Refrigerator</vt:lpstr>
      <vt:lpstr>af703.5.3WashingMachine</vt:lpstr>
      <vt:lpstr>af703.5.4</vt:lpstr>
      <vt:lpstr>af703.6.1</vt:lpstr>
      <vt:lpstr>af703.6.2</vt:lpstr>
      <vt:lpstr>af703.6.3_1</vt:lpstr>
      <vt:lpstr>af703.6.3_2</vt:lpstr>
      <vt:lpstr>af703.6.3_3</vt:lpstr>
      <vt:lpstr>af703.6.3_4</vt:lpstr>
      <vt:lpstr>af703.6.3_5</vt:lpstr>
      <vt:lpstr>af703.6.3_6</vt:lpstr>
      <vt:lpstr>af703.6.4</vt:lpstr>
      <vt:lpstr>af704.2.1</vt:lpstr>
      <vt:lpstr>af704.2.2</vt:lpstr>
      <vt:lpstr>af704.2.3</vt:lpstr>
      <vt:lpstr>af704.3</vt:lpstr>
      <vt:lpstr>af704.4.1</vt:lpstr>
      <vt:lpstr>af704.4.2</vt:lpstr>
      <vt:lpstr>af704.4.3</vt:lpstr>
      <vt:lpstr>af704.5.1</vt:lpstr>
      <vt:lpstr>af704.5.2.1_1</vt:lpstr>
      <vt:lpstr>af704.5.2.1_2</vt:lpstr>
      <vt:lpstr>af704.5.2.2</vt:lpstr>
      <vt:lpstr>af704.5.3</vt:lpstr>
      <vt:lpstr>af705.1</vt:lpstr>
      <vt:lpstr>af705.2_2</vt:lpstr>
      <vt:lpstr>af705.2._1</vt:lpstr>
      <vt:lpstr>af705.3</vt:lpstr>
      <vt:lpstr>af705.3ClothesDryer</vt:lpstr>
      <vt:lpstr>af705.3ClothesWasher</vt:lpstr>
      <vt:lpstr>af705.3Dishwasher</vt:lpstr>
      <vt:lpstr>af705.3Freezer</vt:lpstr>
      <vt:lpstr>af705.3HotWaterHeating</vt:lpstr>
      <vt:lpstr>af705.3HVAC</vt:lpstr>
      <vt:lpstr>af705.3Refrigerator</vt:lpstr>
      <vt:lpstr>af705.3RoomAirConditioner</vt:lpstr>
      <vt:lpstr>af705.4.1_1</vt:lpstr>
      <vt:lpstr>af705.4.1_2</vt:lpstr>
      <vt:lpstr>af705.4.2</vt:lpstr>
      <vt:lpstr>af705.5</vt:lpstr>
      <vt:lpstr>af705.6</vt:lpstr>
      <vt:lpstr>af801.1.1_1thru4a</vt:lpstr>
      <vt:lpstr>af801.1.1_5</vt:lpstr>
      <vt:lpstr>af801.1.1_6</vt:lpstr>
      <vt:lpstr>af801.2_1</vt:lpstr>
      <vt:lpstr>af801.2_2</vt:lpstr>
      <vt:lpstr>af801.3_1</vt:lpstr>
      <vt:lpstr>af801.3_2</vt:lpstr>
      <vt:lpstr>af801.3_3</vt:lpstr>
      <vt:lpstr>af801.4.1_1</vt:lpstr>
      <vt:lpstr>af801.4.1_2</vt:lpstr>
      <vt:lpstr>af801.4.2</vt:lpstr>
      <vt:lpstr>af801.5_1</vt:lpstr>
      <vt:lpstr>af801.5_2</vt:lpstr>
      <vt:lpstr>af801.5_3</vt:lpstr>
      <vt:lpstr>af801.5_3a</vt:lpstr>
      <vt:lpstr>af801.5_3b</vt:lpstr>
      <vt:lpstr>af801.5_3c</vt:lpstr>
      <vt:lpstr>af801.6.1</vt:lpstr>
      <vt:lpstr>af801.6.2_1</vt:lpstr>
      <vt:lpstr>af801.6.2_2</vt:lpstr>
      <vt:lpstr>af801.6.3</vt:lpstr>
      <vt:lpstr>af801.6.4</vt:lpstr>
      <vt:lpstr>af801.6.5_1and2</vt:lpstr>
      <vt:lpstr>af801.6.5_3</vt:lpstr>
      <vt:lpstr>af801.7.1</vt:lpstr>
      <vt:lpstr>af801.7.2</vt:lpstr>
      <vt:lpstr>af801.8</vt:lpstr>
      <vt:lpstr>af802.1</vt:lpstr>
      <vt:lpstr>af802.2ExcessiveShutoff</vt:lpstr>
      <vt:lpstr>af802.2LeakDetection</vt:lpstr>
      <vt:lpstr>af802.3</vt:lpstr>
      <vt:lpstr>af802.4</vt:lpstr>
      <vt:lpstr>af802.5</vt:lpstr>
      <vt:lpstr>af901.1.1</vt:lpstr>
      <vt:lpstr>af901.1.2</vt:lpstr>
      <vt:lpstr>af901.1.3_1</vt:lpstr>
      <vt:lpstr>af901.1.3_2</vt:lpstr>
      <vt:lpstr>af901.1.4</vt:lpstr>
      <vt:lpstr>af901.1.5</vt:lpstr>
      <vt:lpstr>af901.1.6</vt:lpstr>
      <vt:lpstr>af901.10</vt:lpstr>
      <vt:lpstr>af901.11</vt:lpstr>
      <vt:lpstr>af901.12</vt:lpstr>
      <vt:lpstr>af901.13</vt:lpstr>
      <vt:lpstr>af901.14_1</vt:lpstr>
      <vt:lpstr>af901.14_2</vt:lpstr>
      <vt:lpstr>af901.2.1_1Step1</vt:lpstr>
      <vt:lpstr>af901.2.1_1Step2</vt:lpstr>
      <vt:lpstr>af901.2.1_2Step1</vt:lpstr>
      <vt:lpstr>af901.2.1_2Step2</vt:lpstr>
      <vt:lpstr>af901.2.1_3Step1</vt:lpstr>
      <vt:lpstr>af901.2.1_3Step2</vt:lpstr>
      <vt:lpstr>af901.2.1_4Step1</vt:lpstr>
      <vt:lpstr>af901.2.1_4Step2</vt:lpstr>
      <vt:lpstr>af901.2.1_5Step1</vt:lpstr>
      <vt:lpstr>af901.2.1_5Step2</vt:lpstr>
      <vt:lpstr>af901.2.2</vt:lpstr>
      <vt:lpstr>af901.3_1aStep1</vt:lpstr>
      <vt:lpstr>af901.3_1aStep2</vt:lpstr>
      <vt:lpstr>af901.3_1bStep1</vt:lpstr>
      <vt:lpstr>af901.3_1bStep2</vt:lpstr>
      <vt:lpstr>af901.3_1c</vt:lpstr>
      <vt:lpstr>af901.3_2</vt:lpstr>
      <vt:lpstr>af901.4_2CompositeTrim</vt:lpstr>
      <vt:lpstr>af901.4_2Countertops</vt:lpstr>
      <vt:lpstr>af901.4_2CustomWoodwork</vt:lpstr>
      <vt:lpstr>af901.4_2Shelving</vt:lpstr>
      <vt:lpstr>af901.4_2thru6</vt:lpstr>
      <vt:lpstr>af901.4_3CompositeTrim</vt:lpstr>
      <vt:lpstr>af901.4_3Countertops</vt:lpstr>
      <vt:lpstr>af901.4_3CustomWoodwork</vt:lpstr>
      <vt:lpstr>af901.4_3Shelving</vt:lpstr>
      <vt:lpstr>af901.4_4CompositeTrim</vt:lpstr>
      <vt:lpstr>af901.4_4Countertops</vt:lpstr>
      <vt:lpstr>af901.4_4CustomWoodwork</vt:lpstr>
      <vt:lpstr>af901.4_4Shelving</vt:lpstr>
      <vt:lpstr>af901.4_5CompositeTrim</vt:lpstr>
      <vt:lpstr>af901.4_5Countertops</vt:lpstr>
      <vt:lpstr>af901.4_5CustomWoodwork</vt:lpstr>
      <vt:lpstr>af901.4_5Shelving</vt:lpstr>
      <vt:lpstr>af901.5</vt:lpstr>
      <vt:lpstr>af901.5_1and2</vt:lpstr>
      <vt:lpstr>af901.6_1</vt:lpstr>
      <vt:lpstr>af901.6_2a</vt:lpstr>
      <vt:lpstr>af901.6_2b</vt:lpstr>
      <vt:lpstr>af901.7</vt:lpstr>
      <vt:lpstr>af901.8</vt:lpstr>
      <vt:lpstr>af901.9.1</vt:lpstr>
      <vt:lpstr>af901.9.2</vt:lpstr>
      <vt:lpstr>af901.9.3</vt:lpstr>
      <vt:lpstr>af902.1.1_1Step1</vt:lpstr>
      <vt:lpstr>af902.1.1_1Step2</vt:lpstr>
      <vt:lpstr>af902.1.1_2</vt:lpstr>
      <vt:lpstr>af902.1.1_3</vt:lpstr>
      <vt:lpstr>af902.1.2</vt:lpstr>
      <vt:lpstr>af902.1.3</vt:lpstr>
      <vt:lpstr>af902.1.4</vt:lpstr>
      <vt:lpstr>af902.1.4_1</vt:lpstr>
      <vt:lpstr>af902.1.4_2</vt:lpstr>
      <vt:lpstr>af902.2.1</vt:lpstr>
      <vt:lpstr>af902.2.1_1thru4</vt:lpstr>
      <vt:lpstr>af902.2.2</vt:lpstr>
      <vt:lpstr>af902.2.3</vt:lpstr>
      <vt:lpstr>af902.3_1</vt:lpstr>
      <vt:lpstr>af902.3_1a</vt:lpstr>
      <vt:lpstr>af902.3_1b</vt:lpstr>
      <vt:lpstr>af902.3_2a</vt:lpstr>
      <vt:lpstr>af902.4_2</vt:lpstr>
      <vt:lpstr>af902.5</vt:lpstr>
      <vt:lpstr>af903.1.1</vt:lpstr>
      <vt:lpstr>af903.1.2</vt:lpstr>
      <vt:lpstr>af903.2</vt:lpstr>
      <vt:lpstr>af903.3</vt:lpstr>
      <vt:lpstr>af904.1</vt:lpstr>
      <vt:lpstr>af904.2</vt:lpstr>
      <vt:lpstr>app703_1_2</vt:lpstr>
      <vt:lpstr>app703.6.4</vt:lpstr>
      <vt:lpstr>app704_3_1_1</vt:lpstr>
      <vt:lpstr>app801.1</vt:lpstr>
      <vt:lpstr>app901.10_3</vt:lpstr>
      <vt:lpstr>app901.9.1</vt:lpstr>
      <vt:lpstr>appendixA</vt:lpstr>
      <vt:lpstr>appendixB</vt:lpstr>
      <vt:lpstr>appendixD</vt:lpstr>
      <vt:lpstr>applCount</vt:lpstr>
      <vt:lpstr>ar501.1_1</vt:lpstr>
      <vt:lpstr>ar501.1_2</vt:lpstr>
      <vt:lpstr>ar501.1_3</vt:lpstr>
      <vt:lpstr>ar501.1_4</vt:lpstr>
      <vt:lpstr>ar501.1_5</vt:lpstr>
      <vt:lpstr>ar501.2_1</vt:lpstr>
      <vt:lpstr>ar501.2_2</vt:lpstr>
      <vt:lpstr>ar501.2_3</vt:lpstr>
      <vt:lpstr>ar501.2_4</vt:lpstr>
      <vt:lpstr>ar502.1</vt:lpstr>
      <vt:lpstr>ar503.1_1</vt:lpstr>
      <vt:lpstr>ar503.1_2</vt:lpstr>
      <vt:lpstr>ar503.1_3</vt:lpstr>
      <vt:lpstr>ar503.1_4</vt:lpstr>
      <vt:lpstr>ar503.1_5</vt:lpstr>
      <vt:lpstr>ar503.1_6</vt:lpstr>
      <vt:lpstr>ar503.1_7</vt:lpstr>
      <vt:lpstr>ar503.2_1</vt:lpstr>
      <vt:lpstr>ar503.2_2</vt:lpstr>
      <vt:lpstr>ar503.2_3</vt:lpstr>
      <vt:lpstr>ar503.2_3a</vt:lpstr>
      <vt:lpstr>ar503.2_4</vt:lpstr>
      <vt:lpstr>ar503.2_5</vt:lpstr>
      <vt:lpstr>ar503.3_1</vt:lpstr>
      <vt:lpstr>ar503.3_2</vt:lpstr>
      <vt:lpstr>ar503.3_3</vt:lpstr>
      <vt:lpstr>ar503.4</vt:lpstr>
      <vt:lpstr>ar503.4_1</vt:lpstr>
      <vt:lpstr>ar503.4_2</vt:lpstr>
      <vt:lpstr>ar503.4_3</vt:lpstr>
      <vt:lpstr>ar503.4_4</vt:lpstr>
      <vt:lpstr>ar503.4_5</vt:lpstr>
      <vt:lpstr>ar503.4_6</vt:lpstr>
      <vt:lpstr>ar503.5</vt:lpstr>
      <vt:lpstr>ar503.5_1</vt:lpstr>
      <vt:lpstr>ar503.5_2</vt:lpstr>
      <vt:lpstr>ar503.5_3</vt:lpstr>
      <vt:lpstr>ar503.5_4</vt:lpstr>
      <vt:lpstr>ar503.5_5</vt:lpstr>
      <vt:lpstr>ar503.5_6</vt:lpstr>
      <vt:lpstr>ar503.5_7</vt:lpstr>
      <vt:lpstr>ar503.5_8</vt:lpstr>
      <vt:lpstr>ar503.6_1</vt:lpstr>
      <vt:lpstr>ar503.6_2</vt:lpstr>
      <vt:lpstr>ar503.6_3</vt:lpstr>
      <vt:lpstr>ar503.6_4</vt:lpstr>
      <vt:lpstr>ar503.7_1</vt:lpstr>
      <vt:lpstr>ar503.7_2</vt:lpstr>
      <vt:lpstr>ar504.1</vt:lpstr>
      <vt:lpstr>ar504.2_1</vt:lpstr>
      <vt:lpstr>ar504.2_2</vt:lpstr>
      <vt:lpstr>ar504.2_3</vt:lpstr>
      <vt:lpstr>ar504.3_1</vt:lpstr>
      <vt:lpstr>ar504.3_2</vt:lpstr>
      <vt:lpstr>ar504.3_3</vt:lpstr>
      <vt:lpstr>ar504.3_4</vt:lpstr>
      <vt:lpstr>ar504.3_5</vt:lpstr>
      <vt:lpstr>ar504.3_6</vt:lpstr>
      <vt:lpstr>ar504.3_7</vt:lpstr>
      <vt:lpstr>ar504.3_8</vt:lpstr>
      <vt:lpstr>ar504.3_9</vt:lpstr>
      <vt:lpstr>ar505.1_1</vt:lpstr>
      <vt:lpstr>ar505.1_2</vt:lpstr>
      <vt:lpstr>ar505.1_3</vt:lpstr>
      <vt:lpstr>ar505.2_1</vt:lpstr>
      <vt:lpstr>ar505.2_2</vt:lpstr>
      <vt:lpstr>ar505.3</vt:lpstr>
      <vt:lpstr>ar505.4</vt:lpstr>
      <vt:lpstr>ar505.5</vt:lpstr>
      <vt:lpstr>ar601.1</vt:lpstr>
      <vt:lpstr>ar601.2_1</vt:lpstr>
      <vt:lpstr>ar601.2_2</vt:lpstr>
      <vt:lpstr>ar601.2_3</vt:lpstr>
      <vt:lpstr>ar601.3_1</vt:lpstr>
      <vt:lpstr>ar601.3_2</vt:lpstr>
      <vt:lpstr>ar601.3_3</vt:lpstr>
      <vt:lpstr>ar601.3_4</vt:lpstr>
      <vt:lpstr>ar601.3_5</vt:lpstr>
      <vt:lpstr>ar601.4</vt:lpstr>
      <vt:lpstr>ar601.5_1</vt:lpstr>
      <vt:lpstr>ar601.5_2</vt:lpstr>
      <vt:lpstr>ar601.5_3</vt:lpstr>
      <vt:lpstr>ar601.5_4</vt:lpstr>
      <vt:lpstr>ar601.5_5</vt:lpstr>
      <vt:lpstr>ar601.6</vt:lpstr>
      <vt:lpstr>ar601.7</vt:lpstr>
      <vt:lpstr>ar601.8</vt:lpstr>
      <vt:lpstr>ar601.9</vt:lpstr>
      <vt:lpstr>ar602.1.1.1</vt:lpstr>
      <vt:lpstr>ar602.1.1.2</vt:lpstr>
      <vt:lpstr>ar602.1.10</vt:lpstr>
      <vt:lpstr>ar602.1.11</vt:lpstr>
      <vt:lpstr>ar602.1.12</vt:lpstr>
      <vt:lpstr>ar602.1.13</vt:lpstr>
      <vt:lpstr>ar602.1.14_1</vt:lpstr>
      <vt:lpstr>ar602.1.14_2</vt:lpstr>
      <vt:lpstr>ar602.1.14_3</vt:lpstr>
      <vt:lpstr>ar602.1.2</vt:lpstr>
      <vt:lpstr>ar602.1.3.1</vt:lpstr>
      <vt:lpstr>ar602.1.3.2</vt:lpstr>
      <vt:lpstr>ar602.1.4.1_1</vt:lpstr>
      <vt:lpstr>ar602.1.4.1_2</vt:lpstr>
      <vt:lpstr>ar602.1.4.2_1</vt:lpstr>
      <vt:lpstr>ar602.1.4.2_2</vt:lpstr>
      <vt:lpstr>ar602.1.5</vt:lpstr>
      <vt:lpstr>ar602.1.6</vt:lpstr>
      <vt:lpstr>ar602.1.7.1_1</vt:lpstr>
      <vt:lpstr>ar602.1.7.1_2</vt:lpstr>
      <vt:lpstr>ar602.1.7.1_3</vt:lpstr>
      <vt:lpstr>ar602.1.7.2</vt:lpstr>
      <vt:lpstr>ar602.1.8</vt:lpstr>
      <vt:lpstr>ar602.1.9_1</vt:lpstr>
      <vt:lpstr>ar602.1.9_2</vt:lpstr>
      <vt:lpstr>ar602.1.9_3</vt:lpstr>
      <vt:lpstr>ar602.1.9_4</vt:lpstr>
      <vt:lpstr>ar602.1.9_5</vt:lpstr>
      <vt:lpstr>ar602.1.9_6</vt:lpstr>
      <vt:lpstr>ar602.1.9_7</vt:lpstr>
      <vt:lpstr>ar602.2</vt:lpstr>
      <vt:lpstr>ar602.3</vt:lpstr>
      <vt:lpstr>ar602.4.1</vt:lpstr>
      <vt:lpstr>ar602.4.2</vt:lpstr>
      <vt:lpstr>ar602.4.3</vt:lpstr>
      <vt:lpstr>ar603.1</vt:lpstr>
      <vt:lpstr>ar603.2</vt:lpstr>
      <vt:lpstr>ar603.3</vt:lpstr>
      <vt:lpstr>ar604.1.1</vt:lpstr>
      <vt:lpstr>ar604.1.2</vt:lpstr>
      <vt:lpstr>ar605.1</vt:lpstr>
      <vt:lpstr>ar605.2</vt:lpstr>
      <vt:lpstr>ar605.3</vt:lpstr>
      <vt:lpstr>ar606.1</vt:lpstr>
      <vt:lpstr>ar606.2_1</vt:lpstr>
      <vt:lpstr>ar606.2_2</vt:lpstr>
      <vt:lpstr>ar606.3</vt:lpstr>
      <vt:lpstr>ar607.1_1</vt:lpstr>
      <vt:lpstr>ar607.1_2</vt:lpstr>
      <vt:lpstr>ar607.2</vt:lpstr>
      <vt:lpstr>ar608.1</vt:lpstr>
      <vt:lpstr>ar609.1</vt:lpstr>
      <vt:lpstr>ar610.1</vt:lpstr>
      <vt:lpstr>ar610.1.1</vt:lpstr>
      <vt:lpstr>ar610.1.2</vt:lpstr>
      <vt:lpstr>ar610.1.2.1</vt:lpstr>
      <vt:lpstr>ar610.1.2.1With4ImpactMeasures</vt:lpstr>
      <vt:lpstr>ar610.1.2.1With5ImpactMeasures</vt:lpstr>
      <vt:lpstr>ar610.1.2.2</vt:lpstr>
      <vt:lpstr>ar610.1.2.2floors</vt:lpstr>
      <vt:lpstr>ar610.1.2.2intwalls</vt:lpstr>
      <vt:lpstr>ar610.1.2.2roof</vt:lpstr>
      <vt:lpstr>ar610.1.2.2walls</vt:lpstr>
      <vt:lpstr>ar6101.2.2</vt:lpstr>
      <vt:lpstr>ar611.1</vt:lpstr>
      <vt:lpstr>ar611.2</vt:lpstr>
      <vt:lpstr>ar611.2_1</vt:lpstr>
      <vt:lpstr>ar611.2_2</vt:lpstr>
      <vt:lpstr>ar611.2_3</vt:lpstr>
      <vt:lpstr>ar611.2_4</vt:lpstr>
      <vt:lpstr>ar611.2_5</vt:lpstr>
      <vt:lpstr>ar611.2_6</vt:lpstr>
      <vt:lpstr>ar611.2_7</vt:lpstr>
      <vt:lpstr>ar611.3</vt:lpstr>
      <vt:lpstr>ar611.3_1</vt:lpstr>
      <vt:lpstr>ar611.3_2</vt:lpstr>
      <vt:lpstr>ar611.3_3</vt:lpstr>
      <vt:lpstr>ar611.3_4</vt:lpstr>
      <vt:lpstr>ar701.1</vt:lpstr>
      <vt:lpstr>ar701.1.3</vt:lpstr>
      <vt:lpstr>ar701.3</vt:lpstr>
      <vt:lpstr>ar701.4.1.1</vt:lpstr>
      <vt:lpstr>ar701.4.1.2</vt:lpstr>
      <vt:lpstr>ar701.4.2.1</vt:lpstr>
      <vt:lpstr>ar701.4.2.2</vt:lpstr>
      <vt:lpstr>ar701.4.2.3</vt:lpstr>
      <vt:lpstr>ar701.4.3.1</vt:lpstr>
      <vt:lpstr>ar701.4.3.2</vt:lpstr>
      <vt:lpstr>ar701.4.3.2_1and2</vt:lpstr>
      <vt:lpstr>ar701.4.3.2_3</vt:lpstr>
      <vt:lpstr>ar701.4.3.2_4</vt:lpstr>
      <vt:lpstr>ar701.4.3.2Grade3</vt:lpstr>
      <vt:lpstr>ar701.4.4</vt:lpstr>
      <vt:lpstr>ar701.4.5</vt:lpstr>
      <vt:lpstr>ar702.2.1</vt:lpstr>
      <vt:lpstr>ar702.2.2</vt:lpstr>
      <vt:lpstr>ar703.1.1</vt:lpstr>
      <vt:lpstr>ar703.1.2</vt:lpstr>
      <vt:lpstr>ar703.1.3</vt:lpstr>
      <vt:lpstr>ar703.1.4</vt:lpstr>
      <vt:lpstr>ar703.1.5</vt:lpstr>
      <vt:lpstr>ar703.1.6.1</vt:lpstr>
      <vt:lpstr>ar703.1.6.2</vt:lpstr>
      <vt:lpstr>ar703.2.1</vt:lpstr>
      <vt:lpstr>ar703.3.1</vt:lpstr>
      <vt:lpstr>ar703.3.2</vt:lpstr>
      <vt:lpstr>ar703.3.3</vt:lpstr>
      <vt:lpstr>ar703.3.4</vt:lpstr>
      <vt:lpstr>ar703.4.1</vt:lpstr>
      <vt:lpstr>ar703.4.2</vt:lpstr>
      <vt:lpstr>ar703.4.3</vt:lpstr>
      <vt:lpstr>ar703.4.4</vt:lpstr>
      <vt:lpstr>ar703.6.1</vt:lpstr>
      <vt:lpstr>ar703.6.3_1</vt:lpstr>
      <vt:lpstr>ar703.6.3_2</vt:lpstr>
      <vt:lpstr>ar703.6.3_3</vt:lpstr>
      <vt:lpstr>ar703.6.3_4</vt:lpstr>
      <vt:lpstr>ar703.6.3_5</vt:lpstr>
      <vt:lpstr>ar703.6.3_6</vt:lpstr>
      <vt:lpstr>ar703.6.4</vt:lpstr>
      <vt:lpstr>ar704.2.2</vt:lpstr>
      <vt:lpstr>ar704.3</vt:lpstr>
      <vt:lpstr>ar704.4.1</vt:lpstr>
      <vt:lpstr>ar704.4.2</vt:lpstr>
      <vt:lpstr>ar704.4.3</vt:lpstr>
      <vt:lpstr>ar704.5.1</vt:lpstr>
      <vt:lpstr>ar704.5.3</vt:lpstr>
      <vt:lpstr>ar705.2._1</vt:lpstr>
      <vt:lpstr>ar705.3ClothesDryer</vt:lpstr>
      <vt:lpstr>ar705.3ClothesWasher</vt:lpstr>
      <vt:lpstr>ar705.3Dishwasher</vt:lpstr>
      <vt:lpstr>ar705.3Freezer</vt:lpstr>
      <vt:lpstr>ar705.3HotWaterHeating</vt:lpstr>
      <vt:lpstr>ar705.3HVAC</vt:lpstr>
      <vt:lpstr>ar705.3Refrigerator</vt:lpstr>
      <vt:lpstr>ar705.3RoomAirConditioner</vt:lpstr>
      <vt:lpstr>ar705.4.2</vt:lpstr>
      <vt:lpstr>ar801.1.1_1thru4a</vt:lpstr>
      <vt:lpstr>ar801.1.1_5</vt:lpstr>
      <vt:lpstr>ar801.1.1_6</vt:lpstr>
      <vt:lpstr>ar901.1.1</vt:lpstr>
      <vt:lpstr>ar901.1.2</vt:lpstr>
      <vt:lpstr>ar901.1.3_1</vt:lpstr>
      <vt:lpstr>ar901.1.3_2</vt:lpstr>
      <vt:lpstr>ar901.1.4</vt:lpstr>
      <vt:lpstr>ar901.1.5</vt:lpstr>
      <vt:lpstr>ar901.1.6</vt:lpstr>
      <vt:lpstr>ar901.11</vt:lpstr>
      <vt:lpstr>ar901.2.1_1</vt:lpstr>
      <vt:lpstr>ar901.2.1_2</vt:lpstr>
      <vt:lpstr>ar901.2.1_3</vt:lpstr>
      <vt:lpstr>ar901.2.1_4</vt:lpstr>
      <vt:lpstr>ar901.2.1_5</vt:lpstr>
      <vt:lpstr>ar901.2.2</vt:lpstr>
      <vt:lpstr>ar901.3_2</vt:lpstr>
      <vt:lpstr>ar901.4_1</vt:lpstr>
      <vt:lpstr>ar901.4_2thru6</vt:lpstr>
      <vt:lpstr>ar901.4_6CompositeTrim</vt:lpstr>
      <vt:lpstr>ar901.4_6Countertops</vt:lpstr>
      <vt:lpstr>ar901.4_6CustomWoodwork</vt:lpstr>
      <vt:lpstr>ar901.4_6Shelving</vt:lpstr>
      <vt:lpstr>ar901.5</vt:lpstr>
      <vt:lpstr>ar902.2.1</vt:lpstr>
      <vt:lpstr>ar902.3_1</vt:lpstr>
      <vt:lpstr>ar902.3_1a</vt:lpstr>
      <vt:lpstr>ar902.3_1b</vt:lpstr>
      <vt:lpstr>ar902.3_2a</vt:lpstr>
      <vt:lpstr>ar902.4_1</vt:lpstr>
      <vt:lpstr>ar902.5</vt:lpstr>
      <vt:lpstr>ar902.6</vt:lpstr>
      <vt:lpstr>ar903.1.1</vt:lpstr>
      <vt:lpstr>ar903.1.2</vt:lpstr>
      <vt:lpstr>ar903.2</vt:lpstr>
      <vt:lpstr>BatchProcessingFinalAddress01</vt:lpstr>
      <vt:lpstr>BatchProcessingFinalAddress02</vt:lpstr>
      <vt:lpstr>BatchProcessingFinalAddress03</vt:lpstr>
      <vt:lpstr>BatchProcessingFinalAddress04</vt:lpstr>
      <vt:lpstr>BatchProcessingFinalAddress05</vt:lpstr>
      <vt:lpstr>BatchProcessingFinalAddress06</vt:lpstr>
      <vt:lpstr>BatchProcessingFinalAddress07</vt:lpstr>
      <vt:lpstr>BatchProcessingFinalAddress08</vt:lpstr>
      <vt:lpstr>BatchProcessingFinalAddress09</vt:lpstr>
      <vt:lpstr>BatchProcessingFinalAddress10</vt:lpstr>
      <vt:lpstr>BatchProcessingFinalAddress11</vt:lpstr>
      <vt:lpstr>BatchProcessingFinalAddress12</vt:lpstr>
      <vt:lpstr>BatchProcessingFinalAddress13</vt:lpstr>
      <vt:lpstr>BatchProcessingFinalAddress14</vt:lpstr>
      <vt:lpstr>BatchProcessingFinalAddress15</vt:lpstr>
      <vt:lpstr>BatchProcessingFinalAddress16</vt:lpstr>
      <vt:lpstr>BatchProcessingFinalAddress17</vt:lpstr>
      <vt:lpstr>BatchProcessingFinalAddress18</vt:lpstr>
      <vt:lpstr>BatchProcessingFinalAddress19</vt:lpstr>
      <vt:lpstr>BatchProcessingFinalAddress20</vt:lpstr>
      <vt:lpstr>BatchProcessingFinalSignature</vt:lpstr>
      <vt:lpstr>BatchProcessingInput</vt:lpstr>
      <vt:lpstr>BatchProcessingProjectID01</vt:lpstr>
      <vt:lpstr>BatchProcessingProjectID02</vt:lpstr>
      <vt:lpstr>BatchProcessingProjectID03</vt:lpstr>
      <vt:lpstr>BatchProcessingProjectID04</vt:lpstr>
      <vt:lpstr>BatchProcessingProjectID05</vt:lpstr>
      <vt:lpstr>BatchProcessingProjectID06</vt:lpstr>
      <vt:lpstr>BatchProcessingProjectID07</vt:lpstr>
      <vt:lpstr>BatchProcessingProjectID08</vt:lpstr>
      <vt:lpstr>BatchProcessingProjectID09</vt:lpstr>
      <vt:lpstr>BatchProcessingProjectID10</vt:lpstr>
      <vt:lpstr>BatchProcessingProjectID11</vt:lpstr>
      <vt:lpstr>BatchProcessingProjectID12</vt:lpstr>
      <vt:lpstr>BatchProcessingProjectID13</vt:lpstr>
      <vt:lpstr>BatchProcessingProjectID14</vt:lpstr>
      <vt:lpstr>BatchProcessingProjectID15</vt:lpstr>
      <vt:lpstr>BatchProcessingProjectID16</vt:lpstr>
      <vt:lpstr>BatchProcessingProjectID17</vt:lpstr>
      <vt:lpstr>BatchProcessingProjectID18</vt:lpstr>
      <vt:lpstr>BatchProcessingProjectID19</vt:lpstr>
      <vt:lpstr>BatchProcessingProjectID20</vt:lpstr>
      <vt:lpstr>BatchProcessingQuestion</vt:lpstr>
      <vt:lpstr>BatchProcessingRegistrationCity</vt:lpstr>
      <vt:lpstr>BatchProcessingRegistrationState</vt:lpstr>
      <vt:lpstr>BatchProcessingRegistrationZip</vt:lpstr>
      <vt:lpstr>BatchProcessingRoughAddress01</vt:lpstr>
      <vt:lpstr>BatchProcessingRoughAddress02</vt:lpstr>
      <vt:lpstr>BatchProcessingRoughAddress03</vt:lpstr>
      <vt:lpstr>BatchProcessingRoughAddress04</vt:lpstr>
      <vt:lpstr>BatchProcessingRoughAddress05</vt:lpstr>
      <vt:lpstr>BatchProcessingRoughAddress06</vt:lpstr>
      <vt:lpstr>BatchProcessingRoughAddress07</vt:lpstr>
      <vt:lpstr>BatchProcessingRoughAddress08</vt:lpstr>
      <vt:lpstr>BatchProcessingRoughAddress09</vt:lpstr>
      <vt:lpstr>BatchProcessingRoughAddress10</vt:lpstr>
      <vt:lpstr>BatchProcessingRoughAddress11</vt:lpstr>
      <vt:lpstr>BatchProcessingRoughAddress12</vt:lpstr>
      <vt:lpstr>BatchProcessingRoughAddress13</vt:lpstr>
      <vt:lpstr>BatchProcessingRoughAddress14</vt:lpstr>
      <vt:lpstr>BatchProcessingRoughAddress15</vt:lpstr>
      <vt:lpstr>BatchProcessingRoughAddress16</vt:lpstr>
      <vt:lpstr>BatchProcessingRoughAddress17</vt:lpstr>
      <vt:lpstr>BatchProcessingRoughAddress18</vt:lpstr>
      <vt:lpstr>BatchProcessingRoughAddress19</vt:lpstr>
      <vt:lpstr>BatchProcessingRoughAddress20</vt:lpstr>
      <vt:lpstr>BatchProcessingRoughSignature</vt:lpstr>
      <vt:lpstr>BldgType</vt:lpstr>
      <vt:lpstr>bronzeMinimum</vt:lpstr>
      <vt:lpstr>BuilderName</vt:lpstr>
      <vt:lpstr>BuilderNameSIg</vt:lpstr>
      <vt:lpstr>BuilderSignature</vt:lpstr>
      <vt:lpstr>CertificationLevel</vt:lpstr>
      <vt:lpstr>ch10BronzeMin</vt:lpstr>
      <vt:lpstr>ch10EmeraldMin</vt:lpstr>
      <vt:lpstr>ch10GoldMin</vt:lpstr>
      <vt:lpstr>ch10Level</vt:lpstr>
      <vt:lpstr>ch10SilverMin</vt:lpstr>
      <vt:lpstr>ch10TotalScore</vt:lpstr>
      <vt:lpstr>ch5BronzeMin</vt:lpstr>
      <vt:lpstr>ch5EmeraldMin</vt:lpstr>
      <vt:lpstr>ch5GoldMin</vt:lpstr>
      <vt:lpstr>ch5Level</vt:lpstr>
      <vt:lpstr>ch5SilverMin</vt:lpstr>
      <vt:lpstr>ch5Total</vt:lpstr>
      <vt:lpstr>ch5TotalScore</vt:lpstr>
      <vt:lpstr>ch6BronzeMin</vt:lpstr>
      <vt:lpstr>ch6EmeraldMin</vt:lpstr>
      <vt:lpstr>ch6GoldMin</vt:lpstr>
      <vt:lpstr>ch6Level</vt:lpstr>
      <vt:lpstr>ch6Mandatory</vt:lpstr>
      <vt:lpstr>ch6MandatoryCount</vt:lpstr>
      <vt:lpstr>ch6SilverMin</vt:lpstr>
      <vt:lpstr>ch6Total</vt:lpstr>
      <vt:lpstr>ch6TotalScore</vt:lpstr>
      <vt:lpstr>ch7ACH50</vt:lpstr>
      <vt:lpstr>ch7blowerdoor</vt:lpstr>
      <vt:lpstr>ch7BronzeMin</vt:lpstr>
      <vt:lpstr>ch7EmeraldMin</vt:lpstr>
      <vt:lpstr>ch7GoldMin</vt:lpstr>
      <vt:lpstr>ch7Level</vt:lpstr>
      <vt:lpstr>ch7Mandatory</vt:lpstr>
      <vt:lpstr>ch7SilverMin</vt:lpstr>
      <vt:lpstr>ch7TotalScore</vt:lpstr>
      <vt:lpstr>ch801.1</vt:lpstr>
      <vt:lpstr>ch8BronzeMin</vt:lpstr>
      <vt:lpstr>ch8EmeraldMin</vt:lpstr>
      <vt:lpstr>ch8GoldMin</vt:lpstr>
      <vt:lpstr>ch8Level</vt:lpstr>
      <vt:lpstr>ch8SilverMin</vt:lpstr>
      <vt:lpstr>ch8TotalScore</vt:lpstr>
      <vt:lpstr>ch9BronzeMin</vt:lpstr>
      <vt:lpstr>ch9EmeraldMin</vt:lpstr>
      <vt:lpstr>ch9GoldMin</vt:lpstr>
      <vt:lpstr>ch9Level</vt:lpstr>
      <vt:lpstr>ch9MandatoryCount</vt:lpstr>
      <vt:lpstr>ch9SilverMin</vt:lpstr>
      <vt:lpstr>ch9TotalScore</vt:lpstr>
      <vt:lpstr>choice1001.1_1</vt:lpstr>
      <vt:lpstr>choice1001.1_10</vt:lpstr>
      <vt:lpstr>choice1001.1_11</vt:lpstr>
      <vt:lpstr>choice1001.1_12</vt:lpstr>
      <vt:lpstr>choice1001.1_13</vt:lpstr>
      <vt:lpstr>choice1001.1_14</vt:lpstr>
      <vt:lpstr>choice1001.1_15</vt:lpstr>
      <vt:lpstr>choice1001.1_16</vt:lpstr>
      <vt:lpstr>choice1001.1_17</vt:lpstr>
      <vt:lpstr>choice1001.1_18</vt:lpstr>
      <vt:lpstr>choice1001.1_19</vt:lpstr>
      <vt:lpstr>choice1001.1_2</vt:lpstr>
      <vt:lpstr>choice1001.1_20</vt:lpstr>
      <vt:lpstr>choice1001.1_21</vt:lpstr>
      <vt:lpstr>choice1001.1_3</vt:lpstr>
      <vt:lpstr>choice1001.1_4</vt:lpstr>
      <vt:lpstr>choice1001.1_5</vt:lpstr>
      <vt:lpstr>choice1001.1_6</vt:lpstr>
      <vt:lpstr>choice1001.1_7</vt:lpstr>
      <vt:lpstr>choice1001.1_8</vt:lpstr>
      <vt:lpstr>choice1001.1_9</vt:lpstr>
      <vt:lpstr>choice1003.1_1</vt:lpstr>
      <vt:lpstr>choice1003.1_2</vt:lpstr>
      <vt:lpstr>choice1003.1_3</vt:lpstr>
      <vt:lpstr>choice1003.1_4</vt:lpstr>
      <vt:lpstr>choice1003.1_5</vt:lpstr>
      <vt:lpstr>choice1003.1_6</vt:lpstr>
      <vt:lpstr>choice1003.1_7</vt:lpstr>
      <vt:lpstr>choice1003.1_8</vt:lpstr>
      <vt:lpstr>choice1003.2_1</vt:lpstr>
      <vt:lpstr>choice1003.2_10</vt:lpstr>
      <vt:lpstr>choice1003.2_2</vt:lpstr>
      <vt:lpstr>choice1003.2_3</vt:lpstr>
      <vt:lpstr>choice1003.2_4</vt:lpstr>
      <vt:lpstr>choice1003.2_5</vt:lpstr>
      <vt:lpstr>choice1003.2_6</vt:lpstr>
      <vt:lpstr>choice1003.2_7</vt:lpstr>
      <vt:lpstr>choice1003.2_8</vt:lpstr>
      <vt:lpstr>choice1003.2_9</vt:lpstr>
      <vt:lpstr>choice1003.3_1</vt:lpstr>
      <vt:lpstr>choice1003.3_2</vt:lpstr>
      <vt:lpstr>choice1003.3_3</vt:lpstr>
      <vt:lpstr>choice1003.3_4</vt:lpstr>
      <vt:lpstr>choice1003.3_5</vt:lpstr>
      <vt:lpstr>choice1003.3_6</vt:lpstr>
      <vt:lpstr>choice1003.3_7</vt:lpstr>
      <vt:lpstr>choice1003.3_8</vt:lpstr>
      <vt:lpstr>choice1003.3_9</vt:lpstr>
      <vt:lpstr>choice503.2_3</vt:lpstr>
      <vt:lpstr>choice503.4_3</vt:lpstr>
      <vt:lpstr>choice503.5_3</vt:lpstr>
      <vt:lpstr>choice503.5_type</vt:lpstr>
      <vt:lpstr>choice505.1_3</vt:lpstr>
      <vt:lpstr>choice505.3</vt:lpstr>
      <vt:lpstr>choice601.6</vt:lpstr>
      <vt:lpstr>choice601.7_1</vt:lpstr>
      <vt:lpstr>choice601.7_2</vt:lpstr>
      <vt:lpstr>choice601.7_3</vt:lpstr>
      <vt:lpstr>choice602.1.10</vt:lpstr>
      <vt:lpstr>choice602.1.14_3</vt:lpstr>
      <vt:lpstr>choice602.1.2</vt:lpstr>
      <vt:lpstr>choice602.1.6</vt:lpstr>
      <vt:lpstr>choice602.1.7.1_2</vt:lpstr>
      <vt:lpstr>choice602.1.9_5</vt:lpstr>
      <vt:lpstr>choice602.2</vt:lpstr>
      <vt:lpstr>choice603.1</vt:lpstr>
      <vt:lpstr>choice603.2</vt:lpstr>
      <vt:lpstr>choice604.1.1</vt:lpstr>
      <vt:lpstr>choice604.1.2</vt:lpstr>
      <vt:lpstr>choice605.3</vt:lpstr>
      <vt:lpstr>choice606.3</vt:lpstr>
      <vt:lpstr>choice608.1</vt:lpstr>
      <vt:lpstr>choice609.1</vt:lpstr>
      <vt:lpstr>choice610.1.2_2</vt:lpstr>
      <vt:lpstr>choice611.1</vt:lpstr>
      <vt:lpstr>choice701.1</vt:lpstr>
      <vt:lpstr>choice701.4.3.2</vt:lpstr>
      <vt:lpstr>choice702.2.2</vt:lpstr>
      <vt:lpstr>choice703.1.1</vt:lpstr>
      <vt:lpstr>choice703.1.2</vt:lpstr>
      <vt:lpstr>choice703.1.3</vt:lpstr>
      <vt:lpstr>choice703.1.5</vt:lpstr>
      <vt:lpstr>choice703.1.6.2</vt:lpstr>
      <vt:lpstr>choice703.2.2step1</vt:lpstr>
      <vt:lpstr>choice703.2.2step2</vt:lpstr>
      <vt:lpstr>choice703.2.3</vt:lpstr>
      <vt:lpstr>choice703.2.4</vt:lpstr>
      <vt:lpstr>choice703.2.6</vt:lpstr>
      <vt:lpstr>choice703.3.4</vt:lpstr>
      <vt:lpstr>choice703.4.1step1</vt:lpstr>
      <vt:lpstr>choice703.4.1step2</vt:lpstr>
      <vt:lpstr>choice703.4.5</vt:lpstr>
      <vt:lpstr>choice703.5.1</vt:lpstr>
      <vt:lpstr>choice704.2.1</vt:lpstr>
      <vt:lpstr>choice705.2_2</vt:lpstr>
      <vt:lpstr>choice705.3_1</vt:lpstr>
      <vt:lpstr>choice705.3_2</vt:lpstr>
      <vt:lpstr>choice705.3_3</vt:lpstr>
      <vt:lpstr>choice705.3_4</vt:lpstr>
      <vt:lpstr>choice705.3_5</vt:lpstr>
      <vt:lpstr>choice705.3_6</vt:lpstr>
      <vt:lpstr>choice705.3_7</vt:lpstr>
      <vt:lpstr>choice705.3_8</vt:lpstr>
      <vt:lpstr>choice801.1.1_1thru4a</vt:lpstr>
      <vt:lpstr>choice801.2_2</vt:lpstr>
      <vt:lpstr>choice801.3_1</vt:lpstr>
      <vt:lpstr>choice801.3_2</vt:lpstr>
      <vt:lpstr>choice801.3_3</vt:lpstr>
      <vt:lpstr>choice801.4.1_1</vt:lpstr>
      <vt:lpstr>choice801.4.2</vt:lpstr>
      <vt:lpstr>choice801.5_2</vt:lpstr>
      <vt:lpstr>choice801.5_3a</vt:lpstr>
      <vt:lpstr>choice801.7.1</vt:lpstr>
      <vt:lpstr>choice801.7.2</vt:lpstr>
      <vt:lpstr>choice802.1</vt:lpstr>
      <vt:lpstr>choice802.2</vt:lpstr>
      <vt:lpstr>choice901.1.3_1</vt:lpstr>
      <vt:lpstr>choice901.1.3_2</vt:lpstr>
      <vt:lpstr>choice901.1.6</vt:lpstr>
      <vt:lpstr>choice901.10</vt:lpstr>
      <vt:lpstr>choice901.13</vt:lpstr>
      <vt:lpstr>choice901.2.1_1</vt:lpstr>
      <vt:lpstr>choice901.2.1_2</vt:lpstr>
      <vt:lpstr>choice901.2.1_3</vt:lpstr>
      <vt:lpstr>choice901.2.1_4</vt:lpstr>
      <vt:lpstr>choice901.2.1_5</vt:lpstr>
      <vt:lpstr>choice901.3_1_a</vt:lpstr>
      <vt:lpstr>choice901.3_1_b</vt:lpstr>
      <vt:lpstr>choice901.5</vt:lpstr>
      <vt:lpstr>choice902.1.1_1</vt:lpstr>
      <vt:lpstr>choice902.1.2</vt:lpstr>
      <vt:lpstr>choice902.1.4_1</vt:lpstr>
      <vt:lpstr>choice902.1.4_2</vt:lpstr>
      <vt:lpstr>choice902.2.1</vt:lpstr>
      <vt:lpstr>choice902.4</vt:lpstr>
      <vt:lpstr>choice903.1</vt:lpstr>
      <vt:lpstr>choice903.2</vt:lpstr>
      <vt:lpstr>choice903.3</vt:lpstr>
      <vt:lpstr>claim1001.1</vt:lpstr>
      <vt:lpstr>claim1001.1_man</vt:lpstr>
      <vt:lpstr>claim1002.1</vt:lpstr>
      <vt:lpstr>claim1003.1</vt:lpstr>
      <vt:lpstr>claim1003.1_man</vt:lpstr>
      <vt:lpstr>claim1003.2</vt:lpstr>
      <vt:lpstr>claim1003.2_man</vt:lpstr>
      <vt:lpstr>claim1003.3</vt:lpstr>
      <vt:lpstr>claim1003.3_man</vt:lpstr>
      <vt:lpstr>claim501.1_1</vt:lpstr>
      <vt:lpstr>claim501.1_2</vt:lpstr>
      <vt:lpstr>claim501.1_3</vt:lpstr>
      <vt:lpstr>claim501.1_4</vt:lpstr>
      <vt:lpstr>claim501.1_5</vt:lpstr>
      <vt:lpstr>claim501.2_1</vt:lpstr>
      <vt:lpstr>claim501.2_2</vt:lpstr>
      <vt:lpstr>claim501.2_3</vt:lpstr>
      <vt:lpstr>claim501.2_4</vt:lpstr>
      <vt:lpstr>claim502.1</vt:lpstr>
      <vt:lpstr>claim503.1_1</vt:lpstr>
      <vt:lpstr>claim503.1_2</vt:lpstr>
      <vt:lpstr>claim503.1_3</vt:lpstr>
      <vt:lpstr>claim503.1_4</vt:lpstr>
      <vt:lpstr>claim503.1_5</vt:lpstr>
      <vt:lpstr>claim503.1_6</vt:lpstr>
      <vt:lpstr>claim503.1_7</vt:lpstr>
      <vt:lpstr>claim503.2_1</vt:lpstr>
      <vt:lpstr>claim503.2_2</vt:lpstr>
      <vt:lpstr>claim503.2_3</vt:lpstr>
      <vt:lpstr>claim503.2_4</vt:lpstr>
      <vt:lpstr>claim503.2_5</vt:lpstr>
      <vt:lpstr>claim503.3_1</vt:lpstr>
      <vt:lpstr>claim503.3_2</vt:lpstr>
      <vt:lpstr>claim503.3_3</vt:lpstr>
      <vt:lpstr>claim503.4_1</vt:lpstr>
      <vt:lpstr>claim503.4_2</vt:lpstr>
      <vt:lpstr>claim503.4_3</vt:lpstr>
      <vt:lpstr>claim503.4_4</vt:lpstr>
      <vt:lpstr>claim503.4_5</vt:lpstr>
      <vt:lpstr>claim503.4_6</vt:lpstr>
      <vt:lpstr>claim503.5_1</vt:lpstr>
      <vt:lpstr>claim503.5_2</vt:lpstr>
      <vt:lpstr>claim503.5_3</vt:lpstr>
      <vt:lpstr>claim503.5_4</vt:lpstr>
      <vt:lpstr>claim503.5_5</vt:lpstr>
      <vt:lpstr>claim503.5_6</vt:lpstr>
      <vt:lpstr>claim503.5_7</vt:lpstr>
      <vt:lpstr>claim503.5_8</vt:lpstr>
      <vt:lpstr>claim503.6_1</vt:lpstr>
      <vt:lpstr>claim503.6_2</vt:lpstr>
      <vt:lpstr>claim503.6_3</vt:lpstr>
      <vt:lpstr>claim503.6_4</vt:lpstr>
      <vt:lpstr>claim503.7_1</vt:lpstr>
      <vt:lpstr>claim503.7_2</vt:lpstr>
      <vt:lpstr>claim504.1</vt:lpstr>
      <vt:lpstr>claim504.2_1</vt:lpstr>
      <vt:lpstr>claim504.2_2</vt:lpstr>
      <vt:lpstr>claim504.2_3</vt:lpstr>
      <vt:lpstr>claim504.3_1</vt:lpstr>
      <vt:lpstr>claim504.3_2</vt:lpstr>
      <vt:lpstr>claim504.3_3</vt:lpstr>
      <vt:lpstr>claim504.3_4</vt:lpstr>
      <vt:lpstr>claim504.3_5</vt:lpstr>
      <vt:lpstr>claim504.3_6</vt:lpstr>
      <vt:lpstr>claim504.3_7</vt:lpstr>
      <vt:lpstr>claim504.3_8</vt:lpstr>
      <vt:lpstr>claim504.3_9</vt:lpstr>
      <vt:lpstr>claim505.1_1</vt:lpstr>
      <vt:lpstr>claim505.1_2</vt:lpstr>
      <vt:lpstr>claim505.1_3</vt:lpstr>
      <vt:lpstr>claim505.2_1</vt:lpstr>
      <vt:lpstr>claim505.2_2</vt:lpstr>
      <vt:lpstr>claim505.3</vt:lpstr>
      <vt:lpstr>claim505.4</vt:lpstr>
      <vt:lpstr>claim505.5</vt:lpstr>
      <vt:lpstr>claim601.1</vt:lpstr>
      <vt:lpstr>claim601.2_1</vt:lpstr>
      <vt:lpstr>claim601.2_2</vt:lpstr>
      <vt:lpstr>claim601.2_3</vt:lpstr>
      <vt:lpstr>claim601.3_1</vt:lpstr>
      <vt:lpstr>claim601.3_2</vt:lpstr>
      <vt:lpstr>claim601.3_3</vt:lpstr>
      <vt:lpstr>claim601.3_4</vt:lpstr>
      <vt:lpstr>claim601.3_5</vt:lpstr>
      <vt:lpstr>claim601.4</vt:lpstr>
      <vt:lpstr>claim601.5_1</vt:lpstr>
      <vt:lpstr>claim601.5_2</vt:lpstr>
      <vt:lpstr>claim601.5_3</vt:lpstr>
      <vt:lpstr>claim601.5_4</vt:lpstr>
      <vt:lpstr>claim601.5_5</vt:lpstr>
      <vt:lpstr>claim601.6</vt:lpstr>
      <vt:lpstr>claim601.7</vt:lpstr>
      <vt:lpstr>claim601.8</vt:lpstr>
      <vt:lpstr>claim601.9</vt:lpstr>
      <vt:lpstr>claim602.1.1.1</vt:lpstr>
      <vt:lpstr>claim602.1.1.2</vt:lpstr>
      <vt:lpstr>claim602.1.10</vt:lpstr>
      <vt:lpstr>claim602.1.11</vt:lpstr>
      <vt:lpstr>claim602.1.12</vt:lpstr>
      <vt:lpstr>claim602.1.13</vt:lpstr>
      <vt:lpstr>claim602.1.14_1</vt:lpstr>
      <vt:lpstr>claim602.1.14_2</vt:lpstr>
      <vt:lpstr>claim602.1.14_3</vt:lpstr>
      <vt:lpstr>claim602.1.2</vt:lpstr>
      <vt:lpstr>claim602.1.3.1</vt:lpstr>
      <vt:lpstr>claim602.1.3.2</vt:lpstr>
      <vt:lpstr>claim602.1.4.1</vt:lpstr>
      <vt:lpstr>claim602.1.4.1_2</vt:lpstr>
      <vt:lpstr>claim602.1.4.2_1</vt:lpstr>
      <vt:lpstr>claim602.1.4.2_2</vt:lpstr>
      <vt:lpstr>claim602.1.5</vt:lpstr>
      <vt:lpstr>claim602.1.6</vt:lpstr>
      <vt:lpstr>claim602.1.7.1_1</vt:lpstr>
      <vt:lpstr>claim602.1.7.1_2</vt:lpstr>
      <vt:lpstr>claim602.1.7.1_3</vt:lpstr>
      <vt:lpstr>claim602.1.7.2</vt:lpstr>
      <vt:lpstr>claim602.1.8</vt:lpstr>
      <vt:lpstr>claim602.1.9_1</vt:lpstr>
      <vt:lpstr>claim602.1.9_2</vt:lpstr>
      <vt:lpstr>claim602.1.9_3</vt:lpstr>
      <vt:lpstr>claim602.1.9_4</vt:lpstr>
      <vt:lpstr>claim602.1.9_5</vt:lpstr>
      <vt:lpstr>claim602.1.9_6</vt:lpstr>
      <vt:lpstr>claim602.1.9_7</vt:lpstr>
      <vt:lpstr>claim602.2</vt:lpstr>
      <vt:lpstr>claim602.3</vt:lpstr>
      <vt:lpstr>claim602.4.1</vt:lpstr>
      <vt:lpstr>claim602.4.2</vt:lpstr>
      <vt:lpstr>claim602.4.3</vt:lpstr>
      <vt:lpstr>claim603.1</vt:lpstr>
      <vt:lpstr>claim603.2</vt:lpstr>
      <vt:lpstr>claim603.3</vt:lpstr>
      <vt:lpstr>claim604.1.1</vt:lpstr>
      <vt:lpstr>claim604.1.2</vt:lpstr>
      <vt:lpstr>claim605.1</vt:lpstr>
      <vt:lpstr>claim605.2</vt:lpstr>
      <vt:lpstr>claim605.3</vt:lpstr>
      <vt:lpstr>claim606.1</vt:lpstr>
      <vt:lpstr>claim606.1_1</vt:lpstr>
      <vt:lpstr>claim606.1_2</vt:lpstr>
      <vt:lpstr>claim606.1_3</vt:lpstr>
      <vt:lpstr>claim606.2_1</vt:lpstr>
      <vt:lpstr>claim606.2_2</vt:lpstr>
      <vt:lpstr>claim606.3</vt:lpstr>
      <vt:lpstr>claim607.1_1</vt:lpstr>
      <vt:lpstr>claim607.1_2</vt:lpstr>
      <vt:lpstr>claim607.2</vt:lpstr>
      <vt:lpstr>claim608.1</vt:lpstr>
      <vt:lpstr>claim609.1</vt:lpstr>
      <vt:lpstr>claim610.1</vt:lpstr>
      <vt:lpstr>claim610.1.1</vt:lpstr>
      <vt:lpstr>claim610.1.2</vt:lpstr>
      <vt:lpstr>claim610.1.2_1</vt:lpstr>
      <vt:lpstr>claim611.1</vt:lpstr>
      <vt:lpstr>claim611.2</vt:lpstr>
      <vt:lpstr>claim611.2_1</vt:lpstr>
      <vt:lpstr>claim611.2_2</vt:lpstr>
      <vt:lpstr>claim611.2_3</vt:lpstr>
      <vt:lpstr>claim611.2_4</vt:lpstr>
      <vt:lpstr>claim611.2_5</vt:lpstr>
      <vt:lpstr>claim611.2_6</vt:lpstr>
      <vt:lpstr>claim611.2_7</vt:lpstr>
      <vt:lpstr>claim611.3_1</vt:lpstr>
      <vt:lpstr>claim611.3_2</vt:lpstr>
      <vt:lpstr>claim611.3_3</vt:lpstr>
      <vt:lpstr>claim611.3_4</vt:lpstr>
      <vt:lpstr>claim701.1</vt:lpstr>
      <vt:lpstr>claim701.3</vt:lpstr>
      <vt:lpstr>claim701.4.1.1</vt:lpstr>
      <vt:lpstr>claim701.4.1.2</vt:lpstr>
      <vt:lpstr>claim701.4.2.1</vt:lpstr>
      <vt:lpstr>claim701.4.2.2</vt:lpstr>
      <vt:lpstr>claim701.4.2.3</vt:lpstr>
      <vt:lpstr>claim701.4.3.1</vt:lpstr>
      <vt:lpstr>claim701.4.3.2</vt:lpstr>
      <vt:lpstr>claim701.4.3.3</vt:lpstr>
      <vt:lpstr>claim701.4.3.4</vt:lpstr>
      <vt:lpstr>claim701.4.4</vt:lpstr>
      <vt:lpstr>claim701.4.5</vt:lpstr>
      <vt:lpstr>claim702.2.1</vt:lpstr>
      <vt:lpstr>claim702.2.2</vt:lpstr>
      <vt:lpstr>claim703.1.1</vt:lpstr>
      <vt:lpstr>claim703.1.2</vt:lpstr>
      <vt:lpstr>claim703.1.3</vt:lpstr>
      <vt:lpstr>claim703.1.4</vt:lpstr>
      <vt:lpstr>claim703.1.5</vt:lpstr>
      <vt:lpstr>claim703.1.6.1</vt:lpstr>
      <vt:lpstr>claim703.1.6.2</vt:lpstr>
      <vt:lpstr>claim703.2.1</vt:lpstr>
      <vt:lpstr>claim703.2.2</vt:lpstr>
      <vt:lpstr>claim703.2.3</vt:lpstr>
      <vt:lpstr>claim703.2.4</vt:lpstr>
      <vt:lpstr>claim703.2.5</vt:lpstr>
      <vt:lpstr>claim703.2.6</vt:lpstr>
      <vt:lpstr>claim703.2.7</vt:lpstr>
      <vt:lpstr>claim703.2.8</vt:lpstr>
      <vt:lpstr>claim703.2.9</vt:lpstr>
      <vt:lpstr>claim703.3.1</vt:lpstr>
      <vt:lpstr>claim703.3.2</vt:lpstr>
      <vt:lpstr>claim703.3.3</vt:lpstr>
      <vt:lpstr>claim703.3.4</vt:lpstr>
      <vt:lpstr>claim703.4.1</vt:lpstr>
      <vt:lpstr>claim703.4.2</vt:lpstr>
      <vt:lpstr>claim703.4.3</vt:lpstr>
      <vt:lpstr>claim703.4.4</vt:lpstr>
      <vt:lpstr>claim703.4.5</vt:lpstr>
      <vt:lpstr>claim703.5.1</vt:lpstr>
      <vt:lpstr>claim703.5.1_2</vt:lpstr>
      <vt:lpstr>claim703.5.2</vt:lpstr>
      <vt:lpstr>claim703.5.3_1</vt:lpstr>
      <vt:lpstr>claim703.5.3_2</vt:lpstr>
      <vt:lpstr>claim703.5.3_3</vt:lpstr>
      <vt:lpstr>claim703.5.4</vt:lpstr>
      <vt:lpstr>claim703.6.1</vt:lpstr>
      <vt:lpstr>claim703.6.2</vt:lpstr>
      <vt:lpstr>claim703.6.3_1</vt:lpstr>
      <vt:lpstr>claim703.6.3_2</vt:lpstr>
      <vt:lpstr>claim703.6.3_3</vt:lpstr>
      <vt:lpstr>claim703.6.3_4</vt:lpstr>
      <vt:lpstr>claim703.6.3_5</vt:lpstr>
      <vt:lpstr>claim703.6.3_6</vt:lpstr>
      <vt:lpstr>claim703.6.4</vt:lpstr>
      <vt:lpstr>claim704.2.1</vt:lpstr>
      <vt:lpstr>claim704.2.2</vt:lpstr>
      <vt:lpstr>claim704.2.3</vt:lpstr>
      <vt:lpstr>claim704.3</vt:lpstr>
      <vt:lpstr>claim704.4.1</vt:lpstr>
      <vt:lpstr>claim704.4.2</vt:lpstr>
      <vt:lpstr>claim704.4.3</vt:lpstr>
      <vt:lpstr>claim704.5.1</vt:lpstr>
      <vt:lpstr>claim704.5.2.1_1</vt:lpstr>
      <vt:lpstr>claim704.5.2.1_2</vt:lpstr>
      <vt:lpstr>claim704.5.2.2</vt:lpstr>
      <vt:lpstr>claim704.5.3</vt:lpstr>
      <vt:lpstr>claim705.1</vt:lpstr>
      <vt:lpstr>claim705.1_1</vt:lpstr>
      <vt:lpstr>claim705.1_2</vt:lpstr>
      <vt:lpstr>claim705.1_3</vt:lpstr>
      <vt:lpstr>claim705.2_1</vt:lpstr>
      <vt:lpstr>claim705.2_2</vt:lpstr>
      <vt:lpstr>claim705.3</vt:lpstr>
      <vt:lpstr>claim705.4.1_1</vt:lpstr>
      <vt:lpstr>claim705.4.1_2</vt:lpstr>
      <vt:lpstr>claim705.4.2</vt:lpstr>
      <vt:lpstr>claim705.5</vt:lpstr>
      <vt:lpstr>claim705.6</vt:lpstr>
      <vt:lpstr>claim705.7</vt:lpstr>
      <vt:lpstr>claim801.1.1_1thru4a</vt:lpstr>
      <vt:lpstr>claim801.1.1_5</vt:lpstr>
      <vt:lpstr>claim801.1.1_6</vt:lpstr>
      <vt:lpstr>claim801.2_1</vt:lpstr>
      <vt:lpstr>claim801.2_2</vt:lpstr>
      <vt:lpstr>claim801.3_1</vt:lpstr>
      <vt:lpstr>claim801.3_2</vt:lpstr>
      <vt:lpstr>claim801.3_3</vt:lpstr>
      <vt:lpstr>claim801.4.1_1</vt:lpstr>
      <vt:lpstr>claim801.4.1_2</vt:lpstr>
      <vt:lpstr>claim801.4.2</vt:lpstr>
      <vt:lpstr>claim801.5_1</vt:lpstr>
      <vt:lpstr>claim801.5_2</vt:lpstr>
      <vt:lpstr>claim801.5_3</vt:lpstr>
      <vt:lpstr>claim801.5_3a</vt:lpstr>
      <vt:lpstr>claim801.5_3b</vt:lpstr>
      <vt:lpstr>claim801.5_3c</vt:lpstr>
      <vt:lpstr>claim801.6.1</vt:lpstr>
      <vt:lpstr>claim801.6.2_1</vt:lpstr>
      <vt:lpstr>claim801.6.2_2</vt:lpstr>
      <vt:lpstr>claim801.6.3</vt:lpstr>
      <vt:lpstr>claim801.6.4</vt:lpstr>
      <vt:lpstr>claim801.6.5_1</vt:lpstr>
      <vt:lpstr>claim801.6.5_3</vt:lpstr>
      <vt:lpstr>claim801.7.1</vt:lpstr>
      <vt:lpstr>claim801.7.2</vt:lpstr>
      <vt:lpstr>claim801.8</vt:lpstr>
      <vt:lpstr>claim802.1</vt:lpstr>
      <vt:lpstr>claim802.2</vt:lpstr>
      <vt:lpstr>claim802.3</vt:lpstr>
      <vt:lpstr>claim802.4</vt:lpstr>
      <vt:lpstr>claim802.5</vt:lpstr>
      <vt:lpstr>claim901.1.1</vt:lpstr>
      <vt:lpstr>claim901.1.2</vt:lpstr>
      <vt:lpstr>claim901.1.3_1</vt:lpstr>
      <vt:lpstr>claim901.1.3_2</vt:lpstr>
      <vt:lpstr>claim901.1.4</vt:lpstr>
      <vt:lpstr>claim901.1.5</vt:lpstr>
      <vt:lpstr>claim901.1.6</vt:lpstr>
      <vt:lpstr>claim901.10</vt:lpstr>
      <vt:lpstr>claim901.11</vt:lpstr>
      <vt:lpstr>claim901.12</vt:lpstr>
      <vt:lpstr>claim901.13</vt:lpstr>
      <vt:lpstr>claim901.14</vt:lpstr>
      <vt:lpstr>claim901.14_1</vt:lpstr>
      <vt:lpstr>claim901.14_2</vt:lpstr>
      <vt:lpstr>claim901.2.1_1</vt:lpstr>
      <vt:lpstr>claim901.2.1_2</vt:lpstr>
      <vt:lpstr>claim901.2.1_3</vt:lpstr>
      <vt:lpstr>claim901.2.1_4</vt:lpstr>
      <vt:lpstr>claim901.2.1_5</vt:lpstr>
      <vt:lpstr>claim901.2.2</vt:lpstr>
      <vt:lpstr>claim901.3_1_a</vt:lpstr>
      <vt:lpstr>claim901.3_1_b</vt:lpstr>
      <vt:lpstr>claim901.3_1_c</vt:lpstr>
      <vt:lpstr>claim901.3_2</vt:lpstr>
      <vt:lpstr>claim901.4_1</vt:lpstr>
      <vt:lpstr>claim901.4_2a</vt:lpstr>
      <vt:lpstr>claim901.4_2b</vt:lpstr>
      <vt:lpstr>claim901.4_2c</vt:lpstr>
      <vt:lpstr>claim901.4_2d</vt:lpstr>
      <vt:lpstr>claim901.4_2thru6</vt:lpstr>
      <vt:lpstr>claim901.4_3a</vt:lpstr>
      <vt:lpstr>claim901.4_3b</vt:lpstr>
      <vt:lpstr>claim901.4_3c</vt:lpstr>
      <vt:lpstr>claim901.4_3d</vt:lpstr>
      <vt:lpstr>claim901.4_4a</vt:lpstr>
      <vt:lpstr>claim901.4_4b</vt:lpstr>
      <vt:lpstr>claim901.4_4c</vt:lpstr>
      <vt:lpstr>claim901.4_4d</vt:lpstr>
      <vt:lpstr>claim901.4_5a</vt:lpstr>
      <vt:lpstr>claim901.4_5b</vt:lpstr>
      <vt:lpstr>claim901.4_5c</vt:lpstr>
      <vt:lpstr>claim901.4_5d</vt:lpstr>
      <vt:lpstr>claim901.4_6a</vt:lpstr>
      <vt:lpstr>claim901.4_6b</vt:lpstr>
      <vt:lpstr>claim901.4_6c</vt:lpstr>
      <vt:lpstr>claim901.4_6d</vt:lpstr>
      <vt:lpstr>claim901.5</vt:lpstr>
      <vt:lpstr>claim901.6_1</vt:lpstr>
      <vt:lpstr>claim901.6_2_a</vt:lpstr>
      <vt:lpstr>claim901.6_2_b</vt:lpstr>
      <vt:lpstr>claim901.7</vt:lpstr>
      <vt:lpstr>claim901.8</vt:lpstr>
      <vt:lpstr>claim901.9.1</vt:lpstr>
      <vt:lpstr>claim901.9.2</vt:lpstr>
      <vt:lpstr>claim901.9.3</vt:lpstr>
      <vt:lpstr>claim902.1.1_1</vt:lpstr>
      <vt:lpstr>claim902.1.1_2</vt:lpstr>
      <vt:lpstr>claim902.1.1_3</vt:lpstr>
      <vt:lpstr>claim902.1.2</vt:lpstr>
      <vt:lpstr>claim902.1.3</vt:lpstr>
      <vt:lpstr>claim902.1.4</vt:lpstr>
      <vt:lpstr>claim902.2.1</vt:lpstr>
      <vt:lpstr>claim902.2.2</vt:lpstr>
      <vt:lpstr>claim902.2.3</vt:lpstr>
      <vt:lpstr>claim902.3</vt:lpstr>
      <vt:lpstr>claim902.3_1</vt:lpstr>
      <vt:lpstr>claim902.3_2</vt:lpstr>
      <vt:lpstr>claim902.4</vt:lpstr>
      <vt:lpstr>claim902.5</vt:lpstr>
      <vt:lpstr>claim902.6</vt:lpstr>
      <vt:lpstr>claim903.1</vt:lpstr>
      <vt:lpstr>claim903.2</vt:lpstr>
      <vt:lpstr>claim903.3</vt:lpstr>
      <vt:lpstr>claim904.1</vt:lpstr>
      <vt:lpstr>claim904.2</vt:lpstr>
      <vt:lpstr>ClimateType</vt:lpstr>
      <vt:lpstr>copyright</vt:lpstr>
      <vt:lpstr>County</vt:lpstr>
      <vt:lpstr>CZword</vt:lpstr>
      <vt:lpstr>dd1001.1_1</vt:lpstr>
      <vt:lpstr>dd1001.1_2</vt:lpstr>
      <vt:lpstr>dd1001.1_3</vt:lpstr>
      <vt:lpstr>dd503.2_3</vt:lpstr>
      <vt:lpstr>dd503.4_3</vt:lpstr>
      <vt:lpstr>dd503.5_3</vt:lpstr>
      <vt:lpstr>dd503.5_3_opt1</vt:lpstr>
      <vt:lpstr>dd503.5_3_opt2</vt:lpstr>
      <vt:lpstr>dd503.5_3_opt3</vt:lpstr>
      <vt:lpstr>dd503.5_3_opt4</vt:lpstr>
      <vt:lpstr>dd505.1_3</vt:lpstr>
      <vt:lpstr>dd505.3</vt:lpstr>
      <vt:lpstr>dd601.1</vt:lpstr>
      <vt:lpstr>dd601.6</vt:lpstr>
      <vt:lpstr>dd602.1.1.1</vt:lpstr>
      <vt:lpstr>dd602.1.10</vt:lpstr>
      <vt:lpstr>dd602.1.11</vt:lpstr>
      <vt:lpstr>dd602.1.14</vt:lpstr>
      <vt:lpstr>dd602.1.15_3</vt:lpstr>
      <vt:lpstr>dd602.1.2</vt:lpstr>
      <vt:lpstr>dd602.1.3.1</vt:lpstr>
      <vt:lpstr>dd602.1.4.1_2</vt:lpstr>
      <vt:lpstr>dd602.1.4.2_2</vt:lpstr>
      <vt:lpstr>dd602.1.6</vt:lpstr>
      <vt:lpstr>dd602.1.7.1_2</vt:lpstr>
      <vt:lpstr>dd602.1.8</vt:lpstr>
      <vt:lpstr>dd602.1.9_1</vt:lpstr>
      <vt:lpstr>dd602.1.9_5</vt:lpstr>
      <vt:lpstr>dd602.2</vt:lpstr>
      <vt:lpstr>dd602.4.1</vt:lpstr>
      <vt:lpstr>dd603.1</vt:lpstr>
      <vt:lpstr>dd603.2</vt:lpstr>
      <vt:lpstr>dd604.1.1</vt:lpstr>
      <vt:lpstr>dd604.1.2</vt:lpstr>
      <vt:lpstr>dd605.3</vt:lpstr>
      <vt:lpstr>dd606.1_3</vt:lpstr>
      <vt:lpstr>dd606.3</vt:lpstr>
      <vt:lpstr>dd608.1</vt:lpstr>
      <vt:lpstr>dd609.1</vt:lpstr>
      <vt:lpstr>dd610.1.2_2</vt:lpstr>
      <vt:lpstr>dd611.1</vt:lpstr>
      <vt:lpstr>dd701.1</vt:lpstr>
      <vt:lpstr>dd701.3</vt:lpstr>
      <vt:lpstr>dd701.4.1.1</vt:lpstr>
      <vt:lpstr>dd701.4.1.2</vt:lpstr>
      <vt:lpstr>dd701.4.2.1</vt:lpstr>
      <vt:lpstr>dd701.4.2.2</vt:lpstr>
      <vt:lpstr>dd701.4.2.3</vt:lpstr>
      <vt:lpstr>dd701.4.3.1</vt:lpstr>
      <vt:lpstr>dd701.4.3.2</vt:lpstr>
      <vt:lpstr>dd701.4.3.3</vt:lpstr>
      <vt:lpstr>dd701.4.3.4</vt:lpstr>
      <vt:lpstr>dd701.4.4</vt:lpstr>
      <vt:lpstr>dd701.4.5</vt:lpstr>
      <vt:lpstr>dd702.2.1</vt:lpstr>
      <vt:lpstr>dd702.2.2</vt:lpstr>
      <vt:lpstr>dd703.1.1</vt:lpstr>
      <vt:lpstr>dd703.1.2</vt:lpstr>
      <vt:lpstr>dd703.1.3</vt:lpstr>
      <vt:lpstr>dd703.1.5</vt:lpstr>
      <vt:lpstr>dd703.1.6.1</vt:lpstr>
      <vt:lpstr>dd703.1.6.2</vt:lpstr>
      <vt:lpstr>dd703.2.2</vt:lpstr>
      <vt:lpstr>dd703.2.3</vt:lpstr>
      <vt:lpstr>dd703.2.4</vt:lpstr>
      <vt:lpstr>dd703.2.6</vt:lpstr>
      <vt:lpstr>dd703.3.4</vt:lpstr>
      <vt:lpstr>dd703.4.1</vt:lpstr>
      <vt:lpstr>dd703.4.5</vt:lpstr>
      <vt:lpstr>dd703.5.1</vt:lpstr>
      <vt:lpstr>dd704.2.1</vt:lpstr>
      <vt:lpstr>dd705.2_2</vt:lpstr>
      <vt:lpstr>dd705.3</vt:lpstr>
      <vt:lpstr>dd801.1.1</vt:lpstr>
      <vt:lpstr>dd801.1.1_opt1</vt:lpstr>
      <vt:lpstr>dd801.1.1_opt2</vt:lpstr>
      <vt:lpstr>dd801.1.1_opt3</vt:lpstr>
      <vt:lpstr>dd801.1.1_opt4</vt:lpstr>
      <vt:lpstr>dd801.1.1_opt5</vt:lpstr>
      <vt:lpstr>dd801.2_2</vt:lpstr>
      <vt:lpstr>dd801.3_1</vt:lpstr>
      <vt:lpstr>dd801.3_2</vt:lpstr>
      <vt:lpstr>dd801.3_3</vt:lpstr>
      <vt:lpstr>dd801.4.1_1</vt:lpstr>
      <vt:lpstr>dd801.4.2</vt:lpstr>
      <vt:lpstr>dd801.5_1</vt:lpstr>
      <vt:lpstr>dd801.5_2</vt:lpstr>
      <vt:lpstr>dd801.5_3a</vt:lpstr>
      <vt:lpstr>dd801.7.1</vt:lpstr>
      <vt:lpstr>dd801.7.2</vt:lpstr>
      <vt:lpstr>dd802.1</vt:lpstr>
      <vt:lpstr>dd802.2</vt:lpstr>
      <vt:lpstr>dd901.1.1</vt:lpstr>
      <vt:lpstr>dd901.1.3_1</vt:lpstr>
      <vt:lpstr>dd901.1.3_2</vt:lpstr>
      <vt:lpstr>dd901.1.4</vt:lpstr>
      <vt:lpstr>dd901.1.6</vt:lpstr>
      <vt:lpstr>dd901.10</vt:lpstr>
      <vt:lpstr>dd901.13</vt:lpstr>
      <vt:lpstr>dd901.2.1_1</vt:lpstr>
      <vt:lpstr>dd901.2.1_2</vt:lpstr>
      <vt:lpstr>dd901.2.1_3</vt:lpstr>
      <vt:lpstr>dd901.2.1_4</vt:lpstr>
      <vt:lpstr>dd901.2.1_5</vt:lpstr>
      <vt:lpstr>dd901.3_1_a</vt:lpstr>
      <vt:lpstr>dd901.3_1_b</vt:lpstr>
      <vt:lpstr>dd901.4_1</vt:lpstr>
      <vt:lpstr>dd901.4_2</vt:lpstr>
      <vt:lpstr>dd901.4_3</vt:lpstr>
      <vt:lpstr>dd901.4_4</vt:lpstr>
      <vt:lpstr>dd901.4_5</vt:lpstr>
      <vt:lpstr>dd901.4_6</vt:lpstr>
      <vt:lpstr>dd901.5</vt:lpstr>
      <vt:lpstr>dd901.6_1</vt:lpstr>
      <vt:lpstr>dd902.1.1_1</vt:lpstr>
      <vt:lpstr>dd902.1.1_2</vt:lpstr>
      <vt:lpstr>dd902.1.2</vt:lpstr>
      <vt:lpstr>dd902.1.4_1</vt:lpstr>
      <vt:lpstr>dd902.1.4_2</vt:lpstr>
      <vt:lpstr>dd902.2.1</vt:lpstr>
      <vt:lpstr>dd902.3</vt:lpstr>
      <vt:lpstr>dd902.3_1</vt:lpstr>
      <vt:lpstr>dd902.4</vt:lpstr>
      <vt:lpstr>dd902.6</vt:lpstr>
      <vt:lpstr>dd903.1</vt:lpstr>
      <vt:lpstr>dd903.2</vt:lpstr>
      <vt:lpstr>dd903.3</vt:lpstr>
      <vt:lpstr>ddAttachedGarage</vt:lpstr>
      <vt:lpstr>ddAtticType</vt:lpstr>
      <vt:lpstr>ddBatchProcessing</vt:lpstr>
      <vt:lpstr>ddClimateZone</vt:lpstr>
      <vt:lpstr>ddCompostingToilet</vt:lpstr>
      <vt:lpstr>ddFoundationTypes</vt:lpstr>
      <vt:lpstr>ddHeatingFuel</vt:lpstr>
      <vt:lpstr>ddHVACSystems</vt:lpstr>
      <vt:lpstr>ddLandscapeTypes</vt:lpstr>
      <vt:lpstr>ddMassWalls</vt:lpstr>
      <vt:lpstr>ddMetNotMet</vt:lpstr>
      <vt:lpstr>ddPassiveSolar</vt:lpstr>
      <vt:lpstr>ddRecessedLighting</vt:lpstr>
      <vt:lpstr>ddRenewableEnergy</vt:lpstr>
      <vt:lpstr>ddSFBurningAppliance</vt:lpstr>
      <vt:lpstr>ddSingleorMulti</vt:lpstr>
      <vt:lpstr>ddTanklessWH</vt:lpstr>
      <vt:lpstr>ddTEInsulation</vt:lpstr>
      <vt:lpstr>dr1001.1</vt:lpstr>
      <vt:lpstr>dr1001.1_1</vt:lpstr>
      <vt:lpstr>dr1001.1_10</vt:lpstr>
      <vt:lpstr>dr1001.1_11</vt:lpstr>
      <vt:lpstr>dr1001.1_12</vt:lpstr>
      <vt:lpstr>dr1001.1_13</vt:lpstr>
      <vt:lpstr>dr1001.1_14</vt:lpstr>
      <vt:lpstr>dr1001.1_15</vt:lpstr>
      <vt:lpstr>dr1001.1_16</vt:lpstr>
      <vt:lpstr>dr1001.1_17</vt:lpstr>
      <vt:lpstr>dr1001.1_18</vt:lpstr>
      <vt:lpstr>dr1001.1_19</vt:lpstr>
      <vt:lpstr>dr1001.1_2</vt:lpstr>
      <vt:lpstr>dr1001.1_20</vt:lpstr>
      <vt:lpstr>dr1001.1_21</vt:lpstr>
      <vt:lpstr>dr1001.1_3</vt:lpstr>
      <vt:lpstr>dr1001.1_4</vt:lpstr>
      <vt:lpstr>dr1001.1_5</vt:lpstr>
      <vt:lpstr>dr1001.1_6</vt:lpstr>
      <vt:lpstr>dr1001.1_7</vt:lpstr>
      <vt:lpstr>dr1001.1_8</vt:lpstr>
      <vt:lpstr>dr1001.1_9</vt:lpstr>
      <vt:lpstr>dr1002.1</vt:lpstr>
      <vt:lpstr>dr1003.1</vt:lpstr>
      <vt:lpstr>dr1003.1_1</vt:lpstr>
      <vt:lpstr>dr1003.1_2</vt:lpstr>
      <vt:lpstr>dr1003.1_3</vt:lpstr>
      <vt:lpstr>dr1003.1_4</vt:lpstr>
      <vt:lpstr>dr1003.1_5</vt:lpstr>
      <vt:lpstr>dr1003.1_6</vt:lpstr>
      <vt:lpstr>dr1003.1_7</vt:lpstr>
      <vt:lpstr>dr1003.1_8</vt:lpstr>
      <vt:lpstr>dr1003.2</vt:lpstr>
      <vt:lpstr>dr1003.2_1</vt:lpstr>
      <vt:lpstr>dr1003.2_10</vt:lpstr>
      <vt:lpstr>dr1003.2_2</vt:lpstr>
      <vt:lpstr>dr1003.2_3</vt:lpstr>
      <vt:lpstr>dr1003.2_4</vt:lpstr>
      <vt:lpstr>dr1003.2_5</vt:lpstr>
      <vt:lpstr>dr1003.2_6</vt:lpstr>
      <vt:lpstr>dr1003.2_7</vt:lpstr>
      <vt:lpstr>dr1003.2_8</vt:lpstr>
      <vt:lpstr>dr1003.2_9</vt:lpstr>
      <vt:lpstr>dr1003.3</vt:lpstr>
      <vt:lpstr>dr1003.3_1</vt:lpstr>
      <vt:lpstr>dr1003.3_2</vt:lpstr>
      <vt:lpstr>dr1003.3_3</vt:lpstr>
      <vt:lpstr>dr1003.3_4</vt:lpstr>
      <vt:lpstr>dr1003.3_5</vt:lpstr>
      <vt:lpstr>dr1003.3_6</vt:lpstr>
      <vt:lpstr>dr1003.3_7</vt:lpstr>
      <vt:lpstr>dr1003.3_8</vt:lpstr>
      <vt:lpstr>dr1003.3_9</vt:lpstr>
      <vt:lpstr>dr501.1_1</vt:lpstr>
      <vt:lpstr>dr501.1_2</vt:lpstr>
      <vt:lpstr>dr501.1_3</vt:lpstr>
      <vt:lpstr>dr501.1_4</vt:lpstr>
      <vt:lpstr>dr501.1_5</vt:lpstr>
      <vt:lpstr>dr501.2_1</vt:lpstr>
      <vt:lpstr>dr501.2_2</vt:lpstr>
      <vt:lpstr>dr501.2_3</vt:lpstr>
      <vt:lpstr>dr501.2_4</vt:lpstr>
      <vt:lpstr>dr502.1</vt:lpstr>
      <vt:lpstr>dr503.1_1</vt:lpstr>
      <vt:lpstr>dr503.1_2</vt:lpstr>
      <vt:lpstr>dr503.1_3</vt:lpstr>
      <vt:lpstr>dr503.1_4</vt:lpstr>
      <vt:lpstr>dr503.1_5</vt:lpstr>
      <vt:lpstr>dr503.1_6</vt:lpstr>
      <vt:lpstr>dr503.1_7</vt:lpstr>
      <vt:lpstr>dr503.2_1</vt:lpstr>
      <vt:lpstr>dr503.2_2</vt:lpstr>
      <vt:lpstr>dr503.2_3a</vt:lpstr>
      <vt:lpstr>dr503.2_3b</vt:lpstr>
      <vt:lpstr>dr503.2_3c</vt:lpstr>
      <vt:lpstr>dr503.2_4</vt:lpstr>
      <vt:lpstr>dr503.2_5</vt:lpstr>
      <vt:lpstr>dr503.3_1</vt:lpstr>
      <vt:lpstr>dr503.3_2</vt:lpstr>
      <vt:lpstr>dr503.3_3</vt:lpstr>
      <vt:lpstr>dr503.4_1</vt:lpstr>
      <vt:lpstr>dr503.4_2</vt:lpstr>
      <vt:lpstr>dr503.4_3a</vt:lpstr>
      <vt:lpstr>dr503.4_3b</vt:lpstr>
      <vt:lpstr>dr503.4_3c</vt:lpstr>
      <vt:lpstr>dr503.4_4</vt:lpstr>
      <vt:lpstr>dr503.4_5</vt:lpstr>
      <vt:lpstr>dr503.4_6</vt:lpstr>
      <vt:lpstr>dr503.5_1</vt:lpstr>
      <vt:lpstr>dr503.5_2</vt:lpstr>
      <vt:lpstr>dr503.5_3a</vt:lpstr>
      <vt:lpstr>dr503.5_3b</vt:lpstr>
      <vt:lpstr>dr503.5_3c</vt:lpstr>
      <vt:lpstr>dr503.5_3d</vt:lpstr>
      <vt:lpstr>dr503.5_4</vt:lpstr>
      <vt:lpstr>dr503.5_5</vt:lpstr>
      <vt:lpstr>dr503.5_6</vt:lpstr>
      <vt:lpstr>dr503.5_7</vt:lpstr>
      <vt:lpstr>dr503.5_8</vt:lpstr>
      <vt:lpstr>dr503.5_type</vt:lpstr>
      <vt:lpstr>dr503.6_1</vt:lpstr>
      <vt:lpstr>dr503.6_2</vt:lpstr>
      <vt:lpstr>dr503.6_3</vt:lpstr>
      <vt:lpstr>dr503.6_4</vt:lpstr>
      <vt:lpstr>dr503.7_1</vt:lpstr>
      <vt:lpstr>dr503.7_2</vt:lpstr>
      <vt:lpstr>dr504.1</vt:lpstr>
      <vt:lpstr>dr504.2_1</vt:lpstr>
      <vt:lpstr>dr504.2_2</vt:lpstr>
      <vt:lpstr>dr504.2_3</vt:lpstr>
      <vt:lpstr>dr504.3_1</vt:lpstr>
      <vt:lpstr>dr504.3_2</vt:lpstr>
      <vt:lpstr>dr504.3_3</vt:lpstr>
      <vt:lpstr>dr504.3_4</vt:lpstr>
      <vt:lpstr>dr504.3_5</vt:lpstr>
      <vt:lpstr>dr504.3_6</vt:lpstr>
      <vt:lpstr>dr504.3_7</vt:lpstr>
      <vt:lpstr>dr504.3_8</vt:lpstr>
      <vt:lpstr>dr504.3_9</vt:lpstr>
      <vt:lpstr>dr505.1_1</vt:lpstr>
      <vt:lpstr>dr505.1_2</vt:lpstr>
      <vt:lpstr>dr505.1_3a</vt:lpstr>
      <vt:lpstr>dr505.1_3b</vt:lpstr>
      <vt:lpstr>dr505.1_3c</vt:lpstr>
      <vt:lpstr>dr505.2_1</vt:lpstr>
      <vt:lpstr>dr505.2_2</vt:lpstr>
      <vt:lpstr>dr505.3_1</vt:lpstr>
      <vt:lpstr>dr505.3_2</vt:lpstr>
      <vt:lpstr>dr505.3_3</vt:lpstr>
      <vt:lpstr>dr505.4</vt:lpstr>
      <vt:lpstr>dr505.5</vt:lpstr>
      <vt:lpstr>dr601.1_1</vt:lpstr>
      <vt:lpstr>dr601.1_2</vt:lpstr>
      <vt:lpstr>dr601.1_3</vt:lpstr>
      <vt:lpstr>dr601.1_4</vt:lpstr>
      <vt:lpstr>dr601.2_1</vt:lpstr>
      <vt:lpstr>dr601.2_2</vt:lpstr>
      <vt:lpstr>dr601.2_3</vt:lpstr>
      <vt:lpstr>dr601.3_1</vt:lpstr>
      <vt:lpstr>dr601.3_2</vt:lpstr>
      <vt:lpstr>dr601.3_3</vt:lpstr>
      <vt:lpstr>dr601.3_4</vt:lpstr>
      <vt:lpstr>dr601.3_5</vt:lpstr>
      <vt:lpstr>dr601.4</vt:lpstr>
      <vt:lpstr>dr601.5_1</vt:lpstr>
      <vt:lpstr>dr601.5_2</vt:lpstr>
      <vt:lpstr>dr601.5_3</vt:lpstr>
      <vt:lpstr>dr601.5_4</vt:lpstr>
      <vt:lpstr>dr601.5_5</vt:lpstr>
      <vt:lpstr>dr601.6_1</vt:lpstr>
      <vt:lpstr>dr601.6_2</vt:lpstr>
      <vt:lpstr>dr601.6_3</vt:lpstr>
      <vt:lpstr>dr601.7</vt:lpstr>
      <vt:lpstr>dr601.7_1</vt:lpstr>
      <vt:lpstr>dr601.7_2</vt:lpstr>
      <vt:lpstr>dr601.7_3</vt:lpstr>
      <vt:lpstr>dr601.8</vt:lpstr>
      <vt:lpstr>dr601.9</vt:lpstr>
      <vt:lpstr>dr602.1.1.1</vt:lpstr>
      <vt:lpstr>dr602.1.1.2</vt:lpstr>
      <vt:lpstr>dr602.1.10_1</vt:lpstr>
      <vt:lpstr>dr602.1.10_2</vt:lpstr>
      <vt:lpstr>dr602.1.10_3</vt:lpstr>
      <vt:lpstr>dr602.1.11</vt:lpstr>
      <vt:lpstr>dr602.1.12</vt:lpstr>
      <vt:lpstr>dr602.1.13</vt:lpstr>
      <vt:lpstr>dr602.1.14_1</vt:lpstr>
      <vt:lpstr>dr602.1.14_2</vt:lpstr>
      <vt:lpstr>dr602.1.14_3</vt:lpstr>
      <vt:lpstr>dr602.1.14_3_points</vt:lpstr>
      <vt:lpstr>dr602.1.2</vt:lpstr>
      <vt:lpstr>dr602.1.3.1</vt:lpstr>
      <vt:lpstr>dr602.1.3.2</vt:lpstr>
      <vt:lpstr>dr602.1.4.1_1</vt:lpstr>
      <vt:lpstr>dr602.1.4.1_2</vt:lpstr>
      <vt:lpstr>dr602.1.4.2_1</vt:lpstr>
      <vt:lpstr>dr602.1.4.2_2</vt:lpstr>
      <vt:lpstr>dr602.1.5</vt:lpstr>
      <vt:lpstr>dr602.1.6_1</vt:lpstr>
      <vt:lpstr>dr602.1.6_2</vt:lpstr>
      <vt:lpstr>dr602.1.6_3</vt:lpstr>
      <vt:lpstr>dr602.1.7.1_1</vt:lpstr>
      <vt:lpstr>dr602.1.7.1_2</vt:lpstr>
      <vt:lpstr>dr602.1.7.1_2_points</vt:lpstr>
      <vt:lpstr>dr602.1.7.1_3</vt:lpstr>
      <vt:lpstr>dr602.1.7.2</vt:lpstr>
      <vt:lpstr>dr602.1.8</vt:lpstr>
      <vt:lpstr>dr602.1.9_1</vt:lpstr>
      <vt:lpstr>dr602.1.9_2</vt:lpstr>
      <vt:lpstr>dr602.1.9_3</vt:lpstr>
      <vt:lpstr>dr602.1.9_4</vt:lpstr>
      <vt:lpstr>dr602.1.9_5a</vt:lpstr>
      <vt:lpstr>dr602.1.9_5b</vt:lpstr>
      <vt:lpstr>dr602.1.9_6</vt:lpstr>
      <vt:lpstr>dr602.1.9_7</vt:lpstr>
      <vt:lpstr>dr602.2_1</vt:lpstr>
      <vt:lpstr>dr602.2_2</vt:lpstr>
      <vt:lpstr>dr602.2_3</vt:lpstr>
      <vt:lpstr>dr602.3</vt:lpstr>
      <vt:lpstr>dr602.4.1</vt:lpstr>
      <vt:lpstr>dr602.4.2</vt:lpstr>
      <vt:lpstr>dr602.4.3</vt:lpstr>
      <vt:lpstr>dr603.1</vt:lpstr>
      <vt:lpstr>dr603.1_points</vt:lpstr>
      <vt:lpstr>dr603.2</vt:lpstr>
      <vt:lpstr>dr603.2_points</vt:lpstr>
      <vt:lpstr>dr603.3</vt:lpstr>
      <vt:lpstr>dr604.1.1_1</vt:lpstr>
      <vt:lpstr>dr604.1.1_2</vt:lpstr>
      <vt:lpstr>dr604.1.1_3</vt:lpstr>
      <vt:lpstr>dr604.1.2_1</vt:lpstr>
      <vt:lpstr>dr604.1.2_2</vt:lpstr>
      <vt:lpstr>dr604.1.2_3</vt:lpstr>
      <vt:lpstr>dr605.1</vt:lpstr>
      <vt:lpstr>dr605.2</vt:lpstr>
      <vt:lpstr>dr605.3_1</vt:lpstr>
      <vt:lpstr>dr605.3_2</vt:lpstr>
      <vt:lpstr>dr605.3_3</vt:lpstr>
      <vt:lpstr>dr605.3_4</vt:lpstr>
      <vt:lpstr>dr606.1</vt:lpstr>
      <vt:lpstr>dr606.1_1</vt:lpstr>
      <vt:lpstr>dr606.1_2</vt:lpstr>
      <vt:lpstr>dr606.1_3</vt:lpstr>
      <vt:lpstr>dr606.2_1</vt:lpstr>
      <vt:lpstr>dr606.2_2</vt:lpstr>
      <vt:lpstr>dr606.3_1</vt:lpstr>
      <vt:lpstr>dr606.3_2</vt:lpstr>
      <vt:lpstr>dr606.3_3</vt:lpstr>
      <vt:lpstr>dr607.1_1</vt:lpstr>
      <vt:lpstr>dr607.1_2</vt:lpstr>
      <vt:lpstr>dr607.2</vt:lpstr>
      <vt:lpstr>dr608.1</vt:lpstr>
      <vt:lpstr>dr608.1_1</vt:lpstr>
      <vt:lpstr>dr608.1_2</vt:lpstr>
      <vt:lpstr>dr608.1_3</vt:lpstr>
      <vt:lpstr>dr609.1_1</vt:lpstr>
      <vt:lpstr>dr609.1_2</vt:lpstr>
      <vt:lpstr>dr609.1_3</vt:lpstr>
      <vt:lpstr>dr609.1_4</vt:lpstr>
      <vt:lpstr>dr609.1_5</vt:lpstr>
      <vt:lpstr>dr610.1</vt:lpstr>
      <vt:lpstr>dr610.1.1</vt:lpstr>
      <vt:lpstr>dr610.1.2</vt:lpstr>
      <vt:lpstr>dr610.1.2_1</vt:lpstr>
      <vt:lpstr>dr610.1.2_1_a</vt:lpstr>
      <vt:lpstr>dr610.1.2_1_b</vt:lpstr>
      <vt:lpstr>dr610.1.2_2</vt:lpstr>
      <vt:lpstr>dr610.1.2_2_a</vt:lpstr>
      <vt:lpstr>dr610.1.2_2_b</vt:lpstr>
      <vt:lpstr>dr610.1.2_2_c</vt:lpstr>
      <vt:lpstr>dr610.1.2_2_d</vt:lpstr>
      <vt:lpstr>dr611.1_1</vt:lpstr>
      <vt:lpstr>dr611.1_10</vt:lpstr>
      <vt:lpstr>dr611.1_2</vt:lpstr>
      <vt:lpstr>dr611.1_3</vt:lpstr>
      <vt:lpstr>dr611.1_4</vt:lpstr>
      <vt:lpstr>dr611.1_5</vt:lpstr>
      <vt:lpstr>dr611.1_6</vt:lpstr>
      <vt:lpstr>dr611.1_7</vt:lpstr>
      <vt:lpstr>dr611.1_8</vt:lpstr>
      <vt:lpstr>dr611.1_9</vt:lpstr>
      <vt:lpstr>dr611.2</vt:lpstr>
      <vt:lpstr>dr611.2_1</vt:lpstr>
      <vt:lpstr>dr611.2_2</vt:lpstr>
      <vt:lpstr>dr611.2_3</vt:lpstr>
      <vt:lpstr>dr611.2_4</vt:lpstr>
      <vt:lpstr>dr611.2_5</vt:lpstr>
      <vt:lpstr>dr611.2_6</vt:lpstr>
      <vt:lpstr>dr611.2_7</vt:lpstr>
      <vt:lpstr>dr611.3</vt:lpstr>
      <vt:lpstr>dr611.3_1</vt:lpstr>
      <vt:lpstr>dr611.3_2</vt:lpstr>
      <vt:lpstr>dr611.3_3</vt:lpstr>
      <vt:lpstr>dr611.3_4</vt:lpstr>
      <vt:lpstr>dr701.1</vt:lpstr>
      <vt:lpstr>dr701.1.3</vt:lpstr>
      <vt:lpstr>dr701.3</vt:lpstr>
      <vt:lpstr>dr701.4.1.1</vt:lpstr>
      <vt:lpstr>dr701.4.1.2</vt:lpstr>
      <vt:lpstr>dr701.4.2.2</vt:lpstr>
      <vt:lpstr>dr701.4.2.3</vt:lpstr>
      <vt:lpstr>dr701.4.3.1</vt:lpstr>
      <vt:lpstr>dr701.4.3.2_1</vt:lpstr>
      <vt:lpstr>dr701.4.3.2_1_ach</vt:lpstr>
      <vt:lpstr>dr701.4.3.2_2</vt:lpstr>
      <vt:lpstr>dr701.4.3.3</vt:lpstr>
      <vt:lpstr>dr701.4.3.4</vt:lpstr>
      <vt:lpstr>dr701.4.4</vt:lpstr>
      <vt:lpstr>dr701.4.5</vt:lpstr>
      <vt:lpstr>dr702.2.1</vt:lpstr>
      <vt:lpstr>dr702.2.2_1</vt:lpstr>
      <vt:lpstr>dr702.2.2_2</vt:lpstr>
      <vt:lpstr>dr702.2.2_3</vt:lpstr>
      <vt:lpstr>dr702.2.2_4</vt:lpstr>
      <vt:lpstr>dr703.1.1_1</vt:lpstr>
      <vt:lpstr>dr703.1.1_2</vt:lpstr>
      <vt:lpstr>dr703.1.1_3</vt:lpstr>
      <vt:lpstr>dr703.1.1_4</vt:lpstr>
      <vt:lpstr>dr703.1.2_1</vt:lpstr>
      <vt:lpstr>dr703.1.2_2</vt:lpstr>
      <vt:lpstr>dr703.1.3_1</vt:lpstr>
      <vt:lpstr>dr703.1.3_2</vt:lpstr>
      <vt:lpstr>dr703.1.4</vt:lpstr>
      <vt:lpstr>dr703.1.5_1</vt:lpstr>
      <vt:lpstr>dr703.1.5_2</vt:lpstr>
      <vt:lpstr>dr703.1.5_3</vt:lpstr>
      <vt:lpstr>dr703.1.5_4</vt:lpstr>
      <vt:lpstr>dr703.1.5_5</vt:lpstr>
      <vt:lpstr>dr703.1.6.1</vt:lpstr>
      <vt:lpstr>dr703.1.6.2_a</vt:lpstr>
      <vt:lpstr>dr703.1.6.2_b</vt:lpstr>
      <vt:lpstr>dr703.1.6.2_c</vt:lpstr>
      <vt:lpstr>dr703.2.1</vt:lpstr>
      <vt:lpstr>dr703.2.2</vt:lpstr>
      <vt:lpstr>dr703.2.2_step1</vt:lpstr>
      <vt:lpstr>dr703.2.2_step2</vt:lpstr>
      <vt:lpstr>dr703.2.3_1</vt:lpstr>
      <vt:lpstr>dr703.2.3_2</vt:lpstr>
      <vt:lpstr>dr703.2.3_3</vt:lpstr>
      <vt:lpstr>dr703.2.3_4</vt:lpstr>
      <vt:lpstr>dr703.2.4_1</vt:lpstr>
      <vt:lpstr>dr703.2.4_2</vt:lpstr>
      <vt:lpstr>dr703.2.4_3</vt:lpstr>
      <vt:lpstr>dr703.2.4_4</vt:lpstr>
      <vt:lpstr>dr703.2.4_5</vt:lpstr>
      <vt:lpstr>dr703.2.5</vt:lpstr>
      <vt:lpstr>dr703.2.6_1</vt:lpstr>
      <vt:lpstr>dr703.2.6_2</vt:lpstr>
      <vt:lpstr>dr703.2.6_3</vt:lpstr>
      <vt:lpstr>dr703.2.6_4</vt:lpstr>
      <vt:lpstr>dr703.2.6_5</vt:lpstr>
      <vt:lpstr>dr703.2.7</vt:lpstr>
      <vt:lpstr>dr703.2.8</vt:lpstr>
      <vt:lpstr>dr703.2.9</vt:lpstr>
      <vt:lpstr>dr703.3.1</vt:lpstr>
      <vt:lpstr>dr703.3.2</vt:lpstr>
      <vt:lpstr>dr703.3.3</vt:lpstr>
      <vt:lpstr>dr703.3.4_1</vt:lpstr>
      <vt:lpstr>dr703.3.4_2</vt:lpstr>
      <vt:lpstr>dr703.3.4_3</vt:lpstr>
      <vt:lpstr>dr703.4.1</vt:lpstr>
      <vt:lpstr>dr703.4.1_step1</vt:lpstr>
      <vt:lpstr>dr703.4.1_step2</vt:lpstr>
      <vt:lpstr>dr703.4.3</vt:lpstr>
      <vt:lpstr>dr703.4.4</vt:lpstr>
      <vt:lpstr>dr703.4.5_1</vt:lpstr>
      <vt:lpstr>dr703.4.5_2</vt:lpstr>
      <vt:lpstr>dr703.4.5_3</vt:lpstr>
      <vt:lpstr>dr703.4.5_4</vt:lpstr>
      <vt:lpstr>dr703.4.5_5</vt:lpstr>
      <vt:lpstr>dr703.5.1_1a</vt:lpstr>
      <vt:lpstr>dr703.5.1_1b</vt:lpstr>
      <vt:lpstr>dr703.5.1_2</vt:lpstr>
      <vt:lpstr>dr703.5.2</vt:lpstr>
      <vt:lpstr>dr703.5.2_area</vt:lpstr>
      <vt:lpstr>dr703.5.2_lights</vt:lpstr>
      <vt:lpstr>dr703.5.3_1</vt:lpstr>
      <vt:lpstr>dr703.5.3_2</vt:lpstr>
      <vt:lpstr>dr703.5.3_3</vt:lpstr>
      <vt:lpstr>dr703.5.4</vt:lpstr>
      <vt:lpstr>dr703.6.1</vt:lpstr>
      <vt:lpstr>dr703.6.2</vt:lpstr>
      <vt:lpstr>dr703.6.3_1</vt:lpstr>
      <vt:lpstr>dr703.6.3_2</vt:lpstr>
      <vt:lpstr>dr703.6.3_3</vt:lpstr>
      <vt:lpstr>dr703.6.3_4</vt:lpstr>
      <vt:lpstr>dr703.6.3_5</vt:lpstr>
      <vt:lpstr>dr703.6.3_6</vt:lpstr>
      <vt:lpstr>dr703.6.4</vt:lpstr>
      <vt:lpstr>dr704.2.1_1</vt:lpstr>
      <vt:lpstr>dr704.2.1_2</vt:lpstr>
      <vt:lpstr>dr704.2.2</vt:lpstr>
      <vt:lpstr>dr704.2.3</vt:lpstr>
      <vt:lpstr>dr704.3</vt:lpstr>
      <vt:lpstr>dr704.4.1</vt:lpstr>
      <vt:lpstr>dr704.4.2</vt:lpstr>
      <vt:lpstr>dr704.4.3</vt:lpstr>
      <vt:lpstr>dr704.5.1</vt:lpstr>
      <vt:lpstr>dr704.5.2.1_1</vt:lpstr>
      <vt:lpstr>dr704.5.2.1_1_ach</vt:lpstr>
      <vt:lpstr>dr704.5.2.1_2</vt:lpstr>
      <vt:lpstr>dr704.5.2.2</vt:lpstr>
      <vt:lpstr>dr704.5.3</vt:lpstr>
      <vt:lpstr>dr705.1</vt:lpstr>
      <vt:lpstr>dr705.1_1</vt:lpstr>
      <vt:lpstr>dr705.1_2</vt:lpstr>
      <vt:lpstr>dr705.1_3</vt:lpstr>
      <vt:lpstr>dr705.2_1</vt:lpstr>
      <vt:lpstr>dr705.2_2a</vt:lpstr>
      <vt:lpstr>dr705.2_2b</vt:lpstr>
      <vt:lpstr>dr705.3</vt:lpstr>
      <vt:lpstr>dr705.3_1</vt:lpstr>
      <vt:lpstr>dr705.3_2</vt:lpstr>
      <vt:lpstr>dr705.3_3</vt:lpstr>
      <vt:lpstr>dr705.3_4</vt:lpstr>
      <vt:lpstr>dr705.3_5</vt:lpstr>
      <vt:lpstr>dr705.3_6</vt:lpstr>
      <vt:lpstr>dr705.3_7</vt:lpstr>
      <vt:lpstr>dr705.3_8</vt:lpstr>
      <vt:lpstr>dr705.4.1_1</vt:lpstr>
      <vt:lpstr>dr705.4.1_2</vt:lpstr>
      <vt:lpstr>dr705.4.2</vt:lpstr>
      <vt:lpstr>dr705.5</vt:lpstr>
      <vt:lpstr>dr705.5_area</vt:lpstr>
      <vt:lpstr>dr705.5_watts</vt:lpstr>
      <vt:lpstr>dr705.6</vt:lpstr>
      <vt:lpstr>dr801.1.1_1</vt:lpstr>
      <vt:lpstr>dr801.1.1_2</vt:lpstr>
      <vt:lpstr>dr801.1.1_3</vt:lpstr>
      <vt:lpstr>dr801.1.1_4</vt:lpstr>
      <vt:lpstr>dr801.1.1_4a</vt:lpstr>
      <vt:lpstr>dr801.1.1_5</vt:lpstr>
      <vt:lpstr>dr801.1.1_6</vt:lpstr>
      <vt:lpstr>dr801.2_1</vt:lpstr>
      <vt:lpstr>dr801.2_2a</vt:lpstr>
      <vt:lpstr>dr801.2_2b</vt:lpstr>
      <vt:lpstr>dr801.3_1a</vt:lpstr>
      <vt:lpstr>dr801.3_1b</vt:lpstr>
      <vt:lpstr>dr801.3_1c</vt:lpstr>
      <vt:lpstr>dr801.3_1d</vt:lpstr>
      <vt:lpstr>dr801.3_2a</vt:lpstr>
      <vt:lpstr>dr801.3_2b</vt:lpstr>
      <vt:lpstr>dr801.3_3a</vt:lpstr>
      <vt:lpstr>dr801.3_3b</vt:lpstr>
      <vt:lpstr>dr801.3_3c</vt:lpstr>
      <vt:lpstr>dr801.4.1_1a</vt:lpstr>
      <vt:lpstr>dr801.4.1_1b</vt:lpstr>
      <vt:lpstr>dr801.4.1_1c</vt:lpstr>
      <vt:lpstr>dr801.4.1_2</vt:lpstr>
      <vt:lpstr>dr801.4.2_1</vt:lpstr>
      <vt:lpstr>dr801.4.2_2</vt:lpstr>
      <vt:lpstr>dr801.4.2_3</vt:lpstr>
      <vt:lpstr>dr801.5_1</vt:lpstr>
      <vt:lpstr>dr801.5_2a</vt:lpstr>
      <vt:lpstr>dr801.5_2b</vt:lpstr>
      <vt:lpstr>dr801.5_2c</vt:lpstr>
      <vt:lpstr>dr801.5_3</vt:lpstr>
      <vt:lpstr>dr801.5_3a1</vt:lpstr>
      <vt:lpstr>dr801.5_3a2</vt:lpstr>
      <vt:lpstr>dr801.5_3a3</vt:lpstr>
      <vt:lpstr>dr801.5_3b</vt:lpstr>
      <vt:lpstr>dr801.5_3c</vt:lpstr>
      <vt:lpstr>dr801.6.1</vt:lpstr>
      <vt:lpstr>dr801.6.2_1</vt:lpstr>
      <vt:lpstr>dr801.6.2_2</vt:lpstr>
      <vt:lpstr>dr801.6.3</vt:lpstr>
      <vt:lpstr>dr801.6.4</vt:lpstr>
      <vt:lpstr>dr801.6.5_1</vt:lpstr>
      <vt:lpstr>dr801.6.5_3</vt:lpstr>
      <vt:lpstr>dr801.7.1_1</vt:lpstr>
      <vt:lpstr>dr801.7.1_2a</vt:lpstr>
      <vt:lpstr>dr801.7.1_2b</vt:lpstr>
      <vt:lpstr>dr801.7.1_2c</vt:lpstr>
      <vt:lpstr>dr801.7.1_2d</vt:lpstr>
      <vt:lpstr>dr801.7.2_1</vt:lpstr>
      <vt:lpstr>dr801.7.2_2</vt:lpstr>
      <vt:lpstr>dr801.7.2_3</vt:lpstr>
      <vt:lpstr>dr801.7.2_4</vt:lpstr>
      <vt:lpstr>dr801.8</vt:lpstr>
      <vt:lpstr>dr802.1_1</vt:lpstr>
      <vt:lpstr>dr802.1_2</vt:lpstr>
      <vt:lpstr>dr802.1_3</vt:lpstr>
      <vt:lpstr>dr802.1_4</vt:lpstr>
      <vt:lpstr>dr802.1_5</vt:lpstr>
      <vt:lpstr>dr802.2</vt:lpstr>
      <vt:lpstr>dr802.2_1</vt:lpstr>
      <vt:lpstr>dr802.2_2</vt:lpstr>
      <vt:lpstr>dr802.3</vt:lpstr>
      <vt:lpstr>dr802.4</vt:lpstr>
      <vt:lpstr>dr802.5</vt:lpstr>
      <vt:lpstr>dr901.1.2</vt:lpstr>
      <vt:lpstr>dr901.1.3_1_a</vt:lpstr>
      <vt:lpstr>dr901.1.3_1_b</vt:lpstr>
      <vt:lpstr>dr901.1.3_2_a</vt:lpstr>
      <vt:lpstr>dr901.1.4</vt:lpstr>
      <vt:lpstr>dr901.1.5</vt:lpstr>
      <vt:lpstr>dr901.1.6_1</vt:lpstr>
      <vt:lpstr>dr901.1.6_2</vt:lpstr>
      <vt:lpstr>dr901.10_1</vt:lpstr>
      <vt:lpstr>dr901.10_2</vt:lpstr>
      <vt:lpstr>dr901.10_3</vt:lpstr>
      <vt:lpstr>dr901.11</vt:lpstr>
      <vt:lpstr>dr901.12</vt:lpstr>
      <vt:lpstr>dr901.13_1</vt:lpstr>
      <vt:lpstr>dr901.13_2</vt:lpstr>
      <vt:lpstr>dr901.14</vt:lpstr>
      <vt:lpstr>dr901.2.2</vt:lpstr>
      <vt:lpstr>dr901.3_1_c</vt:lpstr>
      <vt:lpstr>dr901.3_2</vt:lpstr>
      <vt:lpstr>dr901.4_1</vt:lpstr>
      <vt:lpstr>dr901.4_2a</vt:lpstr>
      <vt:lpstr>dr901.4_2b</vt:lpstr>
      <vt:lpstr>dr901.4_2c</vt:lpstr>
      <vt:lpstr>dr901.4_2d</vt:lpstr>
      <vt:lpstr>dr901.4_2thru6</vt:lpstr>
      <vt:lpstr>dr901.4_3a</vt:lpstr>
      <vt:lpstr>dr901.4_3b</vt:lpstr>
      <vt:lpstr>dr901.4_3c</vt:lpstr>
      <vt:lpstr>dr901.4_3d</vt:lpstr>
      <vt:lpstr>dr901.4_4a</vt:lpstr>
      <vt:lpstr>dr901.4_4b</vt:lpstr>
      <vt:lpstr>dr901.4_4c</vt:lpstr>
      <vt:lpstr>dr901.4_4d</vt:lpstr>
      <vt:lpstr>dr901.4_5a</vt:lpstr>
      <vt:lpstr>dr901.4_5b</vt:lpstr>
      <vt:lpstr>dr901.4_5c</vt:lpstr>
      <vt:lpstr>dr901.4_5d</vt:lpstr>
      <vt:lpstr>dr901.4_6a</vt:lpstr>
      <vt:lpstr>dr901.4_6b</vt:lpstr>
      <vt:lpstr>dr901.4_6c</vt:lpstr>
      <vt:lpstr>dr901.4_6d</vt:lpstr>
      <vt:lpstr>dr901.6_1</vt:lpstr>
      <vt:lpstr>dr901.6_2_a</vt:lpstr>
      <vt:lpstr>dr901.6_2_b</vt:lpstr>
      <vt:lpstr>dr901.7</vt:lpstr>
      <vt:lpstr>dr901.8</vt:lpstr>
      <vt:lpstr>dr901.9.1</vt:lpstr>
      <vt:lpstr>dr901.9.2</vt:lpstr>
      <vt:lpstr>dr901.9.3</vt:lpstr>
      <vt:lpstr>dr902.1.1_2</vt:lpstr>
      <vt:lpstr>dr902.1.1_3</vt:lpstr>
      <vt:lpstr>dr902.1.2_1</vt:lpstr>
      <vt:lpstr>dr902.1.2_2</vt:lpstr>
      <vt:lpstr>dr902.1.2_3</vt:lpstr>
      <vt:lpstr>dr902.1.2_4</vt:lpstr>
      <vt:lpstr>dr902.1.3</vt:lpstr>
      <vt:lpstr>dr902.1.4_1</vt:lpstr>
      <vt:lpstr>dr902.1.4_2</vt:lpstr>
      <vt:lpstr>dr902.2.1</vt:lpstr>
      <vt:lpstr>dr902.2.1_1</vt:lpstr>
      <vt:lpstr>dr902.2.1_2</vt:lpstr>
      <vt:lpstr>dr902.2.1_3</vt:lpstr>
      <vt:lpstr>dr902.2.1_4</vt:lpstr>
      <vt:lpstr>dr902.2.2</vt:lpstr>
      <vt:lpstr>dr902.2.3</vt:lpstr>
      <vt:lpstr>dr902.3_1</vt:lpstr>
      <vt:lpstr>dr902.3_1_a</vt:lpstr>
      <vt:lpstr>dr902.3_1_b</vt:lpstr>
      <vt:lpstr>dr902.3_2_a</vt:lpstr>
      <vt:lpstr>dr902.4_1</vt:lpstr>
      <vt:lpstr>dr902.4_2</vt:lpstr>
      <vt:lpstr>dr902.5</vt:lpstr>
      <vt:lpstr>dr902.6</vt:lpstr>
      <vt:lpstr>dr903.1.1</vt:lpstr>
      <vt:lpstr>dr903.1.2</vt:lpstr>
      <vt:lpstr>dr903.2_1</vt:lpstr>
      <vt:lpstr>dr903.2_2</vt:lpstr>
      <vt:lpstr>dr903.3_1</vt:lpstr>
      <vt:lpstr>dr903.3_2</vt:lpstr>
      <vt:lpstr>dr904.1</vt:lpstr>
      <vt:lpstr>dr904.2</vt:lpstr>
      <vt:lpstr>drchoice901.1.1</vt:lpstr>
      <vt:lpstr>drchoice901.2.1_1</vt:lpstr>
      <vt:lpstr>drchoice901.2.1_2</vt:lpstr>
      <vt:lpstr>drchoice901.2.1_3</vt:lpstr>
      <vt:lpstr>drchoice901.2.1_4</vt:lpstr>
      <vt:lpstr>drchoice901.2.1_5</vt:lpstr>
      <vt:lpstr>drchoice901.3_1_a</vt:lpstr>
      <vt:lpstr>drchoice901.3_1_b</vt:lpstr>
      <vt:lpstr>drchoice901.5</vt:lpstr>
      <vt:lpstr>drchoice902.1.1_1</vt:lpstr>
      <vt:lpstr>drclaim901.1.1</vt:lpstr>
      <vt:lpstr>drclaim901.2.1_1</vt:lpstr>
      <vt:lpstr>drclaim901.2.1_2</vt:lpstr>
      <vt:lpstr>drclaim901.2.1_3</vt:lpstr>
      <vt:lpstr>drclaim901.2.1_4</vt:lpstr>
      <vt:lpstr>drclaim901.2.1_5</vt:lpstr>
      <vt:lpstr>drclaim901.3_1_a</vt:lpstr>
      <vt:lpstr>drclaim901.3_1_b</vt:lpstr>
      <vt:lpstr>drclaim901.5_1</vt:lpstr>
      <vt:lpstr>drclaim901.5_2</vt:lpstr>
      <vt:lpstr>drclaim902.1.1_1</vt:lpstr>
      <vt:lpstr>drclaim902.1.4</vt:lpstr>
      <vt:lpstr>Eight</vt:lpstr>
      <vt:lpstr>Electric</vt:lpstr>
      <vt:lpstr>emeraldMinimum</vt:lpstr>
      <vt:lpstr>energypath</vt:lpstr>
      <vt:lpstr>enter610.1.2_1_4meas</vt:lpstr>
      <vt:lpstr>enter610.1.2_1_5meas</vt:lpstr>
      <vt:lpstr>enter610.1.2_2_floors</vt:lpstr>
      <vt:lpstr>enter610.1.2_2_interior</vt:lpstr>
      <vt:lpstr>enter610.1.2_2_roof</vt:lpstr>
      <vt:lpstr>enter610.1.2_2_walls</vt:lpstr>
      <vt:lpstr>enter705.5</vt:lpstr>
      <vt:lpstr>enter802_1_1</vt:lpstr>
      <vt:lpstr>enterRecessedLights</vt:lpstr>
      <vt:lpstr>ExpectedLevel</vt:lpstr>
      <vt:lpstr>figure6_1</vt:lpstr>
      <vt:lpstr>figure6_2</vt:lpstr>
      <vt:lpstr>figure6_3</vt:lpstr>
      <vt:lpstr>figure9_1</vt:lpstr>
      <vt:lpstr>FinalBDate</vt:lpstr>
      <vt:lpstr>FinalEndTime</vt:lpstr>
      <vt:lpstr>finalLevelReached</vt:lpstr>
      <vt:lpstr>FinalStartTime</vt:lpstr>
      <vt:lpstr>FinalVDate</vt:lpstr>
      <vt:lpstr>Five</vt:lpstr>
      <vt:lpstr>foundation1</vt:lpstr>
      <vt:lpstr>foundation2</vt:lpstr>
      <vt:lpstr>foundation3</vt:lpstr>
      <vt:lpstr>foundation4</vt:lpstr>
      <vt:lpstr>foundation5</vt:lpstr>
      <vt:lpstr>foundation6</vt:lpstr>
      <vt:lpstr>foundation7</vt:lpstr>
      <vt:lpstr>foundation8</vt:lpstr>
      <vt:lpstr>foundation9</vt:lpstr>
      <vt:lpstr>Four</vt:lpstr>
      <vt:lpstr>Furnace</vt:lpstr>
      <vt:lpstr>gap1001.1</vt:lpstr>
      <vt:lpstr>gap1002.1</vt:lpstr>
      <vt:lpstr>gap1003.1</vt:lpstr>
      <vt:lpstr>gap1003.2</vt:lpstr>
      <vt:lpstr>gap1003.3</vt:lpstr>
      <vt:lpstr>gap501.1_1</vt:lpstr>
      <vt:lpstr>gap501.1_2</vt:lpstr>
      <vt:lpstr>gap501.1_3</vt:lpstr>
      <vt:lpstr>gap501.1_4</vt:lpstr>
      <vt:lpstr>gap501.1_5</vt:lpstr>
      <vt:lpstr>gap501.2_2</vt:lpstr>
      <vt:lpstr>gap501.2_3</vt:lpstr>
      <vt:lpstr>gap501.2_4</vt:lpstr>
      <vt:lpstr>gap502.1</vt:lpstr>
      <vt:lpstr>gap503.1_1</vt:lpstr>
      <vt:lpstr>gap503.1_2</vt:lpstr>
      <vt:lpstr>gap503.1_3</vt:lpstr>
      <vt:lpstr>gap503.1_4</vt:lpstr>
      <vt:lpstr>gap503.1_5</vt:lpstr>
      <vt:lpstr>gap503.1_6</vt:lpstr>
      <vt:lpstr>gap503.1_7</vt:lpstr>
      <vt:lpstr>gap503.2_1</vt:lpstr>
      <vt:lpstr>gap503.2_2</vt:lpstr>
      <vt:lpstr>gap503.2_3</vt:lpstr>
      <vt:lpstr>gap503.2_4</vt:lpstr>
      <vt:lpstr>gap503.2_5</vt:lpstr>
      <vt:lpstr>gap503.3_1</vt:lpstr>
      <vt:lpstr>gap503.3_2</vt:lpstr>
      <vt:lpstr>gap503.3_3</vt:lpstr>
      <vt:lpstr>gap503.4_1</vt:lpstr>
      <vt:lpstr>gap503.4_3</vt:lpstr>
      <vt:lpstr>gap503.4_4</vt:lpstr>
      <vt:lpstr>gap503.4_5</vt:lpstr>
      <vt:lpstr>gap503.4_6</vt:lpstr>
      <vt:lpstr>gap503.5_1</vt:lpstr>
      <vt:lpstr>gap503.5_2</vt:lpstr>
      <vt:lpstr>gap503.5_3</vt:lpstr>
      <vt:lpstr>gap503.5_4</vt:lpstr>
      <vt:lpstr>gap503.5_5</vt:lpstr>
      <vt:lpstr>gap503.5_6</vt:lpstr>
      <vt:lpstr>gap503.5_7</vt:lpstr>
      <vt:lpstr>gap503.5_8</vt:lpstr>
      <vt:lpstr>gap503.6_1</vt:lpstr>
      <vt:lpstr>gap503.6_2</vt:lpstr>
      <vt:lpstr>gap503.6_3</vt:lpstr>
      <vt:lpstr>gap503.6_4</vt:lpstr>
      <vt:lpstr>gap503.7_1</vt:lpstr>
      <vt:lpstr>gap503.7_2</vt:lpstr>
      <vt:lpstr>gap504.1</vt:lpstr>
      <vt:lpstr>gap504.2_1</vt:lpstr>
      <vt:lpstr>gap504.2_2</vt:lpstr>
      <vt:lpstr>gap504.2_3</vt:lpstr>
      <vt:lpstr>gap504.3_1</vt:lpstr>
      <vt:lpstr>gap504.3_2</vt:lpstr>
      <vt:lpstr>gap504.3_3</vt:lpstr>
      <vt:lpstr>gap504.3_4</vt:lpstr>
      <vt:lpstr>gap504.3_5</vt:lpstr>
      <vt:lpstr>gap504.3_6</vt:lpstr>
      <vt:lpstr>gap504.3_7</vt:lpstr>
      <vt:lpstr>gap504.3_8</vt:lpstr>
      <vt:lpstr>gap504.3_9</vt:lpstr>
      <vt:lpstr>gap505.1_1</vt:lpstr>
      <vt:lpstr>gap505.1_2</vt:lpstr>
      <vt:lpstr>gap505.1_3</vt:lpstr>
      <vt:lpstr>gap505.2_1</vt:lpstr>
      <vt:lpstr>gap505.2_2</vt:lpstr>
      <vt:lpstr>gap505.3</vt:lpstr>
      <vt:lpstr>gap505.4</vt:lpstr>
      <vt:lpstr>gap505.5</vt:lpstr>
      <vt:lpstr>gap601.1</vt:lpstr>
      <vt:lpstr>gap601.2_1</vt:lpstr>
      <vt:lpstr>gap601.2_2</vt:lpstr>
      <vt:lpstr>gap601.2_3</vt:lpstr>
      <vt:lpstr>gap601.3_1</vt:lpstr>
      <vt:lpstr>gap601.3_2</vt:lpstr>
      <vt:lpstr>gap601.3_3</vt:lpstr>
      <vt:lpstr>gap601.3_4</vt:lpstr>
      <vt:lpstr>gap601.3_5</vt:lpstr>
      <vt:lpstr>gap601.4</vt:lpstr>
      <vt:lpstr>gap601.5_1thru3</vt:lpstr>
      <vt:lpstr>gap601.5_4</vt:lpstr>
      <vt:lpstr>gap601.5_5</vt:lpstr>
      <vt:lpstr>gap601.6</vt:lpstr>
      <vt:lpstr>gap601.7</vt:lpstr>
      <vt:lpstr>gap601.8</vt:lpstr>
      <vt:lpstr>gap601.9</vt:lpstr>
      <vt:lpstr>gap602.1.1.1</vt:lpstr>
      <vt:lpstr>gap602.1.1.2</vt:lpstr>
      <vt:lpstr>gap602.1.10</vt:lpstr>
      <vt:lpstr>gap602.1.11</vt:lpstr>
      <vt:lpstr>gap602.1.12</vt:lpstr>
      <vt:lpstr>gap602.1.14</vt:lpstr>
      <vt:lpstr>gap602.1.15_1</vt:lpstr>
      <vt:lpstr>gap602.1.15_2</vt:lpstr>
      <vt:lpstr>gap602.1.15_3</vt:lpstr>
      <vt:lpstr>gap602.1.2</vt:lpstr>
      <vt:lpstr>gap602.1.3.1</vt:lpstr>
      <vt:lpstr>gap602.1.3.2</vt:lpstr>
      <vt:lpstr>gap602.1.4.1_1</vt:lpstr>
      <vt:lpstr>gap602.1.4.1_2</vt:lpstr>
      <vt:lpstr>gap602.1.4.2</vt:lpstr>
      <vt:lpstr>gap602.1.5</vt:lpstr>
      <vt:lpstr>gap602.1.6</vt:lpstr>
      <vt:lpstr>gap602.1.7.1_2</vt:lpstr>
      <vt:lpstr>gap602.1.7.1_3</vt:lpstr>
      <vt:lpstr>gap602.1.7.2</vt:lpstr>
      <vt:lpstr>gap602.1.8</vt:lpstr>
      <vt:lpstr>gap602.1.9_1</vt:lpstr>
      <vt:lpstr>gap602.1.9_2</vt:lpstr>
      <vt:lpstr>gap602.1.9_3</vt:lpstr>
      <vt:lpstr>gap602.1.9_4</vt:lpstr>
      <vt:lpstr>gap602.1.9_5</vt:lpstr>
      <vt:lpstr>gap602.1.9_6</vt:lpstr>
      <vt:lpstr>gap602.1.9_7</vt:lpstr>
      <vt:lpstr>gap602.2</vt:lpstr>
      <vt:lpstr>gap602.3</vt:lpstr>
      <vt:lpstr>gap602.4.1</vt:lpstr>
      <vt:lpstr>gap602.4.2</vt:lpstr>
      <vt:lpstr>gap602.4.3</vt:lpstr>
      <vt:lpstr>gap603.1</vt:lpstr>
      <vt:lpstr>gap603.2</vt:lpstr>
      <vt:lpstr>gap603.3</vt:lpstr>
      <vt:lpstr>gap604.1.1</vt:lpstr>
      <vt:lpstr>gap604.1.2</vt:lpstr>
      <vt:lpstr>gap605.1</vt:lpstr>
      <vt:lpstr>gap605.2</vt:lpstr>
      <vt:lpstr>gap605.3</vt:lpstr>
      <vt:lpstr>gap606.1</vt:lpstr>
      <vt:lpstr>gap606.2_1</vt:lpstr>
      <vt:lpstr>gap606.2_2</vt:lpstr>
      <vt:lpstr>gap606.3</vt:lpstr>
      <vt:lpstr>gap607.1_1</vt:lpstr>
      <vt:lpstr>gap607.1_2</vt:lpstr>
      <vt:lpstr>gap607.2</vt:lpstr>
      <vt:lpstr>gap608.1</vt:lpstr>
      <vt:lpstr>gap609.1</vt:lpstr>
      <vt:lpstr>gap610.1.1</vt:lpstr>
      <vt:lpstr>gap610.1.2_1</vt:lpstr>
      <vt:lpstr>gap610.1.2_2</vt:lpstr>
      <vt:lpstr>gap611.1</vt:lpstr>
      <vt:lpstr>gap611.2_1</vt:lpstr>
      <vt:lpstr>gap611.2_2</vt:lpstr>
      <vt:lpstr>gap611.2_3</vt:lpstr>
      <vt:lpstr>gap611.2_4</vt:lpstr>
      <vt:lpstr>gap611.2_5</vt:lpstr>
      <vt:lpstr>gap611.2_6</vt:lpstr>
      <vt:lpstr>gap611.2_7</vt:lpstr>
      <vt:lpstr>gap611.3_1</vt:lpstr>
      <vt:lpstr>gap611.3_2</vt:lpstr>
      <vt:lpstr>gap611.3_3</vt:lpstr>
      <vt:lpstr>gap611.3_4</vt:lpstr>
      <vt:lpstr>gap701.1.3</vt:lpstr>
      <vt:lpstr>gap701.3</vt:lpstr>
      <vt:lpstr>gap701.4.1.1</vt:lpstr>
      <vt:lpstr>gap701.4.1.2</vt:lpstr>
      <vt:lpstr>gap701.4.2.1</vt:lpstr>
      <vt:lpstr>gap701.4.2.2</vt:lpstr>
      <vt:lpstr>gap701.4.2.3</vt:lpstr>
      <vt:lpstr>gap701.4.3.1</vt:lpstr>
      <vt:lpstr>gap701.4.3.2_1</vt:lpstr>
      <vt:lpstr>gap701.4.3.2_2</vt:lpstr>
      <vt:lpstr>gap701.4.3.3</vt:lpstr>
      <vt:lpstr>gap701.4.3.4</vt:lpstr>
      <vt:lpstr>gap701.4.4</vt:lpstr>
      <vt:lpstr>gap701.4.5</vt:lpstr>
      <vt:lpstr>gap702.2.1</vt:lpstr>
      <vt:lpstr>gap702.2.2</vt:lpstr>
      <vt:lpstr>gap703.1.1</vt:lpstr>
      <vt:lpstr>gap703.1.2</vt:lpstr>
      <vt:lpstr>gap703.1.3</vt:lpstr>
      <vt:lpstr>gap703.1.4</vt:lpstr>
      <vt:lpstr>gap703.1.5</vt:lpstr>
      <vt:lpstr>gap703.1.6.1</vt:lpstr>
      <vt:lpstr>gap703.1.6.2</vt:lpstr>
      <vt:lpstr>gap703.2.1</vt:lpstr>
      <vt:lpstr>gap703.2.2</vt:lpstr>
      <vt:lpstr>gap703.2.3</vt:lpstr>
      <vt:lpstr>gap703.2.4</vt:lpstr>
      <vt:lpstr>gap703.2.5</vt:lpstr>
      <vt:lpstr>gap703.2.6</vt:lpstr>
      <vt:lpstr>gap703.2.7</vt:lpstr>
      <vt:lpstr>gap703.2.8</vt:lpstr>
      <vt:lpstr>gap703.2.9</vt:lpstr>
      <vt:lpstr>gap703.3.1</vt:lpstr>
      <vt:lpstr>gap703.3.2</vt:lpstr>
      <vt:lpstr>gap703.3.3</vt:lpstr>
      <vt:lpstr>gap703.3.4</vt:lpstr>
      <vt:lpstr>gap703.4.1</vt:lpstr>
      <vt:lpstr>gap703.4.2</vt:lpstr>
      <vt:lpstr>gap703.4.3</vt:lpstr>
      <vt:lpstr>gap703.4.4</vt:lpstr>
      <vt:lpstr>gap703.4.5</vt:lpstr>
      <vt:lpstr>gap703.5.1</vt:lpstr>
      <vt:lpstr>gap703.5.2</vt:lpstr>
      <vt:lpstr>gap703.5.3_1</vt:lpstr>
      <vt:lpstr>gap703.5.3_2</vt:lpstr>
      <vt:lpstr>gap703.5.3_3</vt:lpstr>
      <vt:lpstr>gap703.5.4</vt:lpstr>
      <vt:lpstr>gap703.6.1</vt:lpstr>
      <vt:lpstr>gap703.6.2</vt:lpstr>
      <vt:lpstr>gap703.6.3</vt:lpstr>
      <vt:lpstr>gap703.6.4</vt:lpstr>
      <vt:lpstr>gap704.2.1</vt:lpstr>
      <vt:lpstr>gap704.2.2</vt:lpstr>
      <vt:lpstr>gap704.2.3</vt:lpstr>
      <vt:lpstr>gap704.3</vt:lpstr>
      <vt:lpstr>gap704.4.1</vt:lpstr>
      <vt:lpstr>gap704.4.2</vt:lpstr>
      <vt:lpstr>gap704.4.3</vt:lpstr>
      <vt:lpstr>gap704.5.1</vt:lpstr>
      <vt:lpstr>gap704.5.2.1</vt:lpstr>
      <vt:lpstr>gap704.5.2.2</vt:lpstr>
      <vt:lpstr>gap704.5.3</vt:lpstr>
      <vt:lpstr>gap705.1</vt:lpstr>
      <vt:lpstr>gap705.2</vt:lpstr>
      <vt:lpstr>gap705.3</vt:lpstr>
      <vt:lpstr>gap705.4.1</vt:lpstr>
      <vt:lpstr>gap705.4.2</vt:lpstr>
      <vt:lpstr>gap705.5</vt:lpstr>
      <vt:lpstr>gap705.6</vt:lpstr>
      <vt:lpstr>gap705.7</vt:lpstr>
      <vt:lpstr>gap801.1.1</vt:lpstr>
      <vt:lpstr>gap801.1.1_1thru4a</vt:lpstr>
      <vt:lpstr>gap801.1.1_5</vt:lpstr>
      <vt:lpstr>gap801.1.1_6</vt:lpstr>
      <vt:lpstr>gap801.2_1</vt:lpstr>
      <vt:lpstr>gap801.2_2</vt:lpstr>
      <vt:lpstr>gap801.3_1</vt:lpstr>
      <vt:lpstr>gap801.3_2</vt:lpstr>
      <vt:lpstr>gap801.3_3</vt:lpstr>
      <vt:lpstr>gap801.4.1_1</vt:lpstr>
      <vt:lpstr>gap801.4.1_2</vt:lpstr>
      <vt:lpstr>gap801.4.2</vt:lpstr>
      <vt:lpstr>gap801.5_1</vt:lpstr>
      <vt:lpstr>gap801.5_2</vt:lpstr>
      <vt:lpstr>gap801.5_3</vt:lpstr>
      <vt:lpstr>gap801.5_3a</vt:lpstr>
      <vt:lpstr>gap801.5_3b</vt:lpstr>
      <vt:lpstr>gap801.5_3c</vt:lpstr>
      <vt:lpstr>gap801.6.1</vt:lpstr>
      <vt:lpstr>gap801.6.2</vt:lpstr>
      <vt:lpstr>gap801.6.3</vt:lpstr>
      <vt:lpstr>gap801.6.4</vt:lpstr>
      <vt:lpstr>gap801.6.5</vt:lpstr>
      <vt:lpstr>gap801.7.1</vt:lpstr>
      <vt:lpstr>gap801.7.2</vt:lpstr>
      <vt:lpstr>gap801.8</vt:lpstr>
      <vt:lpstr>gap802.1</vt:lpstr>
      <vt:lpstr>gap802.2</vt:lpstr>
      <vt:lpstr>gap802.3</vt:lpstr>
      <vt:lpstr>gap802.4</vt:lpstr>
      <vt:lpstr>gap802.5</vt:lpstr>
      <vt:lpstr>gap901.1.1</vt:lpstr>
      <vt:lpstr>gap901.1.2</vt:lpstr>
      <vt:lpstr>gap901.1.3_1</vt:lpstr>
      <vt:lpstr>gap901.1.3_2</vt:lpstr>
      <vt:lpstr>gap901.1.4</vt:lpstr>
      <vt:lpstr>gap901.1.5</vt:lpstr>
      <vt:lpstr>gap901.1.6</vt:lpstr>
      <vt:lpstr>gap901.10</vt:lpstr>
      <vt:lpstr>gap901.11</vt:lpstr>
      <vt:lpstr>gap901.12</vt:lpstr>
      <vt:lpstr>gap901.13</vt:lpstr>
      <vt:lpstr>gap901.14</vt:lpstr>
      <vt:lpstr>gap901.2.1_1</vt:lpstr>
      <vt:lpstr>gap901.2.1_2</vt:lpstr>
      <vt:lpstr>gap901.2.1_3</vt:lpstr>
      <vt:lpstr>gap901.2.1_4</vt:lpstr>
      <vt:lpstr>gap901.2.1_5</vt:lpstr>
      <vt:lpstr>gap901.2.2</vt:lpstr>
      <vt:lpstr>gap901.3_1_a</vt:lpstr>
      <vt:lpstr>gap901.3_1_b</vt:lpstr>
      <vt:lpstr>gap901.3_1_c</vt:lpstr>
      <vt:lpstr>gap901.3_2</vt:lpstr>
      <vt:lpstr>gap901.4_1</vt:lpstr>
      <vt:lpstr>gap901.4_2thru6</vt:lpstr>
      <vt:lpstr>gap901.5</vt:lpstr>
      <vt:lpstr>gap901.6_1</vt:lpstr>
      <vt:lpstr>gap901.6_2</vt:lpstr>
      <vt:lpstr>gap901.7</vt:lpstr>
      <vt:lpstr>gap901.8</vt:lpstr>
      <vt:lpstr>gap901.9</vt:lpstr>
      <vt:lpstr>gap902.1.1_1</vt:lpstr>
      <vt:lpstr>gap902.1.1_2</vt:lpstr>
      <vt:lpstr>gap902.1.1_3</vt:lpstr>
      <vt:lpstr>gap902.1.2</vt:lpstr>
      <vt:lpstr>gap902.1.3</vt:lpstr>
      <vt:lpstr>gap902.2.1</vt:lpstr>
      <vt:lpstr>gap902.2.2</vt:lpstr>
      <vt:lpstr>gap902.2.3</vt:lpstr>
      <vt:lpstr>gap902.3_2</vt:lpstr>
      <vt:lpstr>gap902.4</vt:lpstr>
      <vt:lpstr>gap902.5</vt:lpstr>
      <vt:lpstr>gap902.6</vt:lpstr>
      <vt:lpstr>gap903.1.1</vt:lpstr>
      <vt:lpstr>gap903.1.2</vt:lpstr>
      <vt:lpstr>gap903.2_1</vt:lpstr>
      <vt:lpstr>gap903.2_2</vt:lpstr>
      <vt:lpstr>gap903.3</vt:lpstr>
      <vt:lpstr>gap904.1</vt:lpstr>
      <vt:lpstr>gap904.2</vt:lpstr>
      <vt:lpstr>GasBoiler</vt:lpstr>
      <vt:lpstr>GasHeaters</vt:lpstr>
      <vt:lpstr>GasTableA</vt:lpstr>
      <vt:lpstr>GasTableB</vt:lpstr>
      <vt:lpstr>goldMinimum</vt:lpstr>
      <vt:lpstr>HeatPump</vt:lpstr>
      <vt:lpstr>HERS</vt:lpstr>
      <vt:lpstr>HEToilets</vt:lpstr>
      <vt:lpstr>HVAC</vt:lpstr>
      <vt:lpstr>levelStatement</vt:lpstr>
      <vt:lpstr>link602.1.12</vt:lpstr>
      <vt:lpstr>link602.1.5</vt:lpstr>
      <vt:lpstr>link602.1.6</vt:lpstr>
      <vt:lpstr>link703.1.1</vt:lpstr>
      <vt:lpstr>link703.1.2</vt:lpstr>
      <vt:lpstr>link703.6.1</vt:lpstr>
      <vt:lpstr>link703.6.4</vt:lpstr>
      <vt:lpstr>link901.10</vt:lpstr>
      <vt:lpstr>link901.11</vt:lpstr>
      <vt:lpstr>link901.3</vt:lpstr>
      <vt:lpstr>link901.5</vt:lpstr>
      <vt:lpstr>link901.6</vt:lpstr>
      <vt:lpstr>link901.7</vt:lpstr>
      <vt:lpstr>link901.8</vt:lpstr>
      <vt:lpstr>link901.9.1</vt:lpstr>
      <vt:lpstr>link901.9.3</vt:lpstr>
      <vt:lpstr>link902.2.1</vt:lpstr>
      <vt:lpstr>link902.3</vt:lpstr>
      <vt:lpstr>link903.3</vt:lpstr>
      <vt:lpstr>LotNo</vt:lpstr>
      <vt:lpstr>mandatoryStatus</vt:lpstr>
      <vt:lpstr>note1001.1_1</vt:lpstr>
      <vt:lpstr>note1001.1_10</vt:lpstr>
      <vt:lpstr>note1001.1_11</vt:lpstr>
      <vt:lpstr>note1001.1_12</vt:lpstr>
      <vt:lpstr>note1001.1_13</vt:lpstr>
      <vt:lpstr>note1001.1_14</vt:lpstr>
      <vt:lpstr>note1001.1_15</vt:lpstr>
      <vt:lpstr>note1001.1_16</vt:lpstr>
      <vt:lpstr>note1001.1_17</vt:lpstr>
      <vt:lpstr>note1001.1_18</vt:lpstr>
      <vt:lpstr>note1001.1_19</vt:lpstr>
      <vt:lpstr>note1001.1_2</vt:lpstr>
      <vt:lpstr>note1001.1_20</vt:lpstr>
      <vt:lpstr>note1001.1_21</vt:lpstr>
      <vt:lpstr>note1001.1_3</vt:lpstr>
      <vt:lpstr>note1001.1_4</vt:lpstr>
      <vt:lpstr>note1001.1_5</vt:lpstr>
      <vt:lpstr>note1001.1_6</vt:lpstr>
      <vt:lpstr>note1001.1_7</vt:lpstr>
      <vt:lpstr>note1001.1_8</vt:lpstr>
      <vt:lpstr>note1001.1_9</vt:lpstr>
      <vt:lpstr>note1002.1</vt:lpstr>
      <vt:lpstr>note1003.1_1</vt:lpstr>
      <vt:lpstr>note1003.1_2</vt:lpstr>
      <vt:lpstr>note1003.1_3</vt:lpstr>
      <vt:lpstr>note1003.1_4</vt:lpstr>
      <vt:lpstr>note1003.1_5</vt:lpstr>
      <vt:lpstr>note1003.1_6</vt:lpstr>
      <vt:lpstr>note1003.1_7</vt:lpstr>
      <vt:lpstr>note1003.1_8</vt:lpstr>
      <vt:lpstr>note1003.2_1</vt:lpstr>
      <vt:lpstr>note1003.2_10</vt:lpstr>
      <vt:lpstr>note1003.2_2</vt:lpstr>
      <vt:lpstr>note1003.2_3</vt:lpstr>
      <vt:lpstr>note1003.2_4</vt:lpstr>
      <vt:lpstr>note1003.2_5</vt:lpstr>
      <vt:lpstr>note1003.2_6</vt:lpstr>
      <vt:lpstr>note1003.2_7</vt:lpstr>
      <vt:lpstr>note1003.2_8</vt:lpstr>
      <vt:lpstr>note1003.2_9</vt:lpstr>
      <vt:lpstr>note1003.3_1</vt:lpstr>
      <vt:lpstr>note1003.3_2</vt:lpstr>
      <vt:lpstr>note1003.3_3</vt:lpstr>
      <vt:lpstr>note1003.3_4</vt:lpstr>
      <vt:lpstr>note1003.3_5</vt:lpstr>
      <vt:lpstr>note1003.3_6</vt:lpstr>
      <vt:lpstr>note1003.3_7</vt:lpstr>
      <vt:lpstr>note1003.3_8</vt:lpstr>
      <vt:lpstr>note1003.3_9</vt:lpstr>
      <vt:lpstr>note501.1_1</vt:lpstr>
      <vt:lpstr>note501.1_2</vt:lpstr>
      <vt:lpstr>note501.1_3</vt:lpstr>
      <vt:lpstr>note501.1_4</vt:lpstr>
      <vt:lpstr>note501.1_5</vt:lpstr>
      <vt:lpstr>note501.2_1</vt:lpstr>
      <vt:lpstr>note501.2_2</vt:lpstr>
      <vt:lpstr>note501.2_3</vt:lpstr>
      <vt:lpstr>note501.2_4</vt:lpstr>
      <vt:lpstr>note502.1</vt:lpstr>
      <vt:lpstr>note503.1_1</vt:lpstr>
      <vt:lpstr>note503.1_2</vt:lpstr>
      <vt:lpstr>note503.1_3</vt:lpstr>
      <vt:lpstr>note503.1_4</vt:lpstr>
      <vt:lpstr>note503.1_5</vt:lpstr>
      <vt:lpstr>note503.1_6</vt:lpstr>
      <vt:lpstr>note503.1_7</vt:lpstr>
      <vt:lpstr>note503.2_1</vt:lpstr>
      <vt:lpstr>note503.2_2</vt:lpstr>
      <vt:lpstr>note503.2_3</vt:lpstr>
      <vt:lpstr>note503.2_4</vt:lpstr>
      <vt:lpstr>note503.2_5</vt:lpstr>
      <vt:lpstr>note503.3_1</vt:lpstr>
      <vt:lpstr>note503.3_2</vt:lpstr>
      <vt:lpstr>note503.3_3</vt:lpstr>
      <vt:lpstr>note503.4_1</vt:lpstr>
      <vt:lpstr>note503.4_2</vt:lpstr>
      <vt:lpstr>note503.4_3</vt:lpstr>
      <vt:lpstr>note503.4_4</vt:lpstr>
      <vt:lpstr>note503.4_5</vt:lpstr>
      <vt:lpstr>note503.4_6</vt:lpstr>
      <vt:lpstr>note503.5_1</vt:lpstr>
      <vt:lpstr>note503.5_2</vt:lpstr>
      <vt:lpstr>note503.5_3</vt:lpstr>
      <vt:lpstr>note503.5_4</vt:lpstr>
      <vt:lpstr>note503.5_5</vt:lpstr>
      <vt:lpstr>note503.5_6</vt:lpstr>
      <vt:lpstr>note503.5_7</vt:lpstr>
      <vt:lpstr>note503.5_8</vt:lpstr>
      <vt:lpstr>note503.6_1</vt:lpstr>
      <vt:lpstr>note503.6_2</vt:lpstr>
      <vt:lpstr>note503.6_3</vt:lpstr>
      <vt:lpstr>note503.6_4</vt:lpstr>
      <vt:lpstr>note503.7_1</vt:lpstr>
      <vt:lpstr>note503.7_2</vt:lpstr>
      <vt:lpstr>note504.1</vt:lpstr>
      <vt:lpstr>note504.2_1</vt:lpstr>
      <vt:lpstr>note504.2_2</vt:lpstr>
      <vt:lpstr>note504.2_3</vt:lpstr>
      <vt:lpstr>note504.3_1</vt:lpstr>
      <vt:lpstr>note504.3_2</vt:lpstr>
      <vt:lpstr>note504.3_3</vt:lpstr>
      <vt:lpstr>note504.3_4</vt:lpstr>
      <vt:lpstr>note504.3_5</vt:lpstr>
      <vt:lpstr>note504.3_6</vt:lpstr>
      <vt:lpstr>note504.3_7</vt:lpstr>
      <vt:lpstr>note504.3_8</vt:lpstr>
      <vt:lpstr>note504.3_9</vt:lpstr>
      <vt:lpstr>note505.1_1</vt:lpstr>
      <vt:lpstr>note505.1_2</vt:lpstr>
      <vt:lpstr>note505.1_3</vt:lpstr>
      <vt:lpstr>note505.2_1</vt:lpstr>
      <vt:lpstr>note505.2_2</vt:lpstr>
      <vt:lpstr>note505.3</vt:lpstr>
      <vt:lpstr>note505.4</vt:lpstr>
      <vt:lpstr>note505.5</vt:lpstr>
      <vt:lpstr>note601.1</vt:lpstr>
      <vt:lpstr>note601.2_1</vt:lpstr>
      <vt:lpstr>note601.2_2</vt:lpstr>
      <vt:lpstr>note601.2_3</vt:lpstr>
      <vt:lpstr>note601.3_1</vt:lpstr>
      <vt:lpstr>note601.3_2</vt:lpstr>
      <vt:lpstr>note601.3_3</vt:lpstr>
      <vt:lpstr>note601.3_4</vt:lpstr>
      <vt:lpstr>note601.3_5</vt:lpstr>
      <vt:lpstr>note601.4</vt:lpstr>
      <vt:lpstr>note601.5_1</vt:lpstr>
      <vt:lpstr>note601.5_2</vt:lpstr>
      <vt:lpstr>note601.5_3</vt:lpstr>
      <vt:lpstr>note601.5_4</vt:lpstr>
      <vt:lpstr>note601.5_5</vt:lpstr>
      <vt:lpstr>note601.6</vt:lpstr>
      <vt:lpstr>note601.7</vt:lpstr>
      <vt:lpstr>note601.8</vt:lpstr>
      <vt:lpstr>note601.9</vt:lpstr>
      <vt:lpstr>note602.1.1.1</vt:lpstr>
      <vt:lpstr>note602.1.1.2</vt:lpstr>
      <vt:lpstr>note602.1.10</vt:lpstr>
      <vt:lpstr>note602.1.11</vt:lpstr>
      <vt:lpstr>note602.1.12</vt:lpstr>
      <vt:lpstr>note602.1.13</vt:lpstr>
      <vt:lpstr>note602.1.14_1</vt:lpstr>
      <vt:lpstr>note602.1.14_2</vt:lpstr>
      <vt:lpstr>note602.1.14_3</vt:lpstr>
      <vt:lpstr>note602.1.2</vt:lpstr>
      <vt:lpstr>note602.1.3.1</vt:lpstr>
      <vt:lpstr>note602.1.3.2</vt:lpstr>
      <vt:lpstr>note602.1.4.1_1</vt:lpstr>
      <vt:lpstr>note602.1.4.1_2</vt:lpstr>
      <vt:lpstr>note602.1.4.2_1</vt:lpstr>
      <vt:lpstr>note602.1.4.2_2</vt:lpstr>
      <vt:lpstr>note602.1.5</vt:lpstr>
      <vt:lpstr>note602.1.6</vt:lpstr>
      <vt:lpstr>note602.1.7.1_1</vt:lpstr>
      <vt:lpstr>note602.1.7.1_2</vt:lpstr>
      <vt:lpstr>note602.1.7.1_3</vt:lpstr>
      <vt:lpstr>note602.1.7.2</vt:lpstr>
      <vt:lpstr>note602.1.8</vt:lpstr>
      <vt:lpstr>note602.1.9_1</vt:lpstr>
      <vt:lpstr>note602.1.9_2</vt:lpstr>
      <vt:lpstr>note602.1.9_3</vt:lpstr>
      <vt:lpstr>note602.1.9_4</vt:lpstr>
      <vt:lpstr>note602.1.9_5</vt:lpstr>
      <vt:lpstr>note602.1.9_6</vt:lpstr>
      <vt:lpstr>note602.1.9_7</vt:lpstr>
      <vt:lpstr>note602.2</vt:lpstr>
      <vt:lpstr>note602.3</vt:lpstr>
      <vt:lpstr>note602.4.1</vt:lpstr>
      <vt:lpstr>note602.4.2</vt:lpstr>
      <vt:lpstr>note602.4.3</vt:lpstr>
      <vt:lpstr>note603.1</vt:lpstr>
      <vt:lpstr>note603.2</vt:lpstr>
      <vt:lpstr>note603.3</vt:lpstr>
      <vt:lpstr>note604.1.1</vt:lpstr>
      <vt:lpstr>note604.1.2</vt:lpstr>
      <vt:lpstr>note605.1</vt:lpstr>
      <vt:lpstr>note605.2</vt:lpstr>
      <vt:lpstr>note605.3</vt:lpstr>
      <vt:lpstr>note606.1</vt:lpstr>
      <vt:lpstr>note606.2</vt:lpstr>
      <vt:lpstr>note606.3</vt:lpstr>
      <vt:lpstr>note607.1_1</vt:lpstr>
      <vt:lpstr>note607.1_2</vt:lpstr>
      <vt:lpstr>note607.2</vt:lpstr>
      <vt:lpstr>note608.1</vt:lpstr>
      <vt:lpstr>note609.1</vt:lpstr>
      <vt:lpstr>note610.1</vt:lpstr>
      <vt:lpstr>note610.1.1</vt:lpstr>
      <vt:lpstr>note610.1.2_1</vt:lpstr>
      <vt:lpstr>note610.1.2_2</vt:lpstr>
      <vt:lpstr>note611.1</vt:lpstr>
      <vt:lpstr>note611.2_1</vt:lpstr>
      <vt:lpstr>note611.2_2</vt:lpstr>
      <vt:lpstr>note611.2_3</vt:lpstr>
      <vt:lpstr>note611.2_4</vt:lpstr>
      <vt:lpstr>note611.2_5</vt:lpstr>
      <vt:lpstr>note611.2_6</vt:lpstr>
      <vt:lpstr>note611.2_7</vt:lpstr>
      <vt:lpstr>note611.3_1</vt:lpstr>
      <vt:lpstr>note611.3_2</vt:lpstr>
      <vt:lpstr>note611.3_3</vt:lpstr>
      <vt:lpstr>note611.3_4</vt:lpstr>
      <vt:lpstr>note701.1</vt:lpstr>
      <vt:lpstr>note701.1.1</vt:lpstr>
      <vt:lpstr>note701.1.2</vt:lpstr>
      <vt:lpstr>note701.1.3</vt:lpstr>
      <vt:lpstr>note701.2</vt:lpstr>
      <vt:lpstr>note701.3</vt:lpstr>
      <vt:lpstr>note701.4.1.1</vt:lpstr>
      <vt:lpstr>note701.4.1.2</vt:lpstr>
      <vt:lpstr>note701.4.2.1</vt:lpstr>
      <vt:lpstr>note701.4.2.2</vt:lpstr>
      <vt:lpstr>note701.4.2.3</vt:lpstr>
      <vt:lpstr>note701.4.3.1</vt:lpstr>
      <vt:lpstr>note701.4.3.2_1</vt:lpstr>
      <vt:lpstr>note701.4.3.2_2</vt:lpstr>
      <vt:lpstr>note701.4.3.3</vt:lpstr>
      <vt:lpstr>note701.4.3.4</vt:lpstr>
      <vt:lpstr>note701.4.4</vt:lpstr>
      <vt:lpstr>note701.4.5</vt:lpstr>
      <vt:lpstr>note702.2.1</vt:lpstr>
      <vt:lpstr>note702.2.2</vt:lpstr>
      <vt:lpstr>note703.1.1</vt:lpstr>
      <vt:lpstr>note703.1.2</vt:lpstr>
      <vt:lpstr>note703.1.3</vt:lpstr>
      <vt:lpstr>note703.1.4</vt:lpstr>
      <vt:lpstr>note703.1.5</vt:lpstr>
      <vt:lpstr>note703.1.6.1</vt:lpstr>
      <vt:lpstr>note703.1.6.2</vt:lpstr>
      <vt:lpstr>note703.2.1</vt:lpstr>
      <vt:lpstr>note703.2.2</vt:lpstr>
      <vt:lpstr>note703.2.3</vt:lpstr>
      <vt:lpstr>note703.2.4</vt:lpstr>
      <vt:lpstr>note703.2.5</vt:lpstr>
      <vt:lpstr>note703.2.6</vt:lpstr>
      <vt:lpstr>note703.2.7</vt:lpstr>
      <vt:lpstr>note703.2.8</vt:lpstr>
      <vt:lpstr>note703.2.9</vt:lpstr>
      <vt:lpstr>note703.3.1</vt:lpstr>
      <vt:lpstr>note703.3.2</vt:lpstr>
      <vt:lpstr>note703.3.3</vt:lpstr>
      <vt:lpstr>note703.3.4</vt:lpstr>
      <vt:lpstr>note703.4.1</vt:lpstr>
      <vt:lpstr>note703.4.2</vt:lpstr>
      <vt:lpstr>note703.4.3</vt:lpstr>
      <vt:lpstr>note703.4.4</vt:lpstr>
      <vt:lpstr>note703.4.5</vt:lpstr>
      <vt:lpstr>note703.5.1</vt:lpstr>
      <vt:lpstr>note703.5.1_2</vt:lpstr>
      <vt:lpstr>note703.5.2</vt:lpstr>
      <vt:lpstr>note703.5.3_1</vt:lpstr>
      <vt:lpstr>note703.5.3_2</vt:lpstr>
      <vt:lpstr>note703.5.3_3</vt:lpstr>
      <vt:lpstr>note703.5.4</vt:lpstr>
      <vt:lpstr>note703.6.1</vt:lpstr>
      <vt:lpstr>note703.6.2</vt:lpstr>
      <vt:lpstr>note703.6.3</vt:lpstr>
      <vt:lpstr>note703.6.4</vt:lpstr>
      <vt:lpstr>note704.2.1</vt:lpstr>
      <vt:lpstr>note704.2.2</vt:lpstr>
      <vt:lpstr>note704.2.3</vt:lpstr>
      <vt:lpstr>note704.3</vt:lpstr>
      <vt:lpstr>note704.4.1</vt:lpstr>
      <vt:lpstr>note704.4.2</vt:lpstr>
      <vt:lpstr>note704.4.3</vt:lpstr>
      <vt:lpstr>note704.5.1</vt:lpstr>
      <vt:lpstr>note704.5.2.1_1</vt:lpstr>
      <vt:lpstr>note704.5.2.1_2</vt:lpstr>
      <vt:lpstr>note704.5.2.2</vt:lpstr>
      <vt:lpstr>note704.5.3</vt:lpstr>
      <vt:lpstr>note705.1</vt:lpstr>
      <vt:lpstr>note705.2_1</vt:lpstr>
      <vt:lpstr>note705.2_2</vt:lpstr>
      <vt:lpstr>note705.3</vt:lpstr>
      <vt:lpstr>note705.4.1</vt:lpstr>
      <vt:lpstr>note705.4.2</vt:lpstr>
      <vt:lpstr>note705.5</vt:lpstr>
      <vt:lpstr>note705.6</vt:lpstr>
      <vt:lpstr>note705.7</vt:lpstr>
      <vt:lpstr>note801.1.1_1thru4a</vt:lpstr>
      <vt:lpstr>note801.1.1_5</vt:lpstr>
      <vt:lpstr>note801.1.1_6</vt:lpstr>
      <vt:lpstr>note801.2_1</vt:lpstr>
      <vt:lpstr>note801.2_2</vt:lpstr>
      <vt:lpstr>note801.3_1</vt:lpstr>
      <vt:lpstr>note801.3_2</vt:lpstr>
      <vt:lpstr>note801.3_3</vt:lpstr>
      <vt:lpstr>note801.4.1_1</vt:lpstr>
      <vt:lpstr>note801.4.1_2</vt:lpstr>
      <vt:lpstr>note801.4.2</vt:lpstr>
      <vt:lpstr>note801.5_1</vt:lpstr>
      <vt:lpstr>note801.5_2</vt:lpstr>
      <vt:lpstr>note801.5_3</vt:lpstr>
      <vt:lpstr>note801.5_3a</vt:lpstr>
      <vt:lpstr>note801.5_3b</vt:lpstr>
      <vt:lpstr>note801.5_3c</vt:lpstr>
      <vt:lpstr>note801.6.1</vt:lpstr>
      <vt:lpstr>note801.6.2</vt:lpstr>
      <vt:lpstr>note801.6.2_1</vt:lpstr>
      <vt:lpstr>note801.6.2_2</vt:lpstr>
      <vt:lpstr>note801.6.3</vt:lpstr>
      <vt:lpstr>note801.6.4</vt:lpstr>
      <vt:lpstr>note801.6.5_1</vt:lpstr>
      <vt:lpstr>note801.6.5_3</vt:lpstr>
      <vt:lpstr>note801.7.1</vt:lpstr>
      <vt:lpstr>note801.7.2</vt:lpstr>
      <vt:lpstr>note801.8</vt:lpstr>
      <vt:lpstr>note802.1</vt:lpstr>
      <vt:lpstr>note802.2</vt:lpstr>
      <vt:lpstr>note802.3</vt:lpstr>
      <vt:lpstr>note802.4</vt:lpstr>
      <vt:lpstr>note802.5</vt:lpstr>
      <vt:lpstr>note901.1.1</vt:lpstr>
      <vt:lpstr>note901.1.2</vt:lpstr>
      <vt:lpstr>note901.1.3_1</vt:lpstr>
      <vt:lpstr>note901.1.3_2</vt:lpstr>
      <vt:lpstr>note901.1.4</vt:lpstr>
      <vt:lpstr>note901.1.5</vt:lpstr>
      <vt:lpstr>note901.1.6</vt:lpstr>
      <vt:lpstr>note901.10</vt:lpstr>
      <vt:lpstr>note901.10_2</vt:lpstr>
      <vt:lpstr>note901.11</vt:lpstr>
      <vt:lpstr>note901.11_1</vt:lpstr>
      <vt:lpstr>note901.12</vt:lpstr>
      <vt:lpstr>note901.13</vt:lpstr>
      <vt:lpstr>note901.14</vt:lpstr>
      <vt:lpstr>note901.2.1_1</vt:lpstr>
      <vt:lpstr>note901.2.1_2</vt:lpstr>
      <vt:lpstr>note901.2.1_3</vt:lpstr>
      <vt:lpstr>note901.2.1_4</vt:lpstr>
      <vt:lpstr>note901.2.1_5</vt:lpstr>
      <vt:lpstr>note901.2.2</vt:lpstr>
      <vt:lpstr>note901.3_1_a</vt:lpstr>
      <vt:lpstr>note901.3_1_b</vt:lpstr>
      <vt:lpstr>note901.3_1_c</vt:lpstr>
      <vt:lpstr>note901.3_2</vt:lpstr>
      <vt:lpstr>note901.4_1</vt:lpstr>
      <vt:lpstr>note901.4_2</vt:lpstr>
      <vt:lpstr>note901.4_3</vt:lpstr>
      <vt:lpstr>note901.4_4</vt:lpstr>
      <vt:lpstr>note901.4_5</vt:lpstr>
      <vt:lpstr>note901.4_6</vt:lpstr>
      <vt:lpstr>note901.5</vt:lpstr>
      <vt:lpstr>note901.6_1</vt:lpstr>
      <vt:lpstr>note901.6_2</vt:lpstr>
      <vt:lpstr>note901.7</vt:lpstr>
      <vt:lpstr>note901.8</vt:lpstr>
      <vt:lpstr>note901.9.1</vt:lpstr>
      <vt:lpstr>note901.9.2</vt:lpstr>
      <vt:lpstr>note901.9.3</vt:lpstr>
      <vt:lpstr>note902.1.1_1</vt:lpstr>
      <vt:lpstr>note902.1.1_2</vt:lpstr>
      <vt:lpstr>note902.1.1_3</vt:lpstr>
      <vt:lpstr>note902.1.2</vt:lpstr>
      <vt:lpstr>note902.1.3</vt:lpstr>
      <vt:lpstr>note902.1.4</vt:lpstr>
      <vt:lpstr>note902.2.1</vt:lpstr>
      <vt:lpstr>note902.2.2</vt:lpstr>
      <vt:lpstr>note902.2.3</vt:lpstr>
      <vt:lpstr>note902.3_1</vt:lpstr>
      <vt:lpstr>note902.3_2</vt:lpstr>
      <vt:lpstr>note902.4_1</vt:lpstr>
      <vt:lpstr>note902.4_2</vt:lpstr>
      <vt:lpstr>note902.5</vt:lpstr>
      <vt:lpstr>note902.6</vt:lpstr>
      <vt:lpstr>note903.1.1</vt:lpstr>
      <vt:lpstr>note903.1.2</vt:lpstr>
      <vt:lpstr>note903.2_1</vt:lpstr>
      <vt:lpstr>note903.2_2</vt:lpstr>
      <vt:lpstr>note903.3_1</vt:lpstr>
      <vt:lpstr>note903.3_2</vt:lpstr>
      <vt:lpstr>note904.1</vt:lpstr>
      <vt:lpstr>note904.2</vt:lpstr>
      <vt:lpstr>nt1001.1_1</vt:lpstr>
      <vt:lpstr>nt1001.1_10</vt:lpstr>
      <vt:lpstr>nt1001.1_11</vt:lpstr>
      <vt:lpstr>nt1001.1_12</vt:lpstr>
      <vt:lpstr>nt1001.1_13</vt:lpstr>
      <vt:lpstr>nt1001.1_14</vt:lpstr>
      <vt:lpstr>nt1001.1_15</vt:lpstr>
      <vt:lpstr>nt1001.1_16</vt:lpstr>
      <vt:lpstr>nt1001.1_17</vt:lpstr>
      <vt:lpstr>nt1001.1_18</vt:lpstr>
      <vt:lpstr>nt1001.1_19</vt:lpstr>
      <vt:lpstr>nt1001.1_2</vt:lpstr>
      <vt:lpstr>nt1001.1_20</vt:lpstr>
      <vt:lpstr>nt1001.1_21</vt:lpstr>
      <vt:lpstr>nt1001.1_3</vt:lpstr>
      <vt:lpstr>nt1001.1_4</vt:lpstr>
      <vt:lpstr>nt1001.1_5</vt:lpstr>
      <vt:lpstr>nt1001.1_6</vt:lpstr>
      <vt:lpstr>nt1001.1_7</vt:lpstr>
      <vt:lpstr>nt1001.1_8</vt:lpstr>
      <vt:lpstr>nt1001.1_9</vt:lpstr>
      <vt:lpstr>nt1002.1</vt:lpstr>
      <vt:lpstr>nt1003.1_1</vt:lpstr>
      <vt:lpstr>nt1003.1_2</vt:lpstr>
      <vt:lpstr>nt1003.1_3</vt:lpstr>
      <vt:lpstr>nt1003.1_4</vt:lpstr>
      <vt:lpstr>nt1003.1_5</vt:lpstr>
      <vt:lpstr>nt1003.1_6</vt:lpstr>
      <vt:lpstr>nt1003.1_7</vt:lpstr>
      <vt:lpstr>nt1003.1_8</vt:lpstr>
      <vt:lpstr>nt1003.2_1</vt:lpstr>
      <vt:lpstr>nt1003.2_10</vt:lpstr>
      <vt:lpstr>nt1003.2_2</vt:lpstr>
      <vt:lpstr>nt1003.2_3</vt:lpstr>
      <vt:lpstr>nt1003.2_4</vt:lpstr>
      <vt:lpstr>nt1003.2_5</vt:lpstr>
      <vt:lpstr>nt1003.2_6</vt:lpstr>
      <vt:lpstr>nt1003.2_7</vt:lpstr>
      <vt:lpstr>nt1003.2_8</vt:lpstr>
      <vt:lpstr>nt1003.2_9</vt:lpstr>
      <vt:lpstr>nt1003.3_1</vt:lpstr>
      <vt:lpstr>nt1003.3_2</vt:lpstr>
      <vt:lpstr>nt1003.3_3</vt:lpstr>
      <vt:lpstr>nt1003.3_4</vt:lpstr>
      <vt:lpstr>nt1003.3_5</vt:lpstr>
      <vt:lpstr>nt1003.3_6</vt:lpstr>
      <vt:lpstr>nt1003.3_7</vt:lpstr>
      <vt:lpstr>nt1003.3_8</vt:lpstr>
      <vt:lpstr>nt1003.3_9</vt:lpstr>
      <vt:lpstr>nt501.1_1</vt:lpstr>
      <vt:lpstr>nt501.1_2</vt:lpstr>
      <vt:lpstr>nt501.1_3</vt:lpstr>
      <vt:lpstr>nt501.1_4</vt:lpstr>
      <vt:lpstr>nt501.1_5</vt:lpstr>
      <vt:lpstr>nt501.2_1</vt:lpstr>
      <vt:lpstr>nt501.2_2</vt:lpstr>
      <vt:lpstr>nt501.2_3</vt:lpstr>
      <vt:lpstr>nt501.2_4</vt:lpstr>
      <vt:lpstr>nt502.1</vt:lpstr>
      <vt:lpstr>nt503.1_1</vt:lpstr>
      <vt:lpstr>nt503.1_2</vt:lpstr>
      <vt:lpstr>nt503.1_3</vt:lpstr>
      <vt:lpstr>nt503.1_4</vt:lpstr>
      <vt:lpstr>nt503.1_5</vt:lpstr>
      <vt:lpstr>nt503.1_6</vt:lpstr>
      <vt:lpstr>nt503.1_7</vt:lpstr>
      <vt:lpstr>nt503.2_1</vt:lpstr>
      <vt:lpstr>nt503.2_2</vt:lpstr>
      <vt:lpstr>nt503.2_3</vt:lpstr>
      <vt:lpstr>nt503.2_4</vt:lpstr>
      <vt:lpstr>nt503.2_5</vt:lpstr>
      <vt:lpstr>nt503.3_1</vt:lpstr>
      <vt:lpstr>nt503.3_2</vt:lpstr>
      <vt:lpstr>nt503.3_3</vt:lpstr>
      <vt:lpstr>nt503.4_1</vt:lpstr>
      <vt:lpstr>nt503.4_2</vt:lpstr>
      <vt:lpstr>nt503.4_3</vt:lpstr>
      <vt:lpstr>nt503.4_4</vt:lpstr>
      <vt:lpstr>nt503.4_5</vt:lpstr>
      <vt:lpstr>nt503.4_6</vt:lpstr>
      <vt:lpstr>nt503.5_1</vt:lpstr>
      <vt:lpstr>nt503.5_2</vt:lpstr>
      <vt:lpstr>nt503.5_3</vt:lpstr>
      <vt:lpstr>nt503.5_4</vt:lpstr>
      <vt:lpstr>nt503.5_5</vt:lpstr>
      <vt:lpstr>nt503.5_6</vt:lpstr>
      <vt:lpstr>nt503.5_7</vt:lpstr>
      <vt:lpstr>nt503.5_8</vt:lpstr>
      <vt:lpstr>nt503.6_1</vt:lpstr>
      <vt:lpstr>nt503.6_2</vt:lpstr>
      <vt:lpstr>nt503.6_3</vt:lpstr>
      <vt:lpstr>nt503.6_4</vt:lpstr>
      <vt:lpstr>nt503.7_1</vt:lpstr>
      <vt:lpstr>nt503.7_2</vt:lpstr>
      <vt:lpstr>nt504.1</vt:lpstr>
      <vt:lpstr>nt504.2_1</vt:lpstr>
      <vt:lpstr>nt504.2_2</vt:lpstr>
      <vt:lpstr>nt504.2_3</vt:lpstr>
      <vt:lpstr>nt504.3_1</vt:lpstr>
      <vt:lpstr>nt504.3_2</vt:lpstr>
      <vt:lpstr>nt504.3_3</vt:lpstr>
      <vt:lpstr>nt504.3_4</vt:lpstr>
      <vt:lpstr>nt504.3_5</vt:lpstr>
      <vt:lpstr>nt504.3_6</vt:lpstr>
      <vt:lpstr>nt504.3_7</vt:lpstr>
      <vt:lpstr>nt504.3_8</vt:lpstr>
      <vt:lpstr>nt504.3_9</vt:lpstr>
      <vt:lpstr>nt505.1_1</vt:lpstr>
      <vt:lpstr>nt505.1_2</vt:lpstr>
      <vt:lpstr>nt505.1_3</vt:lpstr>
      <vt:lpstr>nt505.2_1</vt:lpstr>
      <vt:lpstr>nt505.2_2</vt:lpstr>
      <vt:lpstr>nt505.3</vt:lpstr>
      <vt:lpstr>nt505.4</vt:lpstr>
      <vt:lpstr>nt505.5</vt:lpstr>
      <vt:lpstr>nt601.1</vt:lpstr>
      <vt:lpstr>nt601.2_2</vt:lpstr>
      <vt:lpstr>nt601.2_3</vt:lpstr>
      <vt:lpstr>nt601.3_1</vt:lpstr>
      <vt:lpstr>nt601.3_2</vt:lpstr>
      <vt:lpstr>nt601.3_3</vt:lpstr>
      <vt:lpstr>nt601.3_4</vt:lpstr>
      <vt:lpstr>nt601.3_5</vt:lpstr>
      <vt:lpstr>nt601.4</vt:lpstr>
      <vt:lpstr>nt601.5_1</vt:lpstr>
      <vt:lpstr>nt601.5_2</vt:lpstr>
      <vt:lpstr>nt601.5_3</vt:lpstr>
      <vt:lpstr>nt601.5_4</vt:lpstr>
      <vt:lpstr>nt601.5_5</vt:lpstr>
      <vt:lpstr>nt601.6</vt:lpstr>
      <vt:lpstr>nt601.7</vt:lpstr>
      <vt:lpstr>nt601.8</vt:lpstr>
      <vt:lpstr>nt601.9</vt:lpstr>
      <vt:lpstr>nt602.1.1.1</vt:lpstr>
      <vt:lpstr>nt602.1.1.2</vt:lpstr>
      <vt:lpstr>nt602.1.10</vt:lpstr>
      <vt:lpstr>nt602.1.11</vt:lpstr>
      <vt:lpstr>nt602.1.12</vt:lpstr>
      <vt:lpstr>nt602.1.13</vt:lpstr>
      <vt:lpstr>nt602.1.14_1</vt:lpstr>
      <vt:lpstr>nt602.1.14_2</vt:lpstr>
      <vt:lpstr>nt602.1.14_3</vt:lpstr>
      <vt:lpstr>nt602.1.2</vt:lpstr>
      <vt:lpstr>nt602.1.3.1</vt:lpstr>
      <vt:lpstr>nt602.1.3.2</vt:lpstr>
      <vt:lpstr>nt602.1.4.1_1</vt:lpstr>
      <vt:lpstr>nt602.1.4.1_2</vt:lpstr>
      <vt:lpstr>nt602.1.4.2_1</vt:lpstr>
      <vt:lpstr>nt602.1.4.2_2</vt:lpstr>
      <vt:lpstr>nt602.1.5</vt:lpstr>
      <vt:lpstr>nt602.1.6</vt:lpstr>
      <vt:lpstr>nt602.1.7.1_1</vt:lpstr>
      <vt:lpstr>nt602.1.7.1_2</vt:lpstr>
      <vt:lpstr>nt602.1.7.1_3</vt:lpstr>
      <vt:lpstr>nt602.1.7.2</vt:lpstr>
      <vt:lpstr>nt602.1.8</vt:lpstr>
      <vt:lpstr>nt602.1.9_1</vt:lpstr>
      <vt:lpstr>nt602.1.9_2</vt:lpstr>
      <vt:lpstr>nt602.1.9_3</vt:lpstr>
      <vt:lpstr>nt602.1.9_4</vt:lpstr>
      <vt:lpstr>nt602.1.9_5</vt:lpstr>
      <vt:lpstr>nt602.1.9_6</vt:lpstr>
      <vt:lpstr>nt602.1.9_7</vt:lpstr>
      <vt:lpstr>nt602.2</vt:lpstr>
      <vt:lpstr>nt602.3</vt:lpstr>
      <vt:lpstr>nt602.4.1</vt:lpstr>
      <vt:lpstr>nt602.4.2</vt:lpstr>
      <vt:lpstr>nt602.4.3</vt:lpstr>
      <vt:lpstr>nt603.1</vt:lpstr>
      <vt:lpstr>nt603.2</vt:lpstr>
      <vt:lpstr>nt603.3</vt:lpstr>
      <vt:lpstr>nt604.1.1</vt:lpstr>
      <vt:lpstr>nt604.1.2</vt:lpstr>
      <vt:lpstr>nt605.1</vt:lpstr>
      <vt:lpstr>nt605.2</vt:lpstr>
      <vt:lpstr>nt605.3</vt:lpstr>
      <vt:lpstr>nt606.1</vt:lpstr>
      <vt:lpstr>nt606.2</vt:lpstr>
      <vt:lpstr>nt606.3</vt:lpstr>
      <vt:lpstr>nt607.2</vt:lpstr>
      <vt:lpstr>nt609.1</vt:lpstr>
      <vt:lpstr>nt610.1</vt:lpstr>
      <vt:lpstr>nt610.1.1</vt:lpstr>
      <vt:lpstr>nt610.1.2_1</vt:lpstr>
      <vt:lpstr>nt610.1.2_2</vt:lpstr>
      <vt:lpstr>nt611.1</vt:lpstr>
      <vt:lpstr>nt611.2_1</vt:lpstr>
      <vt:lpstr>nt611.2_2</vt:lpstr>
      <vt:lpstr>nt611.2_3</vt:lpstr>
      <vt:lpstr>nt611.2_4</vt:lpstr>
      <vt:lpstr>nt611.2_5</vt:lpstr>
      <vt:lpstr>nt611.2_6</vt:lpstr>
      <vt:lpstr>nt611.2_7</vt:lpstr>
      <vt:lpstr>nt611.3_1</vt:lpstr>
      <vt:lpstr>nt611.3_2</vt:lpstr>
      <vt:lpstr>nt611.3_3</vt:lpstr>
      <vt:lpstr>nt611.3_4</vt:lpstr>
      <vt:lpstr>nt701.1</vt:lpstr>
      <vt:lpstr>nt701.1.3</vt:lpstr>
      <vt:lpstr>nt701.3</vt:lpstr>
      <vt:lpstr>nt701.4.1.1</vt:lpstr>
      <vt:lpstr>nt701.4.1.2</vt:lpstr>
      <vt:lpstr>nt701.4.2.1</vt:lpstr>
      <vt:lpstr>nt701.4.2.2</vt:lpstr>
      <vt:lpstr>nt701.4.2.3</vt:lpstr>
      <vt:lpstr>nt701.4.3.1</vt:lpstr>
      <vt:lpstr>nt701.4.3.2_1</vt:lpstr>
      <vt:lpstr>nt701.4.3.2_2</vt:lpstr>
      <vt:lpstr>nt701.4.3.3</vt:lpstr>
      <vt:lpstr>nt701.4.3.4</vt:lpstr>
      <vt:lpstr>nt701.4.4</vt:lpstr>
      <vt:lpstr>nt701.4.5</vt:lpstr>
      <vt:lpstr>nt702.2.1</vt:lpstr>
      <vt:lpstr>nt702.2.2</vt:lpstr>
      <vt:lpstr>nt703.1.1</vt:lpstr>
      <vt:lpstr>nt703.1.2</vt:lpstr>
      <vt:lpstr>nt703.1.3</vt:lpstr>
      <vt:lpstr>nt703.1.4</vt:lpstr>
      <vt:lpstr>nt703.1.5</vt:lpstr>
      <vt:lpstr>nt703.1.6.1</vt:lpstr>
      <vt:lpstr>nt703.1.6.2</vt:lpstr>
      <vt:lpstr>nt703.2.1</vt:lpstr>
      <vt:lpstr>nt703.2.2</vt:lpstr>
      <vt:lpstr>nt703.2.3</vt:lpstr>
      <vt:lpstr>nt703.2.4</vt:lpstr>
      <vt:lpstr>nt703.2.5</vt:lpstr>
      <vt:lpstr>nt703.2.6</vt:lpstr>
      <vt:lpstr>nt703.2.7</vt:lpstr>
      <vt:lpstr>nt703.2.8</vt:lpstr>
      <vt:lpstr>nt703.2.9</vt:lpstr>
      <vt:lpstr>nt703.3.1</vt:lpstr>
      <vt:lpstr>nt703.3.2</vt:lpstr>
      <vt:lpstr>nt703.3.3</vt:lpstr>
      <vt:lpstr>nt703.3.4</vt:lpstr>
      <vt:lpstr>nt703.4.1</vt:lpstr>
      <vt:lpstr>nt703.4.2</vt:lpstr>
      <vt:lpstr>nt703.4.3</vt:lpstr>
      <vt:lpstr>nt703.4.4</vt:lpstr>
      <vt:lpstr>nt703.4.5</vt:lpstr>
      <vt:lpstr>nt703.5.1_1</vt:lpstr>
      <vt:lpstr>nt703.5.1_2</vt:lpstr>
      <vt:lpstr>nt703.5.2</vt:lpstr>
      <vt:lpstr>nt703.5.3_1</vt:lpstr>
      <vt:lpstr>nt703.5.3_2</vt:lpstr>
      <vt:lpstr>nt703.5.3_3</vt:lpstr>
      <vt:lpstr>nt703.5.4</vt:lpstr>
      <vt:lpstr>nt703.6.1</vt:lpstr>
      <vt:lpstr>nt703.6.2</vt:lpstr>
      <vt:lpstr>nt703.6.3</vt:lpstr>
      <vt:lpstr>nt703.6.4</vt:lpstr>
      <vt:lpstr>nt704.2.1</vt:lpstr>
      <vt:lpstr>nt704.2.2</vt:lpstr>
      <vt:lpstr>nt704.2.3</vt:lpstr>
      <vt:lpstr>nt704.3</vt:lpstr>
      <vt:lpstr>nt704.4.1</vt:lpstr>
      <vt:lpstr>nt704.4.2</vt:lpstr>
      <vt:lpstr>nt704.4.3</vt:lpstr>
      <vt:lpstr>nt704.5.1</vt:lpstr>
      <vt:lpstr>nt704.5.2.1_1</vt:lpstr>
      <vt:lpstr>nt704.5.2.1_2</vt:lpstr>
      <vt:lpstr>nt704.5.2.2</vt:lpstr>
      <vt:lpstr>nt704.5.3</vt:lpstr>
      <vt:lpstr>nt705.1</vt:lpstr>
      <vt:lpstr>nt705.1_1</vt:lpstr>
      <vt:lpstr>nt705.2_2</vt:lpstr>
      <vt:lpstr>nt705.3</vt:lpstr>
      <vt:lpstr>nt705.4.1</vt:lpstr>
      <vt:lpstr>nt705.4.2</vt:lpstr>
      <vt:lpstr>nt705.5</vt:lpstr>
      <vt:lpstr>nt705.6</vt:lpstr>
      <vt:lpstr>nt705.7</vt:lpstr>
      <vt:lpstr>nt801.1.1_1thru4a</vt:lpstr>
      <vt:lpstr>nt801.1.1_5</vt:lpstr>
      <vt:lpstr>nt801.1.1_6</vt:lpstr>
      <vt:lpstr>nt801.2_1</vt:lpstr>
      <vt:lpstr>nt801.2_2</vt:lpstr>
      <vt:lpstr>nt801.3_1</vt:lpstr>
      <vt:lpstr>nt801.3_2</vt:lpstr>
      <vt:lpstr>nt801.3_3</vt:lpstr>
      <vt:lpstr>nt801.4.1_1</vt:lpstr>
      <vt:lpstr>nt801.4.1_2</vt:lpstr>
      <vt:lpstr>nt801.4.2</vt:lpstr>
      <vt:lpstr>nt801.5_1</vt:lpstr>
      <vt:lpstr>nt801.5_2</vt:lpstr>
      <vt:lpstr>nt801.5_3</vt:lpstr>
      <vt:lpstr>nt801.5_3a</vt:lpstr>
      <vt:lpstr>nt801.5_3b</vt:lpstr>
      <vt:lpstr>nt801.5_3c</vt:lpstr>
      <vt:lpstr>nt801.6.1</vt:lpstr>
      <vt:lpstr>nt801.6.2_1</vt:lpstr>
      <vt:lpstr>nt801.6.2_2</vt:lpstr>
      <vt:lpstr>nt801.6.3</vt:lpstr>
      <vt:lpstr>nt801.6.4</vt:lpstr>
      <vt:lpstr>nt801.6.5_1</vt:lpstr>
      <vt:lpstr>nt801.6.5_3</vt:lpstr>
      <vt:lpstr>nt801.7.1</vt:lpstr>
      <vt:lpstr>nt801.7.2</vt:lpstr>
      <vt:lpstr>nt801.8</vt:lpstr>
      <vt:lpstr>nt802.1</vt:lpstr>
      <vt:lpstr>nt802.3</vt:lpstr>
      <vt:lpstr>nt802.4</vt:lpstr>
      <vt:lpstr>nt802.5</vt:lpstr>
      <vt:lpstr>nt901.1.1</vt:lpstr>
      <vt:lpstr>nt901.1.2</vt:lpstr>
      <vt:lpstr>nt901.1.3_1</vt:lpstr>
      <vt:lpstr>nt901.1.3_2</vt:lpstr>
      <vt:lpstr>nt901.1.4</vt:lpstr>
      <vt:lpstr>nt901.1.5</vt:lpstr>
      <vt:lpstr>nt901.1.6</vt:lpstr>
      <vt:lpstr>nt901.10</vt:lpstr>
      <vt:lpstr>nt901.11</vt:lpstr>
      <vt:lpstr>nt901.12</vt:lpstr>
      <vt:lpstr>nt901.13</vt:lpstr>
      <vt:lpstr>nt901.14</vt:lpstr>
      <vt:lpstr>nt901.2.1_1</vt:lpstr>
      <vt:lpstr>nt901.2.1_2</vt:lpstr>
      <vt:lpstr>nt901.2.1_3</vt:lpstr>
      <vt:lpstr>nt901.2.1_4</vt:lpstr>
      <vt:lpstr>nt901.2.1_5</vt:lpstr>
      <vt:lpstr>nt901.2.2</vt:lpstr>
      <vt:lpstr>nt901.3_1_a</vt:lpstr>
      <vt:lpstr>nt901.3_1_b</vt:lpstr>
      <vt:lpstr>nt901.3_1_c</vt:lpstr>
      <vt:lpstr>nt901.3_2</vt:lpstr>
      <vt:lpstr>nt901.4_1</vt:lpstr>
      <vt:lpstr>nt901.4_2</vt:lpstr>
      <vt:lpstr>nt901.4_3</vt:lpstr>
      <vt:lpstr>nt901.4_4</vt:lpstr>
      <vt:lpstr>nt901.4_5</vt:lpstr>
      <vt:lpstr>nt901.4_6</vt:lpstr>
      <vt:lpstr>nt901.5</vt:lpstr>
      <vt:lpstr>nt901.6_1</vt:lpstr>
      <vt:lpstr>nt901.6_2</vt:lpstr>
      <vt:lpstr>nt901.7</vt:lpstr>
      <vt:lpstr>nt901.8</vt:lpstr>
      <vt:lpstr>nt901.9.1</vt:lpstr>
      <vt:lpstr>nt901.9.2</vt:lpstr>
      <vt:lpstr>nt901.9.3</vt:lpstr>
      <vt:lpstr>nt902.1.1_1</vt:lpstr>
      <vt:lpstr>nt902.1.1_2</vt:lpstr>
      <vt:lpstr>nt902.1.1_3</vt:lpstr>
      <vt:lpstr>nt902.1.2</vt:lpstr>
      <vt:lpstr>nt902.1.3</vt:lpstr>
      <vt:lpstr>nt902.1.4</vt:lpstr>
      <vt:lpstr>nt902.2.1</vt:lpstr>
      <vt:lpstr>nt902.2.2</vt:lpstr>
      <vt:lpstr>nt902.2.3</vt:lpstr>
      <vt:lpstr>nt902.3_1</vt:lpstr>
      <vt:lpstr>nt902.3_2</vt:lpstr>
      <vt:lpstr>nt902.4_1</vt:lpstr>
      <vt:lpstr>nt902.4_2</vt:lpstr>
      <vt:lpstr>nt902.5</vt:lpstr>
      <vt:lpstr>nt902.6</vt:lpstr>
      <vt:lpstr>nt903.1.1</vt:lpstr>
      <vt:lpstr>nt903.1.2</vt:lpstr>
      <vt:lpstr>nt903.2_1</vt:lpstr>
      <vt:lpstr>nt903.2_2</vt:lpstr>
      <vt:lpstr>nt903.3_1</vt:lpstr>
      <vt:lpstr>nt903.3_2</vt:lpstr>
      <vt:lpstr>nt904.1</vt:lpstr>
      <vt:lpstr>nt904.2</vt:lpstr>
      <vt:lpstr>NumUnits</vt:lpstr>
      <vt:lpstr>Oil</vt:lpstr>
      <vt:lpstr>OilBoiler</vt:lpstr>
      <vt:lpstr>OilFurnace</vt:lpstr>
      <vt:lpstr>One</vt:lpstr>
      <vt:lpstr>OtherServices</vt:lpstr>
      <vt:lpstr>points503.5_1</vt:lpstr>
      <vt:lpstr>points503.5_2</vt:lpstr>
      <vt:lpstr>points503.5_3a</vt:lpstr>
      <vt:lpstr>points503.5_3b</vt:lpstr>
      <vt:lpstr>points503.5_3c</vt:lpstr>
      <vt:lpstr>points503.5_3d</vt:lpstr>
      <vt:lpstr>points503.5_4</vt:lpstr>
      <vt:lpstr>points503.5_5</vt:lpstr>
      <vt:lpstr>points503.5_6</vt:lpstr>
      <vt:lpstr>points703.1.3_1</vt:lpstr>
      <vt:lpstr>points703.1.3_2</vt:lpstr>
      <vt:lpstr>points703.1.4</vt:lpstr>
      <vt:lpstr>points703.1.5_1</vt:lpstr>
      <vt:lpstr>points703.1.5_2</vt:lpstr>
      <vt:lpstr>points703.1.5_3</vt:lpstr>
      <vt:lpstr>points703.1.5_4</vt:lpstr>
      <vt:lpstr>points703.1.5_5</vt:lpstr>
      <vt:lpstr>points703.1.6.2_a</vt:lpstr>
      <vt:lpstr>points703.1.6.2_b</vt:lpstr>
      <vt:lpstr>points703.1.6.2_c</vt:lpstr>
      <vt:lpstr>points703.2.3_1</vt:lpstr>
      <vt:lpstr>points703.2.3_2</vt:lpstr>
      <vt:lpstr>points703.2.3_3</vt:lpstr>
      <vt:lpstr>points703.2.3_4</vt:lpstr>
      <vt:lpstr>points703.2.4_1</vt:lpstr>
      <vt:lpstr>points703.2.4_2</vt:lpstr>
      <vt:lpstr>points703.2.4_3</vt:lpstr>
      <vt:lpstr>points703.2.4_4</vt:lpstr>
      <vt:lpstr>points703.2.4_5</vt:lpstr>
      <vt:lpstr>points703.2.5</vt:lpstr>
      <vt:lpstr>points703.2.6_1</vt:lpstr>
      <vt:lpstr>points703.2.6_2</vt:lpstr>
      <vt:lpstr>points703.2.6_3</vt:lpstr>
      <vt:lpstr>points703.2.6_4</vt:lpstr>
      <vt:lpstr>points703.2.6_5</vt:lpstr>
      <vt:lpstr>points703.2.8</vt:lpstr>
      <vt:lpstr>points703.3.1</vt:lpstr>
      <vt:lpstr>points703.3.2</vt:lpstr>
      <vt:lpstr>points703.3.3</vt:lpstr>
      <vt:lpstr>points703.3.4_1</vt:lpstr>
      <vt:lpstr>points703.3.4_2</vt:lpstr>
      <vt:lpstr>points703.3.4_3</vt:lpstr>
      <vt:lpstr>points703.4.2</vt:lpstr>
      <vt:lpstr>points703.4.5_1</vt:lpstr>
      <vt:lpstr>points703.4.5_2</vt:lpstr>
      <vt:lpstr>points703.4.5_3</vt:lpstr>
      <vt:lpstr>points703.4.5_4</vt:lpstr>
      <vt:lpstr>points703.4.5_5</vt:lpstr>
      <vt:lpstr>points703.5.1_1</vt:lpstr>
      <vt:lpstr>points703.5.1_2</vt:lpstr>
      <vt:lpstr>points703.5.3_1</vt:lpstr>
      <vt:lpstr>points703.6.1</vt:lpstr>
      <vt:lpstr>points703.6.4</vt:lpstr>
      <vt:lpstr>Figures!Print_Area</vt:lpstr>
      <vt:lpstr>MultifamilyAddendum!Print_Area</vt:lpstr>
      <vt:lpstr>'Scoring Analysis'!Print_Area</vt:lpstr>
      <vt:lpstr>'Verification Rpt'!Print_Area</vt:lpstr>
      <vt:lpstr>Figures!Print_Titles</vt:lpstr>
      <vt:lpstr>'Scoring Analysis'!Print_Titles</vt:lpstr>
      <vt:lpstr>ProjectDescription</vt:lpstr>
      <vt:lpstr>ProjectID</vt:lpstr>
      <vt:lpstr>projectLevel</vt:lpstr>
      <vt:lpstr>projectMandatoryCount</vt:lpstr>
      <vt:lpstr>projectTotal</vt:lpstr>
      <vt:lpstr>projectValue</vt:lpstr>
      <vt:lpstr>pts703.1.3_1</vt:lpstr>
      <vt:lpstr>pts703.1.3_2</vt:lpstr>
      <vt:lpstr>pts703.2.8</vt:lpstr>
      <vt:lpstr>pts703.3.1</vt:lpstr>
      <vt:lpstr>pts703.3.2</vt:lpstr>
      <vt:lpstr>pts703.3.3</vt:lpstr>
      <vt:lpstr>pts703.3.4</vt:lpstr>
      <vt:lpstr>pts703.4.1</vt:lpstr>
      <vt:lpstr>pts703.4.2</vt:lpstr>
      <vt:lpstr>pts703.4.5</vt:lpstr>
      <vt:lpstr>pts703.5.1</vt:lpstr>
      <vt:lpstr>pts703.5.3</vt:lpstr>
      <vt:lpstr>ReadyToSubmitStatus</vt:lpstr>
      <vt:lpstr>reportage</vt:lpstr>
      <vt:lpstr>ReportType</vt:lpstr>
      <vt:lpstr>score503.2_3</vt:lpstr>
      <vt:lpstr>score503.4_3</vt:lpstr>
      <vt:lpstr>score503.5_3</vt:lpstr>
      <vt:lpstr>score505.1_3</vt:lpstr>
      <vt:lpstr>score505.3</vt:lpstr>
      <vt:lpstr>score601.1</vt:lpstr>
      <vt:lpstr>score601.6</vt:lpstr>
      <vt:lpstr>score602.1.10</vt:lpstr>
      <vt:lpstr>score602.1.15_3</vt:lpstr>
      <vt:lpstr>score602.1.2</vt:lpstr>
      <vt:lpstr>score602.1.6</vt:lpstr>
      <vt:lpstr>score602.1.7.1_2</vt:lpstr>
      <vt:lpstr>score602.1.9_5</vt:lpstr>
      <vt:lpstr>score602.2</vt:lpstr>
      <vt:lpstr>score603.1</vt:lpstr>
      <vt:lpstr>score603.2</vt:lpstr>
      <vt:lpstr>score604.1.1</vt:lpstr>
      <vt:lpstr>score604.1.2</vt:lpstr>
      <vt:lpstr>score605.3</vt:lpstr>
      <vt:lpstr>score606.3</vt:lpstr>
      <vt:lpstr>score608.1</vt:lpstr>
      <vt:lpstr>score609.1</vt:lpstr>
      <vt:lpstr>score610.1</vt:lpstr>
      <vt:lpstr>score610.1.1</vt:lpstr>
      <vt:lpstr>score610.1.2</vt:lpstr>
      <vt:lpstr>score610.1.2_1</vt:lpstr>
      <vt:lpstr>score610.1.2_2</vt:lpstr>
      <vt:lpstr>score611.1</vt:lpstr>
      <vt:lpstr>score611.2</vt:lpstr>
      <vt:lpstr>score701.4.3.2</vt:lpstr>
      <vt:lpstr>score702.2.2</vt:lpstr>
      <vt:lpstr>score703.1.1Zone1</vt:lpstr>
      <vt:lpstr>score703.1.1Zone2</vt:lpstr>
      <vt:lpstr>score703.1.1Zone3</vt:lpstr>
      <vt:lpstr>score703.1.1Zone4</vt:lpstr>
      <vt:lpstr>score703.1.1Zone5</vt:lpstr>
      <vt:lpstr>score703.1.1Zone6</vt:lpstr>
      <vt:lpstr>score703.1.1Zone7</vt:lpstr>
      <vt:lpstr>score703.1.1Zone8</vt:lpstr>
      <vt:lpstr>score703.1.2</vt:lpstr>
      <vt:lpstr>score703.1.3Zone1_4</vt:lpstr>
      <vt:lpstr>score703.1.3Zone5</vt:lpstr>
      <vt:lpstr>score703.1.3Zone6</vt:lpstr>
      <vt:lpstr>score703.1.5Zone1</vt:lpstr>
      <vt:lpstr>score703.1.5Zone2</vt:lpstr>
      <vt:lpstr>score703.1.5Zone3</vt:lpstr>
      <vt:lpstr>score703.1.5Zone4</vt:lpstr>
      <vt:lpstr>score703.1.5Zone5</vt:lpstr>
      <vt:lpstr>score703.1.5Zone6</vt:lpstr>
      <vt:lpstr>score703.1.5Zone7</vt:lpstr>
      <vt:lpstr>score703.1.5Zone8</vt:lpstr>
      <vt:lpstr>score703.1.6.2</vt:lpstr>
      <vt:lpstr>score703.2.2_1Zone1</vt:lpstr>
      <vt:lpstr>score703.2.2_1Zone2</vt:lpstr>
      <vt:lpstr>score703.2.2_1Zone3</vt:lpstr>
      <vt:lpstr>score703.2.2_1Zone4</vt:lpstr>
      <vt:lpstr>score703.2.2_1Zone5</vt:lpstr>
      <vt:lpstr>score703.2.2_1Zone6</vt:lpstr>
      <vt:lpstr>score703.2.2_1Zone7</vt:lpstr>
      <vt:lpstr>score703.2.2_1Zone8</vt:lpstr>
      <vt:lpstr>score703.2.2_2Zone1</vt:lpstr>
      <vt:lpstr>score703.2.2_2Zone2</vt:lpstr>
      <vt:lpstr>score703.2.2_2Zone3</vt:lpstr>
      <vt:lpstr>score703.2.2_2Zone4</vt:lpstr>
      <vt:lpstr>score703.2.2_2Zone5</vt:lpstr>
      <vt:lpstr>score703.2.2_2Zone6</vt:lpstr>
      <vt:lpstr>score703.2.2_2Zone7</vt:lpstr>
      <vt:lpstr>score703.2.2_2Zone8</vt:lpstr>
      <vt:lpstr>score703.2.2_3Zone1</vt:lpstr>
      <vt:lpstr>score703.2.2_3Zone2</vt:lpstr>
      <vt:lpstr>score703.2.2_3Zone3</vt:lpstr>
      <vt:lpstr>score703.2.2_3Zone4</vt:lpstr>
      <vt:lpstr>score703.2.2_3Zone5</vt:lpstr>
      <vt:lpstr>score703.2.2_3Zone6</vt:lpstr>
      <vt:lpstr>score703.2.2_3Zone7</vt:lpstr>
      <vt:lpstr>score703.2.2_3Zone8</vt:lpstr>
      <vt:lpstr>score703.2.2_4Zone1</vt:lpstr>
      <vt:lpstr>score703.2.2_4Zone2</vt:lpstr>
      <vt:lpstr>score703.2.2_4Zone3</vt:lpstr>
      <vt:lpstr>score703.2.2_4Zone4</vt:lpstr>
      <vt:lpstr>score703.2.2_4Zone5</vt:lpstr>
      <vt:lpstr>score703.2.2_4Zone6</vt:lpstr>
      <vt:lpstr>score703.2.2_4Zone7</vt:lpstr>
      <vt:lpstr>score703.2.2_4Zone8</vt:lpstr>
      <vt:lpstr>score703.2.2Zone1</vt:lpstr>
      <vt:lpstr>score703.2.2Zone2</vt:lpstr>
      <vt:lpstr>score703.2.2Zone3</vt:lpstr>
      <vt:lpstr>score703.2.2Zone4</vt:lpstr>
      <vt:lpstr>score703.2.2Zone5</vt:lpstr>
      <vt:lpstr>score703.2.2Zone6</vt:lpstr>
      <vt:lpstr>score703.2.2Zone7</vt:lpstr>
      <vt:lpstr>score703.2.2Zone8</vt:lpstr>
      <vt:lpstr>score703.2.3Zone1</vt:lpstr>
      <vt:lpstr>score703.2.3Zone2</vt:lpstr>
      <vt:lpstr>score703.2.3Zone3</vt:lpstr>
      <vt:lpstr>score703.2.3Zone4</vt:lpstr>
      <vt:lpstr>score703.2.3Zone5</vt:lpstr>
      <vt:lpstr>score703.2.3Zone6</vt:lpstr>
      <vt:lpstr>score703.2.3Zone7</vt:lpstr>
      <vt:lpstr>score703.2.3Zone8</vt:lpstr>
      <vt:lpstr>score703.2.4Zone1</vt:lpstr>
      <vt:lpstr>score703.2.4Zone2</vt:lpstr>
      <vt:lpstr>score703.2.4Zone3</vt:lpstr>
      <vt:lpstr>score703.2.4Zone4</vt:lpstr>
      <vt:lpstr>score703.2.4Zone5</vt:lpstr>
      <vt:lpstr>score703.2.4Zone6</vt:lpstr>
      <vt:lpstr>score703.2.4Zone7</vt:lpstr>
      <vt:lpstr>score703.2.4Zone8</vt:lpstr>
      <vt:lpstr>score703.2.6Zone1</vt:lpstr>
      <vt:lpstr>score703.2.6Zone2</vt:lpstr>
      <vt:lpstr>score703.2.6Zone3</vt:lpstr>
      <vt:lpstr>score703.2.6Zone4</vt:lpstr>
      <vt:lpstr>score703.2.6Zone5</vt:lpstr>
      <vt:lpstr>score703.2.6Zone6</vt:lpstr>
      <vt:lpstr>score703.2.6Zone7</vt:lpstr>
      <vt:lpstr>score703.2.6Zone8</vt:lpstr>
      <vt:lpstr>score703.3.4Zone1</vt:lpstr>
      <vt:lpstr>score703.3.4Zone2</vt:lpstr>
      <vt:lpstr>score703.3.4Zone3</vt:lpstr>
      <vt:lpstr>score703.3.4Zone4</vt:lpstr>
      <vt:lpstr>score703.3.4Zone5</vt:lpstr>
      <vt:lpstr>score703.3.4Zone6</vt:lpstr>
      <vt:lpstr>score703.3.4Zone7</vt:lpstr>
      <vt:lpstr>score703.3.4Zone8</vt:lpstr>
      <vt:lpstr>score703.4.1_1aZone1</vt:lpstr>
      <vt:lpstr>score703.4.1_1aZone2</vt:lpstr>
      <vt:lpstr>score703.4.1_1aZone3</vt:lpstr>
      <vt:lpstr>score703.4.1_1aZone4</vt:lpstr>
      <vt:lpstr>score703.4.1_1aZone5</vt:lpstr>
      <vt:lpstr>score703.4.1_1aZone6</vt:lpstr>
      <vt:lpstr>score703.4.1_1aZone7</vt:lpstr>
      <vt:lpstr>score703.4.1_1aZone8</vt:lpstr>
      <vt:lpstr>score703.4.1_1bZone1</vt:lpstr>
      <vt:lpstr>score703.4.1_1bZone2</vt:lpstr>
      <vt:lpstr>score703.4.1_1bZone3</vt:lpstr>
      <vt:lpstr>score703.4.1_1bZone4</vt:lpstr>
      <vt:lpstr>score703.4.1_1bZone5</vt:lpstr>
      <vt:lpstr>score703.4.1_1bZone6</vt:lpstr>
      <vt:lpstr>score703.4.1_1bZone7</vt:lpstr>
      <vt:lpstr>score703.4.1_1bZone8</vt:lpstr>
      <vt:lpstr>score703.4.1_2Zone1</vt:lpstr>
      <vt:lpstr>score703.4.1_2Zone2</vt:lpstr>
      <vt:lpstr>score703.4.1_2Zone3</vt:lpstr>
      <vt:lpstr>score703.4.1_2Zone4</vt:lpstr>
      <vt:lpstr>score703.4.1_2Zone5</vt:lpstr>
      <vt:lpstr>score703.4.1_2Zone6</vt:lpstr>
      <vt:lpstr>score703.4.1_2Zone7</vt:lpstr>
      <vt:lpstr>score703.4.1_2Zone8</vt:lpstr>
      <vt:lpstr>score703.4.1_3Zone1</vt:lpstr>
      <vt:lpstr>score703.4.1_3Zone2</vt:lpstr>
      <vt:lpstr>score703.4.1_3Zone3</vt:lpstr>
      <vt:lpstr>score703.4.1_3Zone4</vt:lpstr>
      <vt:lpstr>score703.4.1_3Zone5</vt:lpstr>
      <vt:lpstr>score703.4.1_3Zone6</vt:lpstr>
      <vt:lpstr>score703.4.1_3Zone7</vt:lpstr>
      <vt:lpstr>score703.4.1_3Zone8</vt:lpstr>
      <vt:lpstr>score703.4.1_4Zone1</vt:lpstr>
      <vt:lpstr>score703.4.1_4Zone2</vt:lpstr>
      <vt:lpstr>score703.4.1_4Zone3</vt:lpstr>
      <vt:lpstr>score703.4.1_4Zone4</vt:lpstr>
      <vt:lpstr>score703.4.1_4Zone5</vt:lpstr>
      <vt:lpstr>score703.4.1_4Zone6</vt:lpstr>
      <vt:lpstr>score703.4.1_4Zone7</vt:lpstr>
      <vt:lpstr>score703.4.1_4Zone8</vt:lpstr>
      <vt:lpstr>score703.4.1Zone1</vt:lpstr>
      <vt:lpstr>score703.4.1Zone2</vt:lpstr>
      <vt:lpstr>score703.4.1Zone3</vt:lpstr>
      <vt:lpstr>score703.4.1Zone4</vt:lpstr>
      <vt:lpstr>score703.4.1Zone5</vt:lpstr>
      <vt:lpstr>score703.4.1Zone6</vt:lpstr>
      <vt:lpstr>score703.4.1Zone7</vt:lpstr>
      <vt:lpstr>score703.4.1Zone8</vt:lpstr>
      <vt:lpstr>score703.4.5Zone1</vt:lpstr>
      <vt:lpstr>score703.4.5Zone2</vt:lpstr>
      <vt:lpstr>score703.4.5Zone3</vt:lpstr>
      <vt:lpstr>score703.4.5Zone4</vt:lpstr>
      <vt:lpstr>score703.4.5Zone5</vt:lpstr>
      <vt:lpstr>score703.4.5Zone6</vt:lpstr>
      <vt:lpstr>score703.4.5Zone7</vt:lpstr>
      <vt:lpstr>score703.4.5Zone8</vt:lpstr>
      <vt:lpstr>score703.5.1Zone1</vt:lpstr>
      <vt:lpstr>score703.5.1Zone2</vt:lpstr>
      <vt:lpstr>score703.5.1Zone3</vt:lpstr>
      <vt:lpstr>score703.5.1Zone4</vt:lpstr>
      <vt:lpstr>score703.5.1Zone5</vt:lpstr>
      <vt:lpstr>score703.5.1Zone6</vt:lpstr>
      <vt:lpstr>score703.5.1Zone7</vt:lpstr>
      <vt:lpstr>score703.5.1Zone8</vt:lpstr>
      <vt:lpstr>score703.5.2</vt:lpstr>
      <vt:lpstr>score704.2.1</vt:lpstr>
      <vt:lpstr>score704.5.2.1_1</vt:lpstr>
      <vt:lpstr>score705.2_2</vt:lpstr>
      <vt:lpstr>score801.1.1</vt:lpstr>
      <vt:lpstr>score801.2_2</vt:lpstr>
      <vt:lpstr>score801.3_1</vt:lpstr>
      <vt:lpstr>score801.3_2</vt:lpstr>
      <vt:lpstr>score801.3_3</vt:lpstr>
      <vt:lpstr>score801.4.1_1</vt:lpstr>
      <vt:lpstr>score801.4.2</vt:lpstr>
      <vt:lpstr>score801.5_2</vt:lpstr>
      <vt:lpstr>score801.5_3a</vt:lpstr>
      <vt:lpstr>score801.7.1</vt:lpstr>
      <vt:lpstr>score801.7.2</vt:lpstr>
      <vt:lpstr>score802.1</vt:lpstr>
      <vt:lpstr>score802.2</vt:lpstr>
      <vt:lpstr>score901.1.1</vt:lpstr>
      <vt:lpstr>score901.1.3_1</vt:lpstr>
      <vt:lpstr>score901.1.3_2</vt:lpstr>
      <vt:lpstr>score901.1.6</vt:lpstr>
      <vt:lpstr>score901.10</vt:lpstr>
      <vt:lpstr>score901.13</vt:lpstr>
      <vt:lpstr>score901.2.1_1</vt:lpstr>
      <vt:lpstr>score901.2.1_2</vt:lpstr>
      <vt:lpstr>score901.2.1_3</vt:lpstr>
      <vt:lpstr>score901.2.1_4</vt:lpstr>
      <vt:lpstr>score901.2.1_5</vt:lpstr>
      <vt:lpstr>score901.3_1_a</vt:lpstr>
      <vt:lpstr>score901.3_1_b</vt:lpstr>
      <vt:lpstr>score901.4</vt:lpstr>
      <vt:lpstr>score901.4_1</vt:lpstr>
      <vt:lpstr>score901.4_2</vt:lpstr>
      <vt:lpstr>score901.4_3</vt:lpstr>
      <vt:lpstr>score901.4_4</vt:lpstr>
      <vt:lpstr>score901.4_5</vt:lpstr>
      <vt:lpstr>score901.4_6</vt:lpstr>
      <vt:lpstr>score901.5</vt:lpstr>
      <vt:lpstr>score902.1.1_1</vt:lpstr>
      <vt:lpstr>score902.1.2</vt:lpstr>
      <vt:lpstr>score902.1.4</vt:lpstr>
      <vt:lpstr>score902.1.4_1</vt:lpstr>
      <vt:lpstr>score902.1.4_2</vt:lpstr>
      <vt:lpstr>score902.2.1</vt:lpstr>
      <vt:lpstr>score902.3_1</vt:lpstr>
      <vt:lpstr>score902.4</vt:lpstr>
      <vt:lpstr>score903.1</vt:lpstr>
      <vt:lpstr>score903.2</vt:lpstr>
      <vt:lpstr>score903.3</vt:lpstr>
      <vt:lpstr>section702req</vt:lpstr>
      <vt:lpstr>section703req</vt:lpstr>
      <vt:lpstr>section704req</vt:lpstr>
      <vt:lpstr>section901.9.1</vt:lpstr>
      <vt:lpstr>Seven</vt:lpstr>
      <vt:lpstr>silverMinimum</vt:lpstr>
      <vt:lpstr>Six</vt:lpstr>
      <vt:lpstr>startAttachedGarage</vt:lpstr>
      <vt:lpstr>startAtticType</vt:lpstr>
      <vt:lpstr>startBuilderName</vt:lpstr>
      <vt:lpstr>startBuilderPhone</vt:lpstr>
      <vt:lpstr>startBuildingCode</vt:lpstr>
      <vt:lpstr>startClimateType</vt:lpstr>
      <vt:lpstr>startClimateZone</vt:lpstr>
      <vt:lpstr>startCompostingToilet</vt:lpstr>
      <vt:lpstr>startCounty</vt:lpstr>
      <vt:lpstr>startDuctless</vt:lpstr>
      <vt:lpstr>startEnergyCode</vt:lpstr>
      <vt:lpstr>startFoundation</vt:lpstr>
      <vt:lpstr>startHeatingFuel</vt:lpstr>
      <vt:lpstr>startHERSIndex</vt:lpstr>
      <vt:lpstr>startHomeAddress</vt:lpstr>
      <vt:lpstr>startHomeCity</vt:lpstr>
      <vt:lpstr>startHomeState</vt:lpstr>
      <vt:lpstr>startHomeZip</vt:lpstr>
      <vt:lpstr>startHVAC1</vt:lpstr>
      <vt:lpstr>startHVAC2</vt:lpstr>
      <vt:lpstr>startHVAC3</vt:lpstr>
      <vt:lpstr>startLocalBuildingCode</vt:lpstr>
      <vt:lpstr>startLocalEnergyCode</vt:lpstr>
      <vt:lpstr>startLot</vt:lpstr>
      <vt:lpstr>startMassWalls</vt:lpstr>
      <vt:lpstr>startMultiUnits</vt:lpstr>
      <vt:lpstr>startPassiveSolar</vt:lpstr>
      <vt:lpstr>startProjectDesc</vt:lpstr>
      <vt:lpstr>startProjectName</vt:lpstr>
      <vt:lpstr>startRadiant_Hydronic</vt:lpstr>
      <vt:lpstr>startRecessedLights</vt:lpstr>
      <vt:lpstr>startRenewableEnergy</vt:lpstr>
      <vt:lpstr>startRevisionDate</vt:lpstr>
      <vt:lpstr>startSFBurningApp</vt:lpstr>
      <vt:lpstr>startSingleorMulti</vt:lpstr>
      <vt:lpstr>startSquareFootage</vt:lpstr>
      <vt:lpstr>startTanklessWH</vt:lpstr>
      <vt:lpstr>startTEInsulation</vt:lpstr>
      <vt:lpstr>startTotalFloorArea</vt:lpstr>
      <vt:lpstr>subLevelReached</vt:lpstr>
      <vt:lpstr>TargetLevel</vt:lpstr>
      <vt:lpstr>Three</vt:lpstr>
      <vt:lpstr>Two</vt:lpstr>
      <vt:lpstr>Vach50pts</vt:lpstr>
      <vt:lpstr>Vadditionalpoints</vt:lpstr>
      <vt:lpstr>vch10totalscore</vt:lpstr>
      <vt:lpstr>vch5totalscore</vt:lpstr>
      <vt:lpstr>vch6totalscore</vt:lpstr>
      <vt:lpstr>vch7totalscore</vt:lpstr>
      <vt:lpstr>vch8totalscore</vt:lpstr>
      <vt:lpstr>vch9totalscore</vt:lpstr>
      <vt:lpstr>VCZ</vt:lpstr>
      <vt:lpstr>VCZACH50</vt:lpstr>
      <vt:lpstr>VCZACH501</vt:lpstr>
      <vt:lpstr>VCZACH502</vt:lpstr>
      <vt:lpstr>VCZACH503</vt:lpstr>
      <vt:lpstr>VCZACH504</vt:lpstr>
      <vt:lpstr>VCZACH505</vt:lpstr>
      <vt:lpstr>VCZACH506</vt:lpstr>
      <vt:lpstr>VCZACH507</vt:lpstr>
      <vt:lpstr>VCZACH508</vt:lpstr>
      <vt:lpstr>VCZEight</vt:lpstr>
      <vt:lpstr>VCZFive</vt:lpstr>
      <vt:lpstr>VCZFour</vt:lpstr>
      <vt:lpstr>VCZmass</vt:lpstr>
      <vt:lpstr>VCZmassEight</vt:lpstr>
      <vt:lpstr>VCZmassFive</vt:lpstr>
      <vt:lpstr>VCZmassFour</vt:lpstr>
      <vt:lpstr>VCZmassOne</vt:lpstr>
      <vt:lpstr>VCZmassSeven</vt:lpstr>
      <vt:lpstr>VCZmassSix</vt:lpstr>
      <vt:lpstr>VCZmassThree</vt:lpstr>
      <vt:lpstr>VCZmassTwo</vt:lpstr>
      <vt:lpstr>VCZOne</vt:lpstr>
      <vt:lpstr>VCZradiant</vt:lpstr>
      <vt:lpstr>VCZradiantEight</vt:lpstr>
      <vt:lpstr>VCZradiantFive</vt:lpstr>
      <vt:lpstr>VCZradiantFour</vt:lpstr>
      <vt:lpstr>VCZradiantOne</vt:lpstr>
      <vt:lpstr>VCZradiantSeven</vt:lpstr>
      <vt:lpstr>VCZradiantSix</vt:lpstr>
      <vt:lpstr>VCZradiantThree</vt:lpstr>
      <vt:lpstr>VCZradiantTwo</vt:lpstr>
      <vt:lpstr>VCZSeven</vt:lpstr>
      <vt:lpstr>VCZSix</vt:lpstr>
      <vt:lpstr>VCZThree</vt:lpstr>
      <vt:lpstr>VCZTwo</vt:lpstr>
      <vt:lpstr>VCZword</vt:lpstr>
      <vt:lpstr>VentNeeded</vt:lpstr>
      <vt:lpstr>verifiedlevel</vt:lpstr>
      <vt:lpstr>VerifierName</vt:lpstr>
      <vt:lpstr>VerifierRoles</vt:lpstr>
      <vt:lpstr>VerifierServices</vt:lpstr>
      <vt:lpstr>VerifierSignature</vt:lpstr>
      <vt:lpstr>vlevel</vt:lpstr>
      <vt:lpstr>vn1001.1</vt:lpstr>
      <vt:lpstr>vn1001.1_1</vt:lpstr>
      <vt:lpstr>vn1001.1_10</vt:lpstr>
      <vt:lpstr>vn1001.1_11</vt:lpstr>
      <vt:lpstr>vn1001.1_12</vt:lpstr>
      <vt:lpstr>vn1001.1_13</vt:lpstr>
      <vt:lpstr>vn1001.1_14</vt:lpstr>
      <vt:lpstr>vn1001.1_15</vt:lpstr>
      <vt:lpstr>vn1001.1_16</vt:lpstr>
      <vt:lpstr>vn1001.1_17</vt:lpstr>
      <vt:lpstr>vn1001.1_18</vt:lpstr>
      <vt:lpstr>vn1001.1_19</vt:lpstr>
      <vt:lpstr>vn1001.1_2</vt:lpstr>
      <vt:lpstr>vn1001.1_20</vt:lpstr>
      <vt:lpstr>vn1001.1_21</vt:lpstr>
      <vt:lpstr>vn1001.1_3</vt:lpstr>
      <vt:lpstr>vn1001.1_4</vt:lpstr>
      <vt:lpstr>vn1001.1_5</vt:lpstr>
      <vt:lpstr>vn1001.1_6</vt:lpstr>
      <vt:lpstr>vn1001.1_7</vt:lpstr>
      <vt:lpstr>vn1001.1_8</vt:lpstr>
      <vt:lpstr>vn1001.1_9</vt:lpstr>
      <vt:lpstr>vn1002.1</vt:lpstr>
      <vt:lpstr>vn1003.1</vt:lpstr>
      <vt:lpstr>vn1003.1_1</vt:lpstr>
      <vt:lpstr>vn1003.1_2</vt:lpstr>
      <vt:lpstr>vn1003.1_3</vt:lpstr>
      <vt:lpstr>vn1003.1_4</vt:lpstr>
      <vt:lpstr>vn1003.1_5</vt:lpstr>
      <vt:lpstr>vn1003.1_6</vt:lpstr>
      <vt:lpstr>vn1003.1_7</vt:lpstr>
      <vt:lpstr>vn1003.1_8</vt:lpstr>
      <vt:lpstr>vn1003.2</vt:lpstr>
      <vt:lpstr>vn1003.2_1</vt:lpstr>
      <vt:lpstr>vn1003.2_10</vt:lpstr>
      <vt:lpstr>vn1003.2_2</vt:lpstr>
      <vt:lpstr>vn1003.2_3</vt:lpstr>
      <vt:lpstr>vn1003.2_4</vt:lpstr>
      <vt:lpstr>vn1003.2_5</vt:lpstr>
      <vt:lpstr>vn1003.2_6</vt:lpstr>
      <vt:lpstr>vn1003.2_7</vt:lpstr>
      <vt:lpstr>vn1003.2_8</vt:lpstr>
      <vt:lpstr>vn1003.2_9</vt:lpstr>
      <vt:lpstr>vn1003.3</vt:lpstr>
      <vt:lpstr>vn1003.3_1</vt:lpstr>
      <vt:lpstr>vn1003.3_2</vt:lpstr>
      <vt:lpstr>vn1003.3_3</vt:lpstr>
      <vt:lpstr>vn1003.3_4</vt:lpstr>
      <vt:lpstr>vn1003.3_5</vt:lpstr>
      <vt:lpstr>vn1003.3_6</vt:lpstr>
      <vt:lpstr>vn1003.3_7</vt:lpstr>
      <vt:lpstr>vn1003.3_8</vt:lpstr>
      <vt:lpstr>vn1003.3_9</vt:lpstr>
      <vt:lpstr>vn501.1_1</vt:lpstr>
      <vt:lpstr>vn501.1_2</vt:lpstr>
      <vt:lpstr>vn501.1_3</vt:lpstr>
      <vt:lpstr>vn501.1_4</vt:lpstr>
      <vt:lpstr>vn501.1_5</vt:lpstr>
      <vt:lpstr>vn501.2_1</vt:lpstr>
      <vt:lpstr>vn501.2_2</vt:lpstr>
      <vt:lpstr>vn501.2_3</vt:lpstr>
      <vt:lpstr>vn501.2_4</vt:lpstr>
      <vt:lpstr>vn502.1</vt:lpstr>
      <vt:lpstr>vn503.1</vt:lpstr>
      <vt:lpstr>vn503.1_1</vt:lpstr>
      <vt:lpstr>vn503.1_2</vt:lpstr>
      <vt:lpstr>vn503.1_3</vt:lpstr>
      <vt:lpstr>vn503.1_4</vt:lpstr>
      <vt:lpstr>vn503.1_5</vt:lpstr>
      <vt:lpstr>vn503.1_6</vt:lpstr>
      <vt:lpstr>vn503.1_7</vt:lpstr>
      <vt:lpstr>vn503.2_1</vt:lpstr>
      <vt:lpstr>vn503.2_2</vt:lpstr>
      <vt:lpstr>vn503.2_3</vt:lpstr>
      <vt:lpstr>vn503.2_4</vt:lpstr>
      <vt:lpstr>vn503.2_5</vt:lpstr>
      <vt:lpstr>vn503.3_1</vt:lpstr>
      <vt:lpstr>vn503.3_2</vt:lpstr>
      <vt:lpstr>vn503.3_3</vt:lpstr>
      <vt:lpstr>vn503.4_1</vt:lpstr>
      <vt:lpstr>vn503.4_2</vt:lpstr>
      <vt:lpstr>vn503.4_3</vt:lpstr>
      <vt:lpstr>vn503.4_4</vt:lpstr>
      <vt:lpstr>vn503.4_5</vt:lpstr>
      <vt:lpstr>vn503.4_6</vt:lpstr>
      <vt:lpstr>vn503.5</vt:lpstr>
      <vt:lpstr>vn503.5_1</vt:lpstr>
      <vt:lpstr>vn503.5_2</vt:lpstr>
      <vt:lpstr>vn503.5_3</vt:lpstr>
      <vt:lpstr>vn503.5_4</vt:lpstr>
      <vt:lpstr>vn503.5_5</vt:lpstr>
      <vt:lpstr>vn503.5_6</vt:lpstr>
      <vt:lpstr>vn503.5_7</vt:lpstr>
      <vt:lpstr>vn503.5_8</vt:lpstr>
      <vt:lpstr>vn503.6_1</vt:lpstr>
      <vt:lpstr>vn503.6_2</vt:lpstr>
      <vt:lpstr>vn503.6_3</vt:lpstr>
      <vt:lpstr>vn503.6_4</vt:lpstr>
      <vt:lpstr>vn503.7_1</vt:lpstr>
      <vt:lpstr>vn503.7_2</vt:lpstr>
      <vt:lpstr>vn504.1</vt:lpstr>
      <vt:lpstr>vn504.2_1</vt:lpstr>
      <vt:lpstr>vn504.2_2</vt:lpstr>
      <vt:lpstr>vn504.2_3</vt:lpstr>
      <vt:lpstr>vn504.3_1</vt:lpstr>
      <vt:lpstr>vn504.3_2</vt:lpstr>
      <vt:lpstr>vn504.3_3</vt:lpstr>
      <vt:lpstr>vn504.3_4</vt:lpstr>
      <vt:lpstr>vn504.3_5</vt:lpstr>
      <vt:lpstr>vn504.3_6</vt:lpstr>
      <vt:lpstr>vn504.3_7</vt:lpstr>
      <vt:lpstr>vn504.3_8</vt:lpstr>
      <vt:lpstr>vn504.3_9</vt:lpstr>
      <vt:lpstr>vn505.1_1</vt:lpstr>
      <vt:lpstr>vn505.1_2</vt:lpstr>
      <vt:lpstr>vn505.1_3</vt:lpstr>
      <vt:lpstr>vn505.2_1</vt:lpstr>
      <vt:lpstr>vn505.2_2</vt:lpstr>
      <vt:lpstr>vn505.3</vt:lpstr>
      <vt:lpstr>vn505.4</vt:lpstr>
      <vt:lpstr>vn505.5</vt:lpstr>
      <vt:lpstr>vn601.1</vt:lpstr>
      <vt:lpstr>vn601.2_1</vt:lpstr>
      <vt:lpstr>vn601.2_2</vt:lpstr>
      <vt:lpstr>vn601.2_3</vt:lpstr>
      <vt:lpstr>vn601.3_1</vt:lpstr>
      <vt:lpstr>vn601.3_2</vt:lpstr>
      <vt:lpstr>vn601.3_3</vt:lpstr>
      <vt:lpstr>vn601.3_4</vt:lpstr>
      <vt:lpstr>vn601.3_5</vt:lpstr>
      <vt:lpstr>vn601.4</vt:lpstr>
      <vt:lpstr>vn601.5_1</vt:lpstr>
      <vt:lpstr>vn601.5_2</vt:lpstr>
      <vt:lpstr>vn601.5_3</vt:lpstr>
      <vt:lpstr>vn601.5_4</vt:lpstr>
      <vt:lpstr>vn601.5_5</vt:lpstr>
      <vt:lpstr>vn601.6</vt:lpstr>
      <vt:lpstr>vn601.7</vt:lpstr>
      <vt:lpstr>vn601.8</vt:lpstr>
      <vt:lpstr>vn601.9</vt:lpstr>
      <vt:lpstr>vn602.1.1.1</vt:lpstr>
      <vt:lpstr>vn602.1.1.2</vt:lpstr>
      <vt:lpstr>vn602.1.10</vt:lpstr>
      <vt:lpstr>vn602.1.11</vt:lpstr>
      <vt:lpstr>vn602.1.12</vt:lpstr>
      <vt:lpstr>vn602.1.13</vt:lpstr>
      <vt:lpstr>vn602.1.14_1</vt:lpstr>
      <vt:lpstr>vn602.1.14_2</vt:lpstr>
      <vt:lpstr>vn602.1.14_3</vt:lpstr>
      <vt:lpstr>vn602.1.2</vt:lpstr>
      <vt:lpstr>vn602.1.3.1</vt:lpstr>
      <vt:lpstr>vn602.1.3.2</vt:lpstr>
      <vt:lpstr>vn602.1.4.1_1</vt:lpstr>
      <vt:lpstr>vn602.1.4.1_2</vt:lpstr>
      <vt:lpstr>vn602.1.4.2_1</vt:lpstr>
      <vt:lpstr>vn602.1.4.2_2</vt:lpstr>
      <vt:lpstr>vn602.1.5</vt:lpstr>
      <vt:lpstr>vn602.1.6</vt:lpstr>
      <vt:lpstr>vn602.1.7.1_1</vt:lpstr>
      <vt:lpstr>vn602.1.7.1_2</vt:lpstr>
      <vt:lpstr>vn602.1.7.1_3</vt:lpstr>
      <vt:lpstr>vn602.1.7.2</vt:lpstr>
      <vt:lpstr>vn602.1.8</vt:lpstr>
      <vt:lpstr>vn602.1.9_1</vt:lpstr>
      <vt:lpstr>vn602.1.9_2</vt:lpstr>
      <vt:lpstr>vn602.1.9_3</vt:lpstr>
      <vt:lpstr>vn602.1.9_4</vt:lpstr>
      <vt:lpstr>vn602.1.9_5</vt:lpstr>
      <vt:lpstr>vn602.1.9_6</vt:lpstr>
      <vt:lpstr>vn602.1.9_7</vt:lpstr>
      <vt:lpstr>vn602.2</vt:lpstr>
      <vt:lpstr>vn602.3</vt:lpstr>
      <vt:lpstr>vn602.4.1</vt:lpstr>
      <vt:lpstr>vn602.4.2</vt:lpstr>
      <vt:lpstr>vn602.4.3</vt:lpstr>
      <vt:lpstr>vn603.1</vt:lpstr>
      <vt:lpstr>vn603.2</vt:lpstr>
      <vt:lpstr>vn603.3</vt:lpstr>
      <vt:lpstr>vn604.1.1</vt:lpstr>
      <vt:lpstr>vn604.1.2</vt:lpstr>
      <vt:lpstr>vn605.1</vt:lpstr>
      <vt:lpstr>vn605.2</vt:lpstr>
      <vt:lpstr>vn605.3</vt:lpstr>
      <vt:lpstr>vn606.1</vt:lpstr>
      <vt:lpstr>vn606.2_1</vt:lpstr>
      <vt:lpstr>vn606.2_2</vt:lpstr>
      <vt:lpstr>vn606.3</vt:lpstr>
      <vt:lpstr>vn607.1_1</vt:lpstr>
      <vt:lpstr>vn607.1_2</vt:lpstr>
      <vt:lpstr>vn607.2</vt:lpstr>
      <vt:lpstr>vn608.1</vt:lpstr>
      <vt:lpstr>vn609.1</vt:lpstr>
      <vt:lpstr>vn610.1</vt:lpstr>
      <vt:lpstr>vn610.1.1</vt:lpstr>
      <vt:lpstr>vn610.1.2</vt:lpstr>
      <vt:lpstr>vn610.1.2.1</vt:lpstr>
      <vt:lpstr>vn6101.2.2</vt:lpstr>
      <vt:lpstr>vn611.1</vt:lpstr>
      <vt:lpstr>vn611.2</vt:lpstr>
      <vt:lpstr>vn611.2_1</vt:lpstr>
      <vt:lpstr>vn611.2_2</vt:lpstr>
      <vt:lpstr>vn611.2_3</vt:lpstr>
      <vt:lpstr>vn611.2_4</vt:lpstr>
      <vt:lpstr>vn611.2_5</vt:lpstr>
      <vt:lpstr>vn611.2_6</vt:lpstr>
      <vt:lpstr>vn611.2_7</vt:lpstr>
      <vt:lpstr>vn611.3</vt:lpstr>
      <vt:lpstr>vn611.3_1</vt:lpstr>
      <vt:lpstr>vn611.3_2</vt:lpstr>
      <vt:lpstr>vn611.3_3</vt:lpstr>
      <vt:lpstr>vn611.3_4</vt:lpstr>
      <vt:lpstr>vn701.1</vt:lpstr>
      <vt:lpstr>vn701.1.3Step1</vt:lpstr>
      <vt:lpstr>vn701.1.3Step2</vt:lpstr>
      <vt:lpstr>vn701.3</vt:lpstr>
      <vt:lpstr>vn701.4.1.1</vt:lpstr>
      <vt:lpstr>vn701.4.1.2</vt:lpstr>
      <vt:lpstr>vn701.4.2.1</vt:lpstr>
      <vt:lpstr>vn701.4.2.2</vt:lpstr>
      <vt:lpstr>vn701.4.2.3</vt:lpstr>
      <vt:lpstr>vn701.4.3.1</vt:lpstr>
      <vt:lpstr>vn701.4.3.2</vt:lpstr>
      <vt:lpstr>vn701.4.3.2_1</vt:lpstr>
      <vt:lpstr>vn701.4.3.2_1ACH50</vt:lpstr>
      <vt:lpstr>vn701.4.3.2_2</vt:lpstr>
      <vt:lpstr>vn701.4.3.2_3</vt:lpstr>
      <vt:lpstr>vn701.4.3.2_4</vt:lpstr>
      <vt:lpstr>vn701.4.3.2Grade3</vt:lpstr>
      <vt:lpstr>vn701.4.4</vt:lpstr>
      <vt:lpstr>vn701.4.5</vt:lpstr>
      <vt:lpstr>vn702.2.1</vt:lpstr>
      <vt:lpstr>vn702.2.2</vt:lpstr>
      <vt:lpstr>vn702.2.2Percentage</vt:lpstr>
      <vt:lpstr>vn703.1.1</vt:lpstr>
      <vt:lpstr>vn703.1.2</vt:lpstr>
      <vt:lpstr>vn703.1.3</vt:lpstr>
      <vt:lpstr>vn703.1.4</vt:lpstr>
      <vt:lpstr>vn703.1.5</vt:lpstr>
      <vt:lpstr>vn703.1.5ACH50</vt:lpstr>
      <vt:lpstr>vn703.1.6.1</vt:lpstr>
      <vt:lpstr>vn703.1.6.2_a</vt:lpstr>
      <vt:lpstr>vn703.1.6.2_b</vt:lpstr>
      <vt:lpstr>vn703.1.6.2_c</vt:lpstr>
      <vt:lpstr>vn703.2.1</vt:lpstr>
      <vt:lpstr>vn703.2.2</vt:lpstr>
      <vt:lpstr>vn703.2.2AFUE</vt:lpstr>
      <vt:lpstr>vn703.2.2HeatingSystemType</vt:lpstr>
      <vt:lpstr>vn703.2.3</vt:lpstr>
      <vt:lpstr>vn703.2.3HSPF</vt:lpstr>
      <vt:lpstr>vn703.2.4</vt:lpstr>
      <vt:lpstr>vn703.2.4Seer</vt:lpstr>
      <vt:lpstr>vn703.2.5</vt:lpstr>
      <vt:lpstr>vn703.2.5EER</vt:lpstr>
      <vt:lpstr>vn703.2.6</vt:lpstr>
      <vt:lpstr>vn703.2.6EER</vt:lpstr>
      <vt:lpstr>vn703.2.7</vt:lpstr>
      <vt:lpstr>vn703.2.8</vt:lpstr>
      <vt:lpstr>vn703.2.9</vt:lpstr>
      <vt:lpstr>vn703.3.1</vt:lpstr>
      <vt:lpstr>vn703.3.2</vt:lpstr>
      <vt:lpstr>vn703.3.3</vt:lpstr>
      <vt:lpstr>vn703.3.4</vt:lpstr>
      <vt:lpstr>vn703.3.4DuctworkLocation</vt:lpstr>
      <vt:lpstr>vn703.3.4LeakagePercentage</vt:lpstr>
      <vt:lpstr>vn703.4.1</vt:lpstr>
      <vt:lpstr>vn703.4.1ThermalEfficiency</vt:lpstr>
      <vt:lpstr>vn703.4.1WaterHeaterType</vt:lpstr>
      <vt:lpstr>vn703.4.2</vt:lpstr>
      <vt:lpstr>vn703.4.3</vt:lpstr>
      <vt:lpstr>vn703.4.4</vt:lpstr>
      <vt:lpstr>vn703.4.5</vt:lpstr>
      <vt:lpstr>vn703.4.5SEF</vt:lpstr>
      <vt:lpstr>vn703.5.1</vt:lpstr>
      <vt:lpstr>vn703.5.1Percentage</vt:lpstr>
      <vt:lpstr>vn703.5.2</vt:lpstr>
      <vt:lpstr>vn703.5.2ConditionedSF</vt:lpstr>
      <vt:lpstr>vn703.5.2RecessedLights</vt:lpstr>
      <vt:lpstr>vn703.5.3Dishwasher</vt:lpstr>
      <vt:lpstr>vn703.5.3Refrigerator</vt:lpstr>
      <vt:lpstr>vn703.5.3WashingMachine</vt:lpstr>
      <vt:lpstr>vn703.5.4</vt:lpstr>
      <vt:lpstr>vn703.6.1</vt:lpstr>
      <vt:lpstr>vn703.6.2</vt:lpstr>
      <vt:lpstr>vn703.6.3ExposedThermalMass</vt:lpstr>
      <vt:lpstr>vn703.6.3ExteriorShading</vt:lpstr>
      <vt:lpstr>vn703.6.3Overhangs</vt:lpstr>
      <vt:lpstr>vn703.6.3RoofingMaterial</vt:lpstr>
      <vt:lpstr>vn703.6.3SolarReflective</vt:lpstr>
      <vt:lpstr>vn703.6.3Windows</vt:lpstr>
      <vt:lpstr>vn703.6.4</vt:lpstr>
      <vt:lpstr>vn704.2.1</vt:lpstr>
      <vt:lpstr>vn704.2.2</vt:lpstr>
      <vt:lpstr>vn704.2.3</vt:lpstr>
      <vt:lpstr>vn704.3</vt:lpstr>
      <vt:lpstr>vn704.4.1</vt:lpstr>
      <vt:lpstr>vn704.4.2</vt:lpstr>
      <vt:lpstr>vn704.4.3</vt:lpstr>
      <vt:lpstr>vn704.5.1Step1</vt:lpstr>
      <vt:lpstr>vn704.5.1Step2</vt:lpstr>
      <vt:lpstr>vn704.5.2.1_1Step1</vt:lpstr>
      <vt:lpstr>vn704.5.2.1_1Step2</vt:lpstr>
      <vt:lpstr>vn704.5.2.1_2</vt:lpstr>
      <vt:lpstr>vn704.5.2.2Step1</vt:lpstr>
      <vt:lpstr>vn704.5.2.2Step2</vt:lpstr>
      <vt:lpstr>vn704.5.3</vt:lpstr>
      <vt:lpstr>vn705.1</vt:lpstr>
      <vt:lpstr>vn705.2_2</vt:lpstr>
      <vt:lpstr>vn705.2._1</vt:lpstr>
      <vt:lpstr>vn705.3</vt:lpstr>
      <vt:lpstr>vn705.3ClothesDryer</vt:lpstr>
      <vt:lpstr>vn705.3ClothesWasher</vt:lpstr>
      <vt:lpstr>vn705.3Dishwasher</vt:lpstr>
      <vt:lpstr>vn705.3Freezer</vt:lpstr>
      <vt:lpstr>vn705.3HotWaterHeating</vt:lpstr>
      <vt:lpstr>vn705.3HVAC</vt:lpstr>
      <vt:lpstr>vn705.3Refrigerator</vt:lpstr>
      <vt:lpstr>vn705.3RoomAirConditioner</vt:lpstr>
      <vt:lpstr>vn705.4.1_1</vt:lpstr>
      <vt:lpstr>vn705.4.1_2</vt:lpstr>
      <vt:lpstr>vn705.4.2</vt:lpstr>
      <vt:lpstr>vn705.5</vt:lpstr>
      <vt:lpstr>vn705.5RenewableWatts</vt:lpstr>
      <vt:lpstr>vn705.5TotalSFArea</vt:lpstr>
      <vt:lpstr>vn705.6</vt:lpstr>
      <vt:lpstr>vn705.7</vt:lpstr>
      <vt:lpstr>vn801.1.1_1thru4a</vt:lpstr>
      <vt:lpstr>vn801.1.1_5</vt:lpstr>
      <vt:lpstr>vn801.1.1_6</vt:lpstr>
      <vt:lpstr>vn801.2_1</vt:lpstr>
      <vt:lpstr>vn801.2_2</vt:lpstr>
      <vt:lpstr>vn801.3_1</vt:lpstr>
      <vt:lpstr>vn801.3_2</vt:lpstr>
      <vt:lpstr>vn801.3_3</vt:lpstr>
      <vt:lpstr>vn801.4.1_1</vt:lpstr>
      <vt:lpstr>vn801.4.1_2</vt:lpstr>
      <vt:lpstr>vn801.4.2</vt:lpstr>
      <vt:lpstr>vn801.5_1</vt:lpstr>
      <vt:lpstr>vn801.5_2</vt:lpstr>
      <vt:lpstr>vn801.5_3</vt:lpstr>
      <vt:lpstr>vn801.5_3a</vt:lpstr>
      <vt:lpstr>vn801.5_3b</vt:lpstr>
      <vt:lpstr>vn801.5_3c</vt:lpstr>
      <vt:lpstr>vn801.6.1</vt:lpstr>
      <vt:lpstr>vn801.6.2_1</vt:lpstr>
      <vt:lpstr>vn801.6.2_2</vt:lpstr>
      <vt:lpstr>vn801.6.3</vt:lpstr>
      <vt:lpstr>vn801.6.4</vt:lpstr>
      <vt:lpstr>vn801.6.5_1and2</vt:lpstr>
      <vt:lpstr>vn801.6.5_3</vt:lpstr>
      <vt:lpstr>vn801.7.1</vt:lpstr>
      <vt:lpstr>vn801.7.2</vt:lpstr>
      <vt:lpstr>vn801.8</vt:lpstr>
      <vt:lpstr>vn802.1</vt:lpstr>
      <vt:lpstr>vn802.2ExcessiveShutoff</vt:lpstr>
      <vt:lpstr>vn802.2LeakDetection</vt:lpstr>
      <vt:lpstr>vn802.3</vt:lpstr>
      <vt:lpstr>vn802.4</vt:lpstr>
      <vt:lpstr>vn802.5</vt:lpstr>
      <vt:lpstr>vn901.1.1</vt:lpstr>
      <vt:lpstr>vn901.1.2</vt:lpstr>
      <vt:lpstr>vn901.1.3_1</vt:lpstr>
      <vt:lpstr>vn901.1.3_2</vt:lpstr>
      <vt:lpstr>vn901.1.4</vt:lpstr>
      <vt:lpstr>vn901.1.5</vt:lpstr>
      <vt:lpstr>vn901.1.6</vt:lpstr>
      <vt:lpstr>vn901.10</vt:lpstr>
      <vt:lpstr>vn901.11</vt:lpstr>
      <vt:lpstr>vn901.12</vt:lpstr>
      <vt:lpstr>vn901.13_1</vt:lpstr>
      <vt:lpstr>vn901.13_2</vt:lpstr>
      <vt:lpstr>vn901.14_1</vt:lpstr>
      <vt:lpstr>vn901.14_2</vt:lpstr>
      <vt:lpstr>vn901.2.1_1</vt:lpstr>
      <vt:lpstr>vn901.2.1_2</vt:lpstr>
      <vt:lpstr>vn901.2.1_3</vt:lpstr>
      <vt:lpstr>vn901.2.1_4</vt:lpstr>
      <vt:lpstr>vn901.2.1_5</vt:lpstr>
      <vt:lpstr>vn901.2.2</vt:lpstr>
      <vt:lpstr>vn901.3_1a</vt:lpstr>
      <vt:lpstr>vn901.3_1b</vt:lpstr>
      <vt:lpstr>vn901.3_1c</vt:lpstr>
      <vt:lpstr>vn901.3_2</vt:lpstr>
      <vt:lpstr>vn901.4_1</vt:lpstr>
      <vt:lpstr>vn901.4_2</vt:lpstr>
      <vt:lpstr>vn901.4_2thru6</vt:lpstr>
      <vt:lpstr>vn901.4_3</vt:lpstr>
      <vt:lpstr>vn901.4_4</vt:lpstr>
      <vt:lpstr>vn901.4_5</vt:lpstr>
      <vt:lpstr>vn901.4_6</vt:lpstr>
      <vt:lpstr>vn901.5</vt:lpstr>
      <vt:lpstr>vn901.5_1and2</vt:lpstr>
      <vt:lpstr>vn901.6_1</vt:lpstr>
      <vt:lpstr>vn901.6_2a</vt:lpstr>
      <vt:lpstr>vn901.6_2b</vt:lpstr>
      <vt:lpstr>vn901.7</vt:lpstr>
      <vt:lpstr>vn901.8</vt:lpstr>
      <vt:lpstr>vn901.9.1</vt:lpstr>
      <vt:lpstr>vn901.9.2</vt:lpstr>
      <vt:lpstr>vn901.9.3</vt:lpstr>
      <vt:lpstr>vn902.1.1_1</vt:lpstr>
      <vt:lpstr>vn902.1.1_2</vt:lpstr>
      <vt:lpstr>vn902.1.1_3</vt:lpstr>
      <vt:lpstr>vn902.1.2</vt:lpstr>
      <vt:lpstr>vn902.1.3</vt:lpstr>
      <vt:lpstr>vn902.1.4</vt:lpstr>
      <vt:lpstr>vn902.1.4_1</vt:lpstr>
      <vt:lpstr>vn902.1.4_2</vt:lpstr>
      <vt:lpstr>vn902.2.1</vt:lpstr>
      <vt:lpstr>vn902.2.1_1thru4</vt:lpstr>
      <vt:lpstr>vn902.2.2</vt:lpstr>
      <vt:lpstr>vn902.2.3</vt:lpstr>
      <vt:lpstr>vn902.3_1</vt:lpstr>
      <vt:lpstr>vn902.3_1a</vt:lpstr>
      <vt:lpstr>vn902.3_1b</vt:lpstr>
      <vt:lpstr>vn902.3_2a</vt:lpstr>
      <vt:lpstr>vn902.4_1</vt:lpstr>
      <vt:lpstr>vn902.4_2</vt:lpstr>
      <vt:lpstr>vn902.5</vt:lpstr>
      <vt:lpstr>vn902.6</vt:lpstr>
      <vt:lpstr>vn903.1.1</vt:lpstr>
      <vt:lpstr>vn903.1.2</vt:lpstr>
      <vt:lpstr>vn903.2</vt:lpstr>
      <vt:lpstr>vn903.3</vt:lpstr>
      <vt:lpstr>vn904.1</vt:lpstr>
      <vt:lpstr>vn904.2</vt:lpstr>
      <vt:lpstr>vnSqFT</vt:lpstr>
      <vt:lpstr>Vreport701.1</vt:lpstr>
      <vt:lpstr>VSqFt</vt:lpstr>
      <vt:lpstr>Vstatus</vt:lpstr>
      <vt:lpstr>vtotalscore</vt:lpstr>
      <vt:lpstr>VZCmassFour</vt:lpstr>
    </vt:vector>
  </TitlesOfParts>
  <Company>Home Innovation Research Labs</Company>
  <LinksUpToDate>false</LinksUpToDate>
  <SharedDoc>false</SharedDoc>
  <HyperlinkBase>http:\\www.homeinnovation.com</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2012 NGBS Scoring Tool</dc:title>
  <dc:subject>2012 NGBS Scoring Tool</dc:subject>
  <dc:creator>Robert L. Hill</dc:creator>
  <cp:lastModifiedBy>Artem Hruzd</cp:lastModifiedBy>
  <cp:lastPrinted>2015-08-10T16:14:53Z</cp:lastPrinted>
  <dcterms:created xsi:type="dcterms:W3CDTF">2012-07-28T16:23:35Z</dcterms:created>
  <dcterms:modified xsi:type="dcterms:W3CDTF">2021-09-09T12:34:21Z</dcterms:modified>
</cp:coreProperties>
</file>